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7.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8.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autoCompressPictures="0"/>
  <mc:AlternateContent xmlns:mc="http://schemas.openxmlformats.org/markup-compatibility/2006">
    <mc:Choice Requires="x15">
      <x15ac:absPath xmlns:x15ac="http://schemas.microsoft.com/office/spreadsheetml/2010/11/ac" url="C:\Users\jewel\Documents\SNTHS\CHARTER APP FINAL\FINAL COMPILED\"/>
    </mc:Choice>
  </mc:AlternateContent>
  <xr:revisionPtr revIDLastSave="0" documentId="8_{841FB8AC-17C8-49FB-8A90-28607515E165}" xr6:coauthVersionLast="47" xr6:coauthVersionMax="47" xr10:uidLastSave="{00000000-0000-0000-0000-000000000000}"/>
  <bookViews>
    <workbookView xWindow="-108" yWindow="-108" windowWidth="23256" windowHeight="12456" tabRatio="700" firstSheet="3" activeTab="3" xr2:uid="{ECB60076-8EA1-4BF9-B1B1-B63553EB7810}"/>
  </bookViews>
  <sheets>
    <sheet name="Instructions" sheetId="36" r:id="rId1"/>
    <sheet name="Cover" sheetId="52" r:id="rId2"/>
    <sheet name="Checklist &amp; TOC" sheetId="66" r:id="rId3"/>
    <sheet name="Summary" sheetId="18" r:id="rId4"/>
    <sheet name="Statistics" sheetId="67" r:id="rId5"/>
    <sheet name="Mkt Res" sheetId="41" r:id="rId6"/>
    <sheet name=" Enrol &amp; Rev" sheetId="13" r:id="rId7"/>
    <sheet name="Pre Y1 (Incubation)" sheetId="39" state="hidden" r:id="rId8"/>
    <sheet name="CF Y1 Mo" sheetId="38" r:id="rId9"/>
    <sheet name="Staff" sheetId="62" r:id="rId10"/>
    <sheet name="Facilities" sheetId="46" r:id="rId11"/>
    <sheet name="Gen Optg" sheetId="61" r:id="rId12"/>
    <sheet name="FFE&amp;T" sheetId="34" r:id="rId13"/>
    <sheet name="Ins" sheetId="47" r:id="rId14"/>
    <sheet name="Marketing" sheetId="48" r:id="rId15"/>
    <sheet name="EMO-CMO" sheetId="45" r:id="rId16"/>
    <sheet name="Demographics" sheetId="71" r:id="rId17"/>
    <sheet name="PCFP Rates" sheetId="35" r:id="rId18"/>
    <sheet name="Facilities wkst" sheetId="53" r:id="rId19"/>
    <sheet name="Dev Notes" sheetId="57" state="hidden" r:id="rId20"/>
    <sheet name="Note FFE" sheetId="54" state="hidden" r:id="rId21"/>
    <sheet name="Eq wip" sheetId="55" state="hidden" r:id="rId22"/>
    <sheet name="Scratchpad (2)" sheetId="69" state="hidden" r:id="rId23"/>
    <sheet name="Levers" sheetId="63" r:id="rId24"/>
    <sheet name="Scratchpad" sheetId="68" r:id="rId25"/>
  </sheets>
  <externalReferences>
    <externalReference r:id="rId26"/>
  </externalReferences>
  <definedNames>
    <definedName name="Counties">'PCFP Rates'!$O$15:$O$43</definedName>
    <definedName name="County">'PCFP Rates'!$O$15:$O$43</definedName>
    <definedName name="DSA">'PCFP Rates'!$P$15:$P$43</definedName>
    <definedName name="FICA_Rate">Staff!$C$59</definedName>
    <definedName name="HypLink1">#REF!</definedName>
    <definedName name="HypLink10">'CF Y1 Mo'!$A$1</definedName>
    <definedName name="HypLink11">Staff!$A$1</definedName>
    <definedName name="HypLink12">Facilities!$A$1</definedName>
    <definedName name="HypLink13">'Gen Optg'!$A$1</definedName>
    <definedName name="HypLink14">'FFE&amp;T'!$A$1</definedName>
    <definedName name="HypLink15">Ins!$A$1</definedName>
    <definedName name="HypLink16">Marketing!$A$1</definedName>
    <definedName name="HypLink17">'EMO-CMO'!$A$1</definedName>
    <definedName name="HypLink18">'PCFP Rates'!$A$1</definedName>
    <definedName name="HypLink19">'Facilities wkst'!$A$1</definedName>
    <definedName name="HypLink2">Instructions!$A$1</definedName>
    <definedName name="HypLink20">'Dev Notes'!$A$1</definedName>
    <definedName name="HypLink21">'Note FFE'!$A$1</definedName>
    <definedName name="HypLink22">'Eq wip'!$A$1</definedName>
    <definedName name="HypLink23">'Scratchpad (2)'!$A$1</definedName>
    <definedName name="HypLink24">Levers!$A$1</definedName>
    <definedName name="HypLink25">Scratchpad!$A$1</definedName>
    <definedName name="HypLink26">Demographics!$A$1</definedName>
    <definedName name="HypLink3">Cover!$A$1</definedName>
    <definedName name="HypLink4">'Checklist &amp; TOC'!$A$1</definedName>
    <definedName name="HypLink5">Summary!$A$1</definedName>
    <definedName name="HypLink6" localSheetId="11">'Gen Optg'!$A$1</definedName>
    <definedName name="HypLink6" localSheetId="9">Staff!$A$1</definedName>
    <definedName name="HypLink6">Statistics!$A$1</definedName>
    <definedName name="HypLink7">'Mkt Res'!$A$1</definedName>
    <definedName name="HypLink8">' Enrol &amp; Rev'!$A$1</definedName>
    <definedName name="HypLink9">'Pre Y1 (Incubation)'!$A$1</definedName>
    <definedName name="_xlnm.Print_Area" localSheetId="6">' Enrol &amp; Rev'!$A$1:$M$143</definedName>
    <definedName name="_xlnm.Print_Area" localSheetId="8">'CF Y1 Mo'!$A$1:$Q$143</definedName>
    <definedName name="_xlnm.Print_Area" localSheetId="2">'Checklist &amp; TOC'!$A$1:$K$28</definedName>
    <definedName name="_xlnm.Print_Area" localSheetId="1">Cover!$A$1:$G$27</definedName>
    <definedName name="_xlnm.Print_Area" localSheetId="16">Demographics!$A$1:$M$51</definedName>
    <definedName name="_xlnm.Print_Area" localSheetId="19">'Dev Notes'!$A$1:$T$90</definedName>
    <definedName name="_xlnm.Print_Area" localSheetId="15">'EMO-CMO'!$A$1:$L$79</definedName>
    <definedName name="_xlnm.Print_Area" localSheetId="21">'Eq wip'!$A$1:$N$50</definedName>
    <definedName name="_xlnm.Print_Area" localSheetId="10">Facilities!$A$1:$L$77</definedName>
    <definedName name="_xlnm.Print_Area" localSheetId="12">'FFE&amp;T'!$A$1:$L$55</definedName>
    <definedName name="_xlnm.Print_Area" localSheetId="11">'Gen Optg'!$A$1:$L$180</definedName>
    <definedName name="_xlnm.Print_Area" localSheetId="13">Ins!$A$1:$L$50</definedName>
    <definedName name="_xlnm.Print_Area" localSheetId="0">Instructions!$A$2:$A$99</definedName>
    <definedName name="_xlnm.Print_Area" localSheetId="23">Levers!$A$1:$I$39</definedName>
    <definedName name="_xlnm.Print_Area" localSheetId="14">Marketing!$A$1:$N$46</definedName>
    <definedName name="_xlnm.Print_Area" localSheetId="5">'Mkt Res'!$A$1:$K$71</definedName>
    <definedName name="_xlnm.Print_Area" localSheetId="20">'Note FFE'!$A$1:$I$43</definedName>
    <definedName name="_xlnm.Print_Area" localSheetId="17">'PCFP Rates'!$A$1:$M$435</definedName>
    <definedName name="_xlnm.Print_Area" localSheetId="7">'Pre Y1 (Incubation)'!$A$1:$F$8</definedName>
    <definedName name="_xlnm.Print_Area" localSheetId="24">Scratchpad!$A$1:$L$44</definedName>
    <definedName name="_xlnm.Print_Area" localSheetId="22">'Scratchpad (2)'!$A$1:$Q$44</definedName>
    <definedName name="_xlnm.Print_Area" localSheetId="9">Staff!$A$1:$N$74</definedName>
    <definedName name="_xlnm.Print_Area" localSheetId="4">Statistics!$A$1:$L$125</definedName>
    <definedName name="_xlnm.Print_Area" localSheetId="3">Summary!$A$1:$L$195</definedName>
    <definedName name="_xlnm.Print_Titles" localSheetId="6">' Enrol &amp; Rev'!$9:$11</definedName>
    <definedName name="_xlnm.Print_Titles" localSheetId="8">'CF Y1 Mo'!$7:$12</definedName>
    <definedName name="_xlnm.Print_Titles" localSheetId="15">'EMO-CMO'!$9:$11</definedName>
    <definedName name="_xlnm.Print_Titles" localSheetId="18">'Facilities wkst'!$A:$A</definedName>
    <definedName name="_xlnm.Print_Titles" localSheetId="11">'Gen Optg'!$9:$11</definedName>
    <definedName name="_xlnm.Print_Titles" localSheetId="23">Levers!$7:$8</definedName>
    <definedName name="_xlnm.Print_Titles" localSheetId="14">Marketing!$11:$13</definedName>
    <definedName name="_xlnm.Print_Titles" localSheetId="5">'Mkt Res'!$7:$9</definedName>
    <definedName name="_xlnm.Print_Titles" localSheetId="9">Staff!#REF!</definedName>
    <definedName name="_xlnm.Print_Titles" localSheetId="3">Summary!$6:$8</definedName>
    <definedName name="SchoolName">Cover!$C$9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47" l="1"/>
  <c r="I206" i="62"/>
  <c r="I200" i="62"/>
  <c r="H200" i="62"/>
  <c r="H206" i="62"/>
  <c r="N67" i="38" l="1"/>
  <c r="L18" i="34"/>
  <c r="K18" i="34"/>
  <c r="G139" i="13" l="1"/>
  <c r="H32" i="34"/>
  <c r="K11" i="46"/>
  <c r="L11" i="46" s="1"/>
  <c r="I30" i="38"/>
  <c r="J30" i="38" s="1"/>
  <c r="K30" i="38" s="1"/>
  <c r="L30" i="38" s="1"/>
  <c r="M30" i="38" s="1"/>
  <c r="N30" i="38" s="1"/>
  <c r="O30" i="38" s="1"/>
  <c r="P30" i="38" s="1"/>
  <c r="H30" i="38"/>
  <c r="G30" i="38"/>
  <c r="Q25" i="38"/>
  <c r="Q24" i="38"/>
  <c r="Q23" i="38"/>
  <c r="Q22" i="38"/>
  <c r="Q17" i="38"/>
  <c r="P17" i="38"/>
  <c r="O17" i="38"/>
  <c r="N17" i="38"/>
  <c r="M17" i="38"/>
  <c r="L17" i="38"/>
  <c r="K17" i="38"/>
  <c r="J17" i="38"/>
  <c r="I17" i="38"/>
  <c r="H17" i="38"/>
  <c r="G17" i="38"/>
  <c r="F17" i="38"/>
  <c r="F139" i="13"/>
  <c r="F132" i="61"/>
  <c r="F131" i="61"/>
  <c r="F130" i="61"/>
  <c r="F114" i="61"/>
  <c r="L69" i="61"/>
  <c r="K69" i="61"/>
  <c r="J69" i="61"/>
  <c r="I69" i="61"/>
  <c r="H69" i="61"/>
  <c r="H90" i="62"/>
  <c r="M82" i="62"/>
  <c r="L82" i="62"/>
  <c r="I33" i="34"/>
  <c r="J33" i="34" s="1"/>
  <c r="K33" i="34" s="1"/>
  <c r="L33" i="34" s="1"/>
  <c r="H33" i="34"/>
  <c r="L19" i="34"/>
  <c r="K19" i="34"/>
  <c r="J19" i="34"/>
  <c r="I19" i="34"/>
  <c r="H19" i="34"/>
  <c r="G19" i="34"/>
  <c r="F126" i="61" l="1"/>
  <c r="F129" i="61" s="1"/>
  <c r="I96" i="61"/>
  <c r="J96" i="61" s="1"/>
  <c r="K96" i="61" s="1"/>
  <c r="L96" i="61" s="1"/>
  <c r="H96" i="61"/>
  <c r="H82" i="62"/>
  <c r="H16" i="46"/>
  <c r="I16" i="46" s="1"/>
  <c r="K16" i="46" s="1"/>
  <c r="L16" i="46" s="1"/>
  <c r="H13" i="46"/>
  <c r="I13" i="46" s="1"/>
  <c r="K13" i="46" s="1"/>
  <c r="L13" i="46" s="1"/>
  <c r="L134" i="13" l="1"/>
  <c r="K134" i="13"/>
  <c r="J134" i="13"/>
  <c r="I134" i="13"/>
  <c r="H134" i="13"/>
  <c r="G134" i="13"/>
  <c r="G97" i="61" l="1"/>
  <c r="L97" i="61"/>
  <c r="K97" i="61"/>
  <c r="J97" i="61"/>
  <c r="I97" i="61"/>
  <c r="H97" i="61"/>
  <c r="J36" i="48" l="1"/>
  <c r="I36" i="48"/>
  <c r="G21" i="34"/>
  <c r="H21" i="34" s="1"/>
  <c r="I21" i="34" s="1"/>
  <c r="J21" i="34" s="1"/>
  <c r="K21" i="34" s="1"/>
  <c r="L21" i="34" s="1"/>
  <c r="L15" i="34"/>
  <c r="K15" i="34"/>
  <c r="J15" i="34"/>
  <c r="I15" i="34"/>
  <c r="H15" i="34"/>
  <c r="I122" i="61"/>
  <c r="J122" i="61" s="1"/>
  <c r="K122" i="61" s="1"/>
  <c r="L122" i="61" s="1"/>
  <c r="H122" i="61"/>
  <c r="I110" i="61"/>
  <c r="J110" i="61" s="1"/>
  <c r="K110" i="61" s="1"/>
  <c r="L110" i="61" s="1"/>
  <c r="H110" i="61"/>
  <c r="L19" i="46"/>
  <c r="M210" i="62" l="1"/>
  <c r="K210" i="62"/>
  <c r="J210" i="62"/>
  <c r="I210" i="62"/>
  <c r="H210" i="62"/>
  <c r="G210" i="62"/>
  <c r="L209" i="62"/>
  <c r="M209" i="62" s="1"/>
  <c r="J209" i="62"/>
  <c r="I209" i="62"/>
  <c r="H209" i="62"/>
  <c r="G209" i="62"/>
  <c r="K208" i="62"/>
  <c r="L208" i="62" s="1"/>
  <c r="M208" i="62" s="1"/>
  <c r="I208" i="62"/>
  <c r="H208" i="62"/>
  <c r="G208" i="62"/>
  <c r="J207" i="62"/>
  <c r="K207" i="62" s="1"/>
  <c r="L207" i="62" s="1"/>
  <c r="M207" i="62" s="1"/>
  <c r="H207" i="62"/>
  <c r="G207" i="62"/>
  <c r="J206" i="62"/>
  <c r="K206" i="62" s="1"/>
  <c r="L206" i="62" s="1"/>
  <c r="M206" i="62" s="1"/>
  <c r="G206" i="62"/>
  <c r="M204" i="62"/>
  <c r="K204" i="62"/>
  <c r="J204" i="62"/>
  <c r="I204" i="62"/>
  <c r="H204" i="62"/>
  <c r="G204" i="62"/>
  <c r="L203" i="62"/>
  <c r="M203" i="62" s="1"/>
  <c r="J203" i="62"/>
  <c r="I203" i="62"/>
  <c r="H203" i="62"/>
  <c r="G203" i="62"/>
  <c r="K202" i="62"/>
  <c r="L202" i="62" s="1"/>
  <c r="M202" i="62" s="1"/>
  <c r="I202" i="62"/>
  <c r="H202" i="62"/>
  <c r="G202" i="62"/>
  <c r="J201" i="62"/>
  <c r="K201" i="62" s="1"/>
  <c r="L201" i="62" s="1"/>
  <c r="M201" i="62" s="1"/>
  <c r="H201" i="62"/>
  <c r="G201" i="62"/>
  <c r="J200" i="62"/>
  <c r="K200" i="62" s="1"/>
  <c r="L200" i="62" s="1"/>
  <c r="M200" i="62" s="1"/>
  <c r="G200" i="62"/>
  <c r="M104" i="62"/>
  <c r="L104" i="62"/>
  <c r="K104" i="62"/>
  <c r="J104" i="62"/>
  <c r="I104" i="62"/>
  <c r="H104" i="62"/>
  <c r="G104" i="62"/>
  <c r="M103" i="62"/>
  <c r="L103" i="62"/>
  <c r="K103" i="62"/>
  <c r="J103" i="62"/>
  <c r="I103" i="62"/>
  <c r="H103" i="62"/>
  <c r="G103" i="62"/>
  <c r="M102" i="62"/>
  <c r="L102" i="62"/>
  <c r="K102" i="62"/>
  <c r="J102" i="62"/>
  <c r="I102" i="62"/>
  <c r="H102" i="62"/>
  <c r="G102" i="62"/>
  <c r="M101" i="62"/>
  <c r="L101" i="62"/>
  <c r="K101" i="62"/>
  <c r="J101" i="62"/>
  <c r="I101" i="62"/>
  <c r="H101" i="62"/>
  <c r="G101" i="62"/>
  <c r="M100" i="62"/>
  <c r="L100" i="62"/>
  <c r="K100" i="62"/>
  <c r="J100" i="62"/>
  <c r="I100" i="62"/>
  <c r="H100" i="62"/>
  <c r="G100" i="62"/>
  <c r="M99" i="62"/>
  <c r="L99" i="62"/>
  <c r="K99" i="62"/>
  <c r="J99" i="62"/>
  <c r="I99" i="62"/>
  <c r="H99" i="62"/>
  <c r="G99" i="62"/>
  <c r="M98" i="62"/>
  <c r="L98" i="62"/>
  <c r="K98" i="62"/>
  <c r="J98" i="62"/>
  <c r="I98" i="62"/>
  <c r="H98" i="62"/>
  <c r="G98" i="62"/>
  <c r="J97" i="62"/>
  <c r="K97" i="62" s="1"/>
  <c r="L97" i="62" s="1"/>
  <c r="M97" i="62" s="1"/>
  <c r="I97" i="62"/>
  <c r="G97" i="62"/>
  <c r="M91" i="62"/>
  <c r="L91" i="62"/>
  <c r="K91" i="62"/>
  <c r="J91" i="62"/>
  <c r="I91" i="62"/>
  <c r="H91" i="62"/>
  <c r="G91" i="62"/>
  <c r="K90" i="62"/>
  <c r="L90" i="62" s="1"/>
  <c r="M90" i="62" s="1"/>
  <c r="I90" i="62"/>
  <c r="G90" i="62"/>
  <c r="M89" i="62"/>
  <c r="L89" i="62"/>
  <c r="K89" i="62"/>
  <c r="J89" i="62"/>
  <c r="I89" i="62"/>
  <c r="H89" i="62"/>
  <c r="G89" i="62"/>
  <c r="M83" i="62"/>
  <c r="L83" i="62"/>
  <c r="K83" i="62"/>
  <c r="J83" i="62"/>
  <c r="I83" i="62"/>
  <c r="H83" i="62"/>
  <c r="G83" i="62"/>
  <c r="K82" i="62"/>
  <c r="J82" i="62"/>
  <c r="I82" i="62"/>
  <c r="G82" i="62"/>
  <c r="M81" i="62"/>
  <c r="L81" i="62"/>
  <c r="K81" i="62"/>
  <c r="J81" i="62"/>
  <c r="I81" i="62"/>
  <c r="H81" i="62"/>
  <c r="G81" i="62"/>
  <c r="C64" i="62"/>
  <c r="C63" i="62"/>
  <c r="Q49" i="38"/>
  <c r="P49" i="38"/>
  <c r="O49" i="38"/>
  <c r="N49" i="38"/>
  <c r="M49" i="38"/>
  <c r="L49" i="38"/>
  <c r="K49" i="38"/>
  <c r="J49" i="38"/>
  <c r="I49" i="38"/>
  <c r="H49" i="38"/>
  <c r="G49" i="38"/>
  <c r="F49" i="38"/>
  <c r="Q43" i="38"/>
  <c r="P43" i="38"/>
  <c r="O43" i="38"/>
  <c r="N43" i="38"/>
  <c r="M43" i="38"/>
  <c r="L43" i="38"/>
  <c r="K43" i="38"/>
  <c r="J43" i="38"/>
  <c r="I43" i="38"/>
  <c r="H43" i="38"/>
  <c r="G43" i="38"/>
  <c r="F43" i="38"/>
  <c r="J25" i="38"/>
  <c r="K25" i="38" s="1"/>
  <c r="L25" i="38" s="1"/>
  <c r="M25" i="38" s="1"/>
  <c r="N25" i="38" s="1"/>
  <c r="O25" i="38" s="1"/>
  <c r="P25" i="38" s="1"/>
  <c r="I25" i="38"/>
  <c r="I21" i="38"/>
  <c r="J21" i="38" s="1"/>
  <c r="K21" i="38" s="1"/>
  <c r="L21" i="38" s="1"/>
  <c r="M21" i="38" s="1"/>
  <c r="N21" i="38" s="1"/>
  <c r="O21" i="38" s="1"/>
  <c r="P21" i="38" s="1"/>
  <c r="Q21" i="38" s="1"/>
  <c r="I37" i="13"/>
  <c r="J37" i="13" s="1"/>
  <c r="K37" i="13" s="1"/>
  <c r="L37" i="13" s="1"/>
  <c r="H37" i="13"/>
  <c r="G472" i="62"/>
  <c r="F472" i="62"/>
  <c r="E472" i="62"/>
  <c r="D472" i="62"/>
  <c r="C472" i="62"/>
  <c r="A2" i="71"/>
  <c r="A57" i="13"/>
  <c r="A56" i="13" l="1"/>
  <c r="A5" i="71" l="1"/>
  <c r="A76" i="13" l="1"/>
  <c r="A27" i="66"/>
  <c r="A55" i="13"/>
  <c r="A58" i="13"/>
  <c r="A54" i="13"/>
  <c r="A2" i="68" l="1"/>
  <c r="H16" i="69"/>
  <c r="J15" i="69"/>
  <c r="J16" i="69" s="1"/>
  <c r="I15" i="69"/>
  <c r="I16" i="69" s="1"/>
  <c r="H15" i="69"/>
  <c r="G15" i="69"/>
  <c r="G16" i="69" s="1"/>
  <c r="F15" i="69"/>
  <c r="F16" i="69" s="1"/>
  <c r="J14" i="69"/>
  <c r="K14" i="69" s="1"/>
  <c r="K15" i="69" s="1"/>
  <c r="K16" i="69" s="1"/>
  <c r="A5" i="69"/>
  <c r="A33" i="18"/>
  <c r="A34" i="18"/>
  <c r="A35" i="18"/>
  <c r="A36" i="18"/>
  <c r="A37" i="18"/>
  <c r="A38" i="18"/>
  <c r="A39" i="18"/>
  <c r="A40" i="18"/>
  <c r="A39" i="13"/>
  <c r="A123" i="61" l="1"/>
  <c r="A121" i="61"/>
  <c r="A118" i="61"/>
  <c r="A129" i="61"/>
  <c r="A128" i="61"/>
  <c r="A127" i="61"/>
  <c r="A126" i="61"/>
  <c r="A125" i="61"/>
  <c r="A124" i="61"/>
  <c r="A122" i="61"/>
  <c r="A120" i="61"/>
  <c r="A119" i="61"/>
  <c r="A117" i="61"/>
  <c r="A116" i="61"/>
  <c r="A115" i="61"/>
  <c r="A114" i="61"/>
  <c r="A113" i="61"/>
  <c r="A112" i="61"/>
  <c r="A111" i="61"/>
  <c r="A110" i="61"/>
  <c r="A141" i="61"/>
  <c r="A38" i="46"/>
  <c r="A34" i="62" l="1"/>
  <c r="A33" i="62"/>
  <c r="A32" i="62"/>
  <c r="A31" i="62"/>
  <c r="A39" i="39" l="1"/>
  <c r="A73" i="13"/>
  <c r="C64" i="13"/>
  <c r="C63" i="13"/>
  <c r="C62" i="13"/>
  <c r="C61" i="13"/>
  <c r="A51" i="13"/>
  <c r="A52" i="18"/>
  <c r="B71" i="67" l="1"/>
  <c r="A71" i="67"/>
  <c r="B70" i="67"/>
  <c r="A70" i="67"/>
  <c r="B69" i="67"/>
  <c r="A69" i="67"/>
  <c r="B68" i="67"/>
  <c r="A68" i="67"/>
  <c r="B67" i="67"/>
  <c r="B66" i="67"/>
  <c r="B65" i="67"/>
  <c r="B64" i="67"/>
  <c r="B62" i="67"/>
  <c r="B61" i="67"/>
  <c r="B60" i="67"/>
  <c r="B59" i="67"/>
  <c r="B58" i="67"/>
  <c r="B57" i="67"/>
  <c r="B56" i="67"/>
  <c r="B55" i="67"/>
  <c r="B54" i="67"/>
  <c r="B53" i="67"/>
  <c r="B52" i="67"/>
  <c r="F17" i="18" l="1"/>
  <c r="A141" i="13"/>
  <c r="A60" i="18" l="1"/>
  <c r="E21" i="38"/>
  <c r="A21" i="38"/>
  <c r="E63" i="13"/>
  <c r="E62" i="13"/>
  <c r="A18" i="62"/>
  <c r="A17" i="62"/>
  <c r="A16" i="62"/>
  <c r="A64" i="18" l="1"/>
  <c r="A65" i="18"/>
  <c r="A66" i="18"/>
  <c r="A67" i="18"/>
  <c r="A68" i="18"/>
  <c r="A69" i="18"/>
  <c r="A70" i="18"/>
  <c r="A71" i="18"/>
  <c r="A72" i="18"/>
  <c r="A63" i="18"/>
  <c r="A62" i="18"/>
  <c r="A61" i="18"/>
  <c r="A59" i="18"/>
  <c r="A58" i="18"/>
  <c r="A57" i="18"/>
  <c r="A124" i="13"/>
  <c r="A96" i="13"/>
  <c r="O311" i="35" l="1"/>
  <c r="N311" i="35"/>
  <c r="M311" i="35"/>
  <c r="O310" i="35"/>
  <c r="N310" i="35"/>
  <c r="O309" i="35"/>
  <c r="N309" i="35"/>
  <c r="O308" i="35"/>
  <c r="P308" i="35" s="1"/>
  <c r="N308" i="35"/>
  <c r="M310" i="35"/>
  <c r="M309" i="35"/>
  <c r="M308" i="35"/>
  <c r="P311" i="35" l="1"/>
  <c r="A5" i="68"/>
  <c r="P310" i="35" l="1"/>
  <c r="P309" i="35"/>
  <c r="A40" i="13" l="1"/>
  <c r="A41" i="13"/>
  <c r="A42" i="13"/>
  <c r="A43" i="13"/>
  <c r="A44" i="13"/>
  <c r="A45" i="13"/>
  <c r="A46" i="13"/>
  <c r="A47" i="13"/>
  <c r="A48" i="13"/>
  <c r="A49" i="13"/>
  <c r="A50" i="13"/>
  <c r="A52" i="13"/>
  <c r="A53" i="13"/>
  <c r="G471" i="62" l="1"/>
  <c r="G464" i="62"/>
  <c r="F471" i="62"/>
  <c r="F464" i="62"/>
  <c r="E471" i="62"/>
  <c r="E464" i="62"/>
  <c r="D471" i="62"/>
  <c r="D464" i="62"/>
  <c r="C471" i="62"/>
  <c r="C464" i="62"/>
  <c r="C448" i="62"/>
  <c r="A448" i="62"/>
  <c r="A447" i="62"/>
  <c r="A446" i="62"/>
  <c r="G467" i="62" l="1"/>
  <c r="F467" i="62"/>
  <c r="E467" i="62"/>
  <c r="D467" i="62"/>
  <c r="C467" i="62"/>
  <c r="A197" i="61" l="1"/>
  <c r="A198" i="61"/>
  <c r="A13" i="67" l="1"/>
  <c r="A12" i="67" l="1"/>
  <c r="A11" i="67"/>
  <c r="A10" i="67"/>
  <c r="A9" i="67"/>
  <c r="A125" i="67"/>
  <c r="A124" i="67"/>
  <c r="A123" i="67"/>
  <c r="A122" i="67"/>
  <c r="A121" i="67"/>
  <c r="A120" i="67"/>
  <c r="A119" i="67"/>
  <c r="A118" i="67"/>
  <c r="A117" i="67"/>
  <c r="A116" i="67"/>
  <c r="A115" i="67"/>
  <c r="A114" i="67"/>
  <c r="A113" i="67"/>
  <c r="A112" i="67"/>
  <c r="A111" i="67"/>
  <c r="A110" i="67"/>
  <c r="A109" i="67"/>
  <c r="A108" i="67"/>
  <c r="A107" i="67"/>
  <c r="A106" i="67"/>
  <c r="A105" i="67"/>
  <c r="A104" i="67"/>
  <c r="A103" i="67"/>
  <c r="A102" i="67"/>
  <c r="A101" i="67"/>
  <c r="A100" i="67"/>
  <c r="A99" i="67"/>
  <c r="A98" i="67"/>
  <c r="A97" i="67"/>
  <c r="A96" i="67"/>
  <c r="A95" i="67"/>
  <c r="A94" i="67"/>
  <c r="B93" i="67"/>
  <c r="A93" i="67"/>
  <c r="B92" i="67"/>
  <c r="A92" i="67"/>
  <c r="A91" i="67"/>
  <c r="A90" i="67"/>
  <c r="A89" i="67"/>
  <c r="C88" i="67"/>
  <c r="A88" i="67"/>
  <c r="A87" i="67"/>
  <c r="F86" i="67"/>
  <c r="A86" i="67"/>
  <c r="A85" i="67"/>
  <c r="A84" i="67"/>
  <c r="A83" i="67"/>
  <c r="A82" i="67"/>
  <c r="A81" i="67"/>
  <c r="A80" i="67"/>
  <c r="A79" i="67"/>
  <c r="A78" i="67"/>
  <c r="A77" i="67"/>
  <c r="A76" i="67"/>
  <c r="A75" i="67"/>
  <c r="A74" i="67"/>
  <c r="A73" i="67"/>
  <c r="A72" i="67"/>
  <c r="A67" i="67"/>
  <c r="A66" i="67"/>
  <c r="A65" i="67"/>
  <c r="A64" i="67"/>
  <c r="A63" i="67"/>
  <c r="A62" i="67"/>
  <c r="A61" i="67"/>
  <c r="A60" i="67"/>
  <c r="A59" i="67"/>
  <c r="A58" i="67"/>
  <c r="A57" i="67"/>
  <c r="A56" i="67"/>
  <c r="A55" i="67"/>
  <c r="A54" i="67"/>
  <c r="A53" i="67"/>
  <c r="A52" i="67"/>
  <c r="A51" i="67"/>
  <c r="A50" i="67"/>
  <c r="A49" i="67"/>
  <c r="A48" i="67"/>
  <c r="A47" i="67"/>
  <c r="A46" i="67"/>
  <c r="A45" i="67"/>
  <c r="A44" i="67"/>
  <c r="A43" i="67"/>
  <c r="A42" i="67"/>
  <c r="A41" i="67"/>
  <c r="A40" i="67"/>
  <c r="A39" i="67"/>
  <c r="A38" i="67"/>
  <c r="A37" i="67"/>
  <c r="A36" i="67"/>
  <c r="A35" i="67"/>
  <c r="A34" i="67"/>
  <c r="A33" i="67"/>
  <c r="A32" i="67"/>
  <c r="A31" i="67"/>
  <c r="A30" i="67"/>
  <c r="A29" i="67"/>
  <c r="A28" i="67"/>
  <c r="A27" i="67"/>
  <c r="A26" i="67"/>
  <c r="A25" i="67"/>
  <c r="A24" i="67"/>
  <c r="A23" i="67"/>
  <c r="A22" i="67"/>
  <c r="A21" i="67"/>
  <c r="A20" i="67"/>
  <c r="F19" i="67"/>
  <c r="A19" i="67"/>
  <c r="A18" i="67"/>
  <c r="A17" i="67"/>
  <c r="A16" i="67"/>
  <c r="A15" i="67"/>
  <c r="A14" i="67"/>
  <c r="A73" i="18"/>
  <c r="A23" i="39" l="1"/>
  <c r="E61" i="13"/>
  <c r="E64" i="13" s="1"/>
  <c r="A14" i="13" l="1"/>
  <c r="A117" i="13"/>
  <c r="F140" i="13"/>
  <c r="F142" i="13" s="1"/>
  <c r="F35" i="18" s="1"/>
  <c r="F23" i="18"/>
  <c r="F61" i="67" s="1"/>
  <c r="L112" i="13"/>
  <c r="K112" i="13"/>
  <c r="J112" i="13"/>
  <c r="I112" i="13"/>
  <c r="H112" i="13"/>
  <c r="G112" i="13"/>
  <c r="A112" i="13"/>
  <c r="A111" i="13"/>
  <c r="A110" i="13"/>
  <c r="A140" i="13"/>
  <c r="A121" i="13"/>
  <c r="A83" i="13"/>
  <c r="A84" i="13"/>
  <c r="A74" i="13"/>
  <c r="D106" i="35"/>
  <c r="G77" i="13"/>
  <c r="G111" i="13" s="1"/>
  <c r="G85" i="13"/>
  <c r="A68" i="13"/>
  <c r="A67" i="13"/>
  <c r="G87" i="13"/>
  <c r="C66" i="13"/>
  <c r="C67" i="13" s="1"/>
  <c r="E66" i="13"/>
  <c r="G23" i="18" l="1"/>
  <c r="G61" i="67" s="1"/>
  <c r="F14" i="18"/>
  <c r="G86" i="13"/>
  <c r="L33" i="18"/>
  <c r="L71" i="67" s="1"/>
  <c r="K33" i="18"/>
  <c r="K71" i="67" s="1"/>
  <c r="J33" i="18"/>
  <c r="J71" i="67" s="1"/>
  <c r="I33" i="18"/>
  <c r="I71" i="67" s="1"/>
  <c r="H33" i="18"/>
  <c r="H71" i="67" s="1"/>
  <c r="G33" i="18"/>
  <c r="F33" i="18"/>
  <c r="A139" i="61"/>
  <c r="A138" i="61"/>
  <c r="A137" i="61"/>
  <c r="A136" i="61"/>
  <c r="A135" i="61"/>
  <c r="A134" i="61"/>
  <c r="A133" i="61"/>
  <c r="C33" i="18" l="1"/>
  <c r="D33" i="18"/>
  <c r="A21" i="45" l="1"/>
  <c r="A11" i="18" l="1"/>
  <c r="J11" i="18"/>
  <c r="I11" i="18"/>
  <c r="H11" i="18"/>
  <c r="G11" i="18"/>
  <c r="F11" i="18"/>
  <c r="A56" i="38"/>
  <c r="A55" i="38"/>
  <c r="A36" i="46" l="1"/>
  <c r="A37" i="46"/>
  <c r="A39" i="46"/>
  <c r="A37" i="39"/>
  <c r="A36" i="39"/>
  <c r="A35" i="39"/>
  <c r="A34" i="39"/>
  <c r="A33" i="39"/>
  <c r="L100" i="61" l="1"/>
  <c r="K100" i="61"/>
  <c r="J100" i="61"/>
  <c r="I100" i="61"/>
  <c r="H100" i="61"/>
  <c r="G100" i="61"/>
  <c r="G99" i="61"/>
  <c r="H99" i="61"/>
  <c r="I99" i="61"/>
  <c r="J99" i="61"/>
  <c r="K99" i="61"/>
  <c r="L99" i="61"/>
  <c r="A132" i="61"/>
  <c r="A69" i="13"/>
  <c r="A66" i="13"/>
  <c r="A65" i="13"/>
  <c r="A64" i="13"/>
  <c r="A63" i="13"/>
  <c r="A62" i="13"/>
  <c r="A61" i="13"/>
  <c r="A60" i="13"/>
  <c r="A59" i="13"/>
  <c r="A25" i="39" l="1"/>
  <c r="A24" i="39"/>
  <c r="A21" i="39"/>
  <c r="A22" i="39"/>
  <c r="A131" i="61" l="1"/>
  <c r="A130" i="61"/>
  <c r="B25" i="18" l="1"/>
  <c r="B63" i="67" s="1"/>
  <c r="L25" i="18"/>
  <c r="L63" i="67" s="1"/>
  <c r="K25" i="18"/>
  <c r="K63" i="67" s="1"/>
  <c r="J25" i="18"/>
  <c r="J63" i="67" s="1"/>
  <c r="I25" i="18"/>
  <c r="I63" i="67" s="1"/>
  <c r="H25" i="18"/>
  <c r="H63" i="67" s="1"/>
  <c r="G25" i="18"/>
  <c r="G63" i="67" s="1"/>
  <c r="F25" i="18"/>
  <c r="A25" i="18"/>
  <c r="C131" i="13"/>
  <c r="A143" i="13"/>
  <c r="A142" i="13"/>
  <c r="A139" i="13"/>
  <c r="A138" i="13"/>
  <c r="A137" i="13"/>
  <c r="A136" i="13"/>
  <c r="A135" i="13"/>
  <c r="A134" i="13"/>
  <c r="A133" i="13"/>
  <c r="A132" i="13"/>
  <c r="A131" i="13"/>
  <c r="G78" i="62"/>
  <c r="A63" i="45"/>
  <c r="D25" i="18" l="1"/>
  <c r="C25" i="18"/>
  <c r="D49" i="13" l="1"/>
  <c r="A40" i="39"/>
  <c r="E39" i="39"/>
  <c r="A38" i="39"/>
  <c r="A32" i="39"/>
  <c r="A31" i="39"/>
  <c r="A30" i="39"/>
  <c r="A29" i="39"/>
  <c r="A28" i="39"/>
  <c r="A27" i="39"/>
  <c r="A26" i="39"/>
  <c r="A20" i="39"/>
  <c r="A19" i="39"/>
  <c r="A18" i="39"/>
  <c r="A17" i="39"/>
  <c r="A16" i="39"/>
  <c r="A15" i="39"/>
  <c r="A14" i="39"/>
  <c r="A13" i="39"/>
  <c r="A12" i="39"/>
  <c r="A11" i="39"/>
  <c r="A70" i="38"/>
  <c r="A69" i="38"/>
  <c r="Q13" i="38"/>
  <c r="P13" i="38"/>
  <c r="O13" i="38"/>
  <c r="N13" i="38"/>
  <c r="M13" i="38"/>
  <c r="K13" i="38"/>
  <c r="J13" i="38"/>
  <c r="I13" i="38"/>
  <c r="H13" i="38"/>
  <c r="G13" i="38"/>
  <c r="F65" i="38"/>
  <c r="F66" i="38" s="1"/>
  <c r="A65" i="38"/>
  <c r="A64" i="38"/>
  <c r="A54" i="38"/>
  <c r="A53" i="38"/>
  <c r="A60" i="38"/>
  <c r="A31" i="34"/>
  <c r="A30" i="34"/>
  <c r="A29" i="34"/>
  <c r="A28" i="34"/>
  <c r="A78" i="61"/>
  <c r="A100" i="61"/>
  <c r="A101" i="61"/>
  <c r="A99" i="61"/>
  <c r="F68" i="38" l="1"/>
  <c r="G63" i="38" s="1"/>
  <c r="G65" i="38" s="1"/>
  <c r="G66" i="38" l="1"/>
  <c r="G68" i="38" s="1"/>
  <c r="A25" i="66"/>
  <c r="A24" i="66"/>
  <c r="A23" i="66"/>
  <c r="A22" i="66"/>
  <c r="A21" i="66"/>
  <c r="A20" i="66"/>
  <c r="A19" i="66"/>
  <c r="A18" i="66"/>
  <c r="A17" i="66"/>
  <c r="A16" i="66"/>
  <c r="A15" i="66"/>
  <c r="A14" i="66"/>
  <c r="A13" i="66"/>
  <c r="A12" i="66"/>
  <c r="A11" i="66"/>
  <c r="A10" i="66"/>
  <c r="A9" i="66"/>
  <c r="B77" i="13" l="1"/>
  <c r="B109" i="35"/>
  <c r="G32" i="35" l="1"/>
  <c r="D116" i="35" l="1"/>
  <c r="D115" i="35" s="1"/>
  <c r="C82" i="13" s="1"/>
  <c r="C77" i="13" l="1"/>
  <c r="B25" i="52"/>
  <c r="B87" i="38"/>
  <c r="F26" i="35"/>
  <c r="F25" i="35"/>
  <c r="F24" i="35"/>
  <c r="F23" i="35"/>
  <c r="F22" i="35"/>
  <c r="F21" i="35"/>
  <c r="F15" i="18" l="1"/>
  <c r="F53" i="67" s="1"/>
  <c r="F52" i="67"/>
  <c r="A108" i="13"/>
  <c r="A118" i="13"/>
  <c r="A116" i="13"/>
  <c r="A115" i="13"/>
  <c r="A114" i="13"/>
  <c r="A113" i="13"/>
  <c r="A109" i="13"/>
  <c r="A91" i="13"/>
  <c r="A90" i="13"/>
  <c r="A89" i="13"/>
  <c r="A88" i="13"/>
  <c r="A87" i="13"/>
  <c r="A86" i="13"/>
  <c r="A85" i="13"/>
  <c r="A82" i="13"/>
  <c r="C104" i="13"/>
  <c r="C113" i="13"/>
  <c r="A98" i="13"/>
  <c r="A97" i="13"/>
  <c r="A95" i="13"/>
  <c r="A94" i="13"/>
  <c r="A93" i="13"/>
  <c r="A92" i="13"/>
  <c r="A81" i="13"/>
  <c r="A80" i="13"/>
  <c r="A79" i="13"/>
  <c r="A78" i="13"/>
  <c r="A77" i="13"/>
  <c r="A75" i="13"/>
  <c r="A72" i="13"/>
  <c r="A71" i="13"/>
  <c r="A70" i="13"/>
  <c r="E37" i="35"/>
  <c r="E36" i="35"/>
  <c r="E35" i="35"/>
  <c r="E34" i="35"/>
  <c r="E33" i="35"/>
  <c r="E32" i="35"/>
  <c r="J32" i="35" s="1"/>
  <c r="D78" i="13"/>
  <c r="B80" i="13"/>
  <c r="B79" i="13"/>
  <c r="B78" i="13"/>
  <c r="G78" i="13" l="1"/>
  <c r="D79" i="13"/>
  <c r="D80" i="13"/>
  <c r="H85" i="13"/>
  <c r="I85" i="13" s="1"/>
  <c r="J85" i="13" s="1"/>
  <c r="K85" i="13" s="1"/>
  <c r="L85" i="13" s="1"/>
  <c r="H86" i="13"/>
  <c r="I86" i="13" s="1"/>
  <c r="J86" i="13" s="1"/>
  <c r="K86" i="13" s="1"/>
  <c r="L86" i="13" s="1"/>
  <c r="H87" i="13"/>
  <c r="I87" i="13" s="1"/>
  <c r="J87" i="13" s="1"/>
  <c r="K87" i="13" s="1"/>
  <c r="L87" i="13" s="1"/>
  <c r="G80" i="13" l="1"/>
  <c r="G79" i="13"/>
  <c r="K64" i="35"/>
  <c r="K63" i="35"/>
  <c r="K62" i="35"/>
  <c r="K61" i="35"/>
  <c r="G110" i="13" l="1"/>
  <c r="C26" i="38" s="1"/>
  <c r="K65" i="35"/>
  <c r="D56" i="35" l="1"/>
  <c r="D16" i="35"/>
  <c r="G35" i="13" l="1"/>
  <c r="G62" i="13" l="1"/>
  <c r="G124" i="13"/>
  <c r="C21" i="38" s="1"/>
  <c r="D21" i="38" s="1"/>
  <c r="G63" i="13"/>
  <c r="G64" i="13"/>
  <c r="G61" i="13"/>
  <c r="H77" i="13" s="1"/>
  <c r="H111" i="13" s="1"/>
  <c r="H23" i="18" s="1"/>
  <c r="G19" i="67"/>
  <c r="G18" i="13"/>
  <c r="G46" i="13"/>
  <c r="G44" i="13"/>
  <c r="H107" i="62" s="1"/>
  <c r="G47" i="13"/>
  <c r="G45" i="13"/>
  <c r="G78" i="61"/>
  <c r="G106" i="13"/>
  <c r="D112" i="35"/>
  <c r="D111" i="35"/>
  <c r="D110" i="35"/>
  <c r="D109" i="35"/>
  <c r="D108" i="35"/>
  <c r="D107" i="35"/>
  <c r="A106" i="13"/>
  <c r="I112" i="35"/>
  <c r="H112" i="35"/>
  <c r="G112" i="35"/>
  <c r="F112" i="35"/>
  <c r="I111" i="35"/>
  <c r="H111" i="35"/>
  <c r="G111" i="35"/>
  <c r="F111" i="35"/>
  <c r="I110" i="35"/>
  <c r="H110" i="35"/>
  <c r="G110" i="35"/>
  <c r="F110" i="35"/>
  <c r="I109" i="35"/>
  <c r="H109" i="35"/>
  <c r="G109" i="35"/>
  <c r="F109" i="35"/>
  <c r="I108" i="35"/>
  <c r="H108" i="35"/>
  <c r="G108" i="35"/>
  <c r="F108" i="35"/>
  <c r="I107" i="35"/>
  <c r="H107" i="35"/>
  <c r="G107" i="35"/>
  <c r="F107" i="35"/>
  <c r="B112" i="35"/>
  <c r="B111" i="35"/>
  <c r="B110" i="35"/>
  <c r="B108" i="35"/>
  <c r="B107" i="35"/>
  <c r="E112" i="35"/>
  <c r="E111" i="35"/>
  <c r="E110" i="35"/>
  <c r="E109" i="35"/>
  <c r="E108" i="35"/>
  <c r="E107" i="35"/>
  <c r="I100" i="35"/>
  <c r="H100" i="35"/>
  <c r="G100" i="35"/>
  <c r="F100" i="35"/>
  <c r="C79" i="35"/>
  <c r="C102" i="35"/>
  <c r="A108" i="35"/>
  <c r="A109" i="35" s="1"/>
  <c r="A110" i="35" s="1"/>
  <c r="A111" i="35" s="1"/>
  <c r="A112" i="35" s="1"/>
  <c r="C93" i="35"/>
  <c r="I92" i="35"/>
  <c r="H92" i="35"/>
  <c r="G92" i="35"/>
  <c r="F92" i="35"/>
  <c r="I91" i="35"/>
  <c r="H91" i="35"/>
  <c r="G91" i="35"/>
  <c r="F91" i="35"/>
  <c r="I90" i="35"/>
  <c r="H90" i="35"/>
  <c r="G90" i="35"/>
  <c r="F90" i="35"/>
  <c r="I87" i="35"/>
  <c r="H87" i="35"/>
  <c r="G87" i="35"/>
  <c r="I86" i="35"/>
  <c r="H86" i="35"/>
  <c r="G86" i="35"/>
  <c r="F86" i="35"/>
  <c r="F87" i="35"/>
  <c r="E92" i="35"/>
  <c r="E91" i="35"/>
  <c r="E90" i="35"/>
  <c r="E87" i="35"/>
  <c r="E86" i="35"/>
  <c r="B91" i="35"/>
  <c r="B90" i="35"/>
  <c r="B89" i="35"/>
  <c r="B88" i="35"/>
  <c r="B87" i="35"/>
  <c r="B86" i="35"/>
  <c r="A87" i="35"/>
  <c r="A88" i="35" s="1"/>
  <c r="A89" i="35" s="1"/>
  <c r="A90" i="35" s="1"/>
  <c r="A91" i="35" s="1"/>
  <c r="E79" i="35"/>
  <c r="E98" i="35" s="1"/>
  <c r="G108" i="67" l="1"/>
  <c r="G120" i="67"/>
  <c r="G94" i="67"/>
  <c r="C81" i="13"/>
  <c r="D81" i="13" s="1"/>
  <c r="J109" i="35"/>
  <c r="J112" i="35"/>
  <c r="J108" i="35"/>
  <c r="J111" i="35"/>
  <c r="J107" i="35"/>
  <c r="J92" i="35"/>
  <c r="J91" i="35"/>
  <c r="J86" i="35"/>
  <c r="G81" i="13" l="1"/>
  <c r="G49" i="13"/>
  <c r="J110" i="35"/>
  <c r="J90" i="35"/>
  <c r="J87" i="35"/>
  <c r="H81" i="35"/>
  <c r="G81" i="35"/>
  <c r="I81" i="35"/>
  <c r="F81" i="35"/>
  <c r="H79" i="35"/>
  <c r="G79" i="35"/>
  <c r="I79" i="35"/>
  <c r="F79" i="35"/>
  <c r="H98" i="35" l="1"/>
  <c r="I98" i="35"/>
  <c r="F98" i="35"/>
  <c r="G98" i="35"/>
  <c r="J79" i="35"/>
  <c r="I260" i="35"/>
  <c r="H260" i="35"/>
  <c r="G260" i="35"/>
  <c r="F260" i="35"/>
  <c r="E260" i="35"/>
  <c r="I259" i="35"/>
  <c r="H259" i="35"/>
  <c r="G259" i="35"/>
  <c r="F259" i="35"/>
  <c r="E259" i="35"/>
  <c r="E238" i="35" s="1"/>
  <c r="I258" i="35"/>
  <c r="H258" i="35"/>
  <c r="G258" i="35"/>
  <c r="F258" i="35"/>
  <c r="E258" i="35"/>
  <c r="E237" i="35" s="1"/>
  <c r="I257" i="35"/>
  <c r="H257" i="35"/>
  <c r="G257" i="35"/>
  <c r="F257" i="35"/>
  <c r="E257" i="35"/>
  <c r="I256" i="35"/>
  <c r="H256" i="35"/>
  <c r="G256" i="35"/>
  <c r="F256" i="35"/>
  <c r="E256" i="35"/>
  <c r="I255" i="35"/>
  <c r="H255" i="35"/>
  <c r="G255" i="35"/>
  <c r="F255" i="35"/>
  <c r="E255" i="35"/>
  <c r="E234" i="35" s="1"/>
  <c r="E16" i="35"/>
  <c r="D113" i="35" s="1"/>
  <c r="B299" i="35"/>
  <c r="B298" i="35"/>
  <c r="B297" i="35"/>
  <c r="D296" i="35"/>
  <c r="B296" i="35"/>
  <c r="D295" i="35"/>
  <c r="B295" i="35"/>
  <c r="A295" i="35"/>
  <c r="A296" i="35" s="1"/>
  <c r="A297" i="35" s="1"/>
  <c r="A298" i="35" s="1"/>
  <c r="A299" i="35" s="1"/>
  <c r="D294" i="35"/>
  <c r="B294" i="35"/>
  <c r="B289" i="35"/>
  <c r="B288" i="35"/>
  <c r="B287" i="35"/>
  <c r="D286" i="35"/>
  <c r="B286" i="35"/>
  <c r="D285" i="35"/>
  <c r="B285" i="35"/>
  <c r="A285" i="35"/>
  <c r="A286" i="35" s="1"/>
  <c r="A287" i="35" s="1"/>
  <c r="A288" i="35" s="1"/>
  <c r="A289" i="35" s="1"/>
  <c r="D284" i="35"/>
  <c r="B284" i="35"/>
  <c r="I278" i="35"/>
  <c r="H278" i="35"/>
  <c r="G278" i="35"/>
  <c r="F278" i="35"/>
  <c r="E278" i="35"/>
  <c r="B276" i="35"/>
  <c r="B275" i="35"/>
  <c r="B274" i="35"/>
  <c r="D273" i="35"/>
  <c r="B273" i="35"/>
  <c r="D272" i="35"/>
  <c r="B272" i="35"/>
  <c r="A272" i="35"/>
  <c r="A273" i="35" s="1"/>
  <c r="A274" i="35" s="1"/>
  <c r="A275" i="35" s="1"/>
  <c r="A276" i="35" s="1"/>
  <c r="D271" i="35"/>
  <c r="B271" i="35"/>
  <c r="D33" i="35"/>
  <c r="F33" i="35" s="1"/>
  <c r="D37" i="35"/>
  <c r="F37" i="35" s="1"/>
  <c r="D36" i="35"/>
  <c r="F36" i="35" s="1"/>
  <c r="D35" i="35"/>
  <c r="F35" i="35" s="1"/>
  <c r="D34" i="35"/>
  <c r="D32" i="35"/>
  <c r="F34" i="35" l="1"/>
  <c r="G44" i="35"/>
  <c r="H44" i="35" s="1"/>
  <c r="G41" i="35"/>
  <c r="H41" i="35" s="1"/>
  <c r="G43" i="35"/>
  <c r="H43" i="35" s="1"/>
  <c r="G42" i="35"/>
  <c r="H42" i="35" s="1"/>
  <c r="F32" i="35"/>
  <c r="H32" i="35"/>
  <c r="I32" i="35" s="1"/>
  <c r="I80" i="35"/>
  <c r="K79" i="35"/>
  <c r="G80" i="35"/>
  <c r="I113" i="35"/>
  <c r="I114" i="35" s="1"/>
  <c r="D90" i="35"/>
  <c r="J98" i="35"/>
  <c r="D89" i="35"/>
  <c r="D86" i="35"/>
  <c r="D91" i="35"/>
  <c r="D88" i="35"/>
  <c r="D87" i="35"/>
  <c r="D259" i="35"/>
  <c r="G113" i="35"/>
  <c r="G114" i="35" s="1"/>
  <c r="D92" i="35"/>
  <c r="E85" i="35"/>
  <c r="E89" i="35"/>
  <c r="J80" i="35"/>
  <c r="E80" i="35"/>
  <c r="F80" i="35"/>
  <c r="H80" i="35"/>
  <c r="H261" i="35"/>
  <c r="D236" i="35"/>
  <c r="D248" i="35"/>
  <c r="D237" i="35"/>
  <c r="D245" i="35"/>
  <c r="D249" i="35"/>
  <c r="D257" i="35"/>
  <c r="D256" i="35"/>
  <c r="D234" i="35"/>
  <c r="D238" i="35"/>
  <c r="D246" i="35"/>
  <c r="D250" i="35"/>
  <c r="D258" i="35"/>
  <c r="F261" i="35"/>
  <c r="J256" i="35"/>
  <c r="J260" i="35"/>
  <c r="D260" i="35"/>
  <c r="J278" i="35"/>
  <c r="D235" i="35"/>
  <c r="D239" i="35"/>
  <c r="D247" i="35"/>
  <c r="D255" i="35"/>
  <c r="G261" i="35"/>
  <c r="J257" i="35"/>
  <c r="J258" i="35"/>
  <c r="E235" i="35"/>
  <c r="E239" i="35"/>
  <c r="J255" i="35"/>
  <c r="I261" i="35"/>
  <c r="J259" i="35"/>
  <c r="E236" i="35"/>
  <c r="E261" i="35"/>
  <c r="E240" i="35" l="1"/>
  <c r="F88" i="35"/>
  <c r="G88" i="35"/>
  <c r="I88" i="35"/>
  <c r="H88" i="35"/>
  <c r="E88" i="35"/>
  <c r="E93" i="35" s="1"/>
  <c r="E94" i="35" s="1"/>
  <c r="G99" i="35"/>
  <c r="F99" i="35"/>
  <c r="H113" i="35"/>
  <c r="H114" i="35" s="1"/>
  <c r="I89" i="35"/>
  <c r="F89" i="35"/>
  <c r="G89" i="35"/>
  <c r="H89" i="35"/>
  <c r="H93" i="35" s="1"/>
  <c r="H94" i="35" s="1"/>
  <c r="F113" i="35"/>
  <c r="F114" i="35" s="1"/>
  <c r="I99" i="35"/>
  <c r="H99" i="35"/>
  <c r="E113" i="35"/>
  <c r="J99" i="35"/>
  <c r="E99" i="35"/>
  <c r="E106" i="35"/>
  <c r="E263" i="35"/>
  <c r="J261" i="35"/>
  <c r="G93" i="35" l="1"/>
  <c r="G94" i="35" s="1"/>
  <c r="F93" i="35"/>
  <c r="F94" i="35" s="1"/>
  <c r="F95" i="35" s="1"/>
  <c r="I93" i="35"/>
  <c r="I94" i="35" s="1"/>
  <c r="I95" i="35" s="1"/>
  <c r="J88" i="35"/>
  <c r="E95" i="35"/>
  <c r="G95" i="35"/>
  <c r="H95" i="35"/>
  <c r="J89" i="35"/>
  <c r="J113" i="35"/>
  <c r="E114" i="35"/>
  <c r="J114" i="35" s="1"/>
  <c r="D202" i="35"/>
  <c r="D201" i="35"/>
  <c r="D200" i="35"/>
  <c r="D199" i="35"/>
  <c r="D198" i="35"/>
  <c r="D197" i="35"/>
  <c r="D215" i="35"/>
  <c r="D214" i="35"/>
  <c r="D213" i="35"/>
  <c r="D212" i="35"/>
  <c r="D211" i="35"/>
  <c r="D210" i="35"/>
  <c r="I225" i="35"/>
  <c r="H225" i="35"/>
  <c r="G225" i="35"/>
  <c r="F225" i="35"/>
  <c r="E225" i="35"/>
  <c r="I224" i="35"/>
  <c r="H224" i="35"/>
  <c r="G224" i="35"/>
  <c r="F224" i="35"/>
  <c r="E224" i="35"/>
  <c r="E201" i="35" s="1"/>
  <c r="I223" i="35"/>
  <c r="H223" i="35"/>
  <c r="G223" i="35"/>
  <c r="F223" i="35"/>
  <c r="E223" i="35"/>
  <c r="E200" i="35" s="1"/>
  <c r="I222" i="35"/>
  <c r="H222" i="35"/>
  <c r="G222" i="35"/>
  <c r="F222" i="35"/>
  <c r="E222" i="35"/>
  <c r="E199" i="35" s="1"/>
  <c r="I221" i="35"/>
  <c r="H221" i="35"/>
  <c r="G221" i="35"/>
  <c r="F221" i="35"/>
  <c r="E221" i="35"/>
  <c r="E198" i="35" s="1"/>
  <c r="I220" i="35"/>
  <c r="H220" i="35"/>
  <c r="G220" i="35"/>
  <c r="E220" i="35"/>
  <c r="E197" i="35" s="1"/>
  <c r="D225" i="35"/>
  <c r="D224" i="35"/>
  <c r="D223" i="35"/>
  <c r="D222" i="35"/>
  <c r="D221" i="35"/>
  <c r="D220" i="35"/>
  <c r="F220" i="35" s="1"/>
  <c r="B260" i="35"/>
  <c r="B259" i="35"/>
  <c r="B258" i="35"/>
  <c r="B257" i="35"/>
  <c r="B256" i="35"/>
  <c r="B255" i="35"/>
  <c r="B250" i="35"/>
  <c r="B249" i="35"/>
  <c r="B248" i="35"/>
  <c r="B247" i="35"/>
  <c r="B246" i="35"/>
  <c r="B245" i="35"/>
  <c r="B239" i="35"/>
  <c r="B238" i="35"/>
  <c r="B237" i="35"/>
  <c r="B236" i="35"/>
  <c r="B235" i="35"/>
  <c r="B234" i="35"/>
  <c r="B225" i="35"/>
  <c r="B224" i="35"/>
  <c r="B223" i="35"/>
  <c r="B222" i="35"/>
  <c r="B221" i="35"/>
  <c r="B220" i="35"/>
  <c r="B215" i="35"/>
  <c r="B214" i="35"/>
  <c r="B213" i="35"/>
  <c r="B212" i="35"/>
  <c r="B211" i="35"/>
  <c r="B210" i="35"/>
  <c r="B202" i="35"/>
  <c r="B201" i="35"/>
  <c r="B200" i="35"/>
  <c r="B199" i="35"/>
  <c r="B198" i="35"/>
  <c r="B197" i="35"/>
  <c r="B188" i="35"/>
  <c r="B187" i="35"/>
  <c r="B186" i="35"/>
  <c r="B185" i="35"/>
  <c r="B184" i="35"/>
  <c r="B183" i="35"/>
  <c r="B178" i="35"/>
  <c r="B177" i="35"/>
  <c r="B176" i="35"/>
  <c r="B175" i="35"/>
  <c r="B174" i="35"/>
  <c r="B173" i="35"/>
  <c r="B167" i="35"/>
  <c r="B166" i="35"/>
  <c r="B165" i="35"/>
  <c r="B164" i="35"/>
  <c r="B163" i="35"/>
  <c r="B162" i="35"/>
  <c r="B153" i="35"/>
  <c r="B152" i="35"/>
  <c r="B151" i="35"/>
  <c r="B150" i="35"/>
  <c r="B149" i="35"/>
  <c r="B148" i="35"/>
  <c r="B143" i="35"/>
  <c r="B142" i="35"/>
  <c r="B141" i="35"/>
  <c r="B140" i="35"/>
  <c r="B139" i="35"/>
  <c r="B138" i="35"/>
  <c r="B132" i="35"/>
  <c r="B131" i="35"/>
  <c r="B130" i="35"/>
  <c r="B129" i="35"/>
  <c r="B128" i="35"/>
  <c r="B127" i="35"/>
  <c r="A256" i="35"/>
  <c r="A257" i="35" s="1"/>
  <c r="A258" i="35" s="1"/>
  <c r="A259" i="35" s="1"/>
  <c r="A260" i="35" s="1"/>
  <c r="A246" i="35"/>
  <c r="A247" i="35" s="1"/>
  <c r="A248" i="35" s="1"/>
  <c r="A249" i="35" s="1"/>
  <c r="A250" i="35" s="1"/>
  <c r="A235" i="35"/>
  <c r="A236" i="35" s="1"/>
  <c r="A237" i="35" s="1"/>
  <c r="A238" i="35" s="1"/>
  <c r="A239" i="35" s="1"/>
  <c r="A221" i="35"/>
  <c r="A222" i="35" s="1"/>
  <c r="A223" i="35" s="1"/>
  <c r="A224" i="35" s="1"/>
  <c r="A225" i="35" s="1"/>
  <c r="A211" i="35"/>
  <c r="A212" i="35" s="1"/>
  <c r="A213" i="35" s="1"/>
  <c r="A214" i="35" s="1"/>
  <c r="A215" i="35" s="1"/>
  <c r="A198" i="35"/>
  <c r="A199" i="35" s="1"/>
  <c r="A200" i="35" s="1"/>
  <c r="A201" i="35" s="1"/>
  <c r="A202" i="35" s="1"/>
  <c r="I188" i="35"/>
  <c r="H188" i="35"/>
  <c r="G188" i="35"/>
  <c r="F188" i="35"/>
  <c r="E188" i="35"/>
  <c r="I187" i="35"/>
  <c r="H187" i="35"/>
  <c r="G187" i="35"/>
  <c r="F187" i="35"/>
  <c r="E187" i="35"/>
  <c r="I186" i="35"/>
  <c r="H186" i="35"/>
  <c r="G186" i="35"/>
  <c r="F186" i="35"/>
  <c r="E186" i="35"/>
  <c r="I185" i="35"/>
  <c r="H185" i="35"/>
  <c r="G185" i="35"/>
  <c r="F185" i="35"/>
  <c r="E185" i="35"/>
  <c r="I184" i="35"/>
  <c r="H184" i="35"/>
  <c r="G184" i="35"/>
  <c r="F184" i="35"/>
  <c r="E184" i="35"/>
  <c r="A184" i="35"/>
  <c r="A185" i="35" s="1"/>
  <c r="A186" i="35" s="1"/>
  <c r="A187" i="35" s="1"/>
  <c r="A188" i="35" s="1"/>
  <c r="I183" i="35"/>
  <c r="H183" i="35"/>
  <c r="G183" i="35"/>
  <c r="F183" i="35"/>
  <c r="E183" i="35"/>
  <c r="I179" i="35"/>
  <c r="H179" i="35"/>
  <c r="G179" i="35"/>
  <c r="F179" i="35"/>
  <c r="J178" i="35"/>
  <c r="J177" i="35"/>
  <c r="J176" i="35"/>
  <c r="J175" i="35"/>
  <c r="J174" i="35"/>
  <c r="A174" i="35"/>
  <c r="A175" i="35" s="1"/>
  <c r="A176" i="35" s="1"/>
  <c r="A177" i="35" s="1"/>
  <c r="A178" i="35" s="1"/>
  <c r="J173" i="35"/>
  <c r="I168" i="35"/>
  <c r="H168" i="35"/>
  <c r="G168" i="35"/>
  <c r="F168" i="35"/>
  <c r="E168" i="35"/>
  <c r="J167" i="35"/>
  <c r="J166" i="35"/>
  <c r="J165" i="35"/>
  <c r="J164" i="35"/>
  <c r="J163" i="35"/>
  <c r="A163" i="35"/>
  <c r="A164" i="35" s="1"/>
  <c r="A165" i="35" s="1"/>
  <c r="A166" i="35" s="1"/>
  <c r="A167" i="35" s="1"/>
  <c r="J162" i="35"/>
  <c r="I133" i="35"/>
  <c r="I204" i="35" s="1"/>
  <c r="I296" i="35" s="1"/>
  <c r="H133" i="35"/>
  <c r="H204" i="35" s="1"/>
  <c r="H296" i="35" s="1"/>
  <c r="G133" i="35"/>
  <c r="G204" i="35" s="1"/>
  <c r="G296" i="35" s="1"/>
  <c r="E133" i="35"/>
  <c r="E204" i="35" s="1"/>
  <c r="E296" i="35" s="1"/>
  <c r="F133" i="35"/>
  <c r="F204" i="35" s="1"/>
  <c r="F296" i="35" s="1"/>
  <c r="J127" i="35"/>
  <c r="I153" i="35"/>
  <c r="H153" i="35"/>
  <c r="G153" i="35"/>
  <c r="F153" i="35"/>
  <c r="E153" i="35"/>
  <c r="I152" i="35"/>
  <c r="H152" i="35"/>
  <c r="G152" i="35"/>
  <c r="F152" i="35"/>
  <c r="E152" i="35"/>
  <c r="I151" i="35"/>
  <c r="H151" i="35"/>
  <c r="G151" i="35"/>
  <c r="F151" i="35"/>
  <c r="E151" i="35"/>
  <c r="I172" i="35" s="1"/>
  <c r="I150" i="35"/>
  <c r="H150" i="35"/>
  <c r="G150" i="35"/>
  <c r="F150" i="35"/>
  <c r="E150" i="35"/>
  <c r="H172" i="35" s="1"/>
  <c r="I149" i="35"/>
  <c r="H149" i="35"/>
  <c r="G149" i="35"/>
  <c r="F149" i="35"/>
  <c r="E149" i="35"/>
  <c r="G172" i="35" s="1"/>
  <c r="I148" i="35"/>
  <c r="H148" i="35"/>
  <c r="G148" i="35"/>
  <c r="F148" i="35"/>
  <c r="E148" i="35"/>
  <c r="F172" i="35" s="1"/>
  <c r="A149" i="35"/>
  <c r="A150" i="35" s="1"/>
  <c r="A151" i="35" s="1"/>
  <c r="A152" i="35" s="1"/>
  <c r="A153" i="35" s="1"/>
  <c r="A139" i="35"/>
  <c r="A140" i="35" s="1"/>
  <c r="A141" i="35" s="1"/>
  <c r="A142" i="35" s="1"/>
  <c r="A143" i="35" s="1"/>
  <c r="A128" i="35"/>
  <c r="A129" i="35" s="1"/>
  <c r="A130" i="35" s="1"/>
  <c r="A131" i="35" s="1"/>
  <c r="A132" i="35" s="1"/>
  <c r="J132" i="35"/>
  <c r="J131" i="35"/>
  <c r="J130" i="35"/>
  <c r="J129" i="35"/>
  <c r="J128" i="35"/>
  <c r="J143" i="35"/>
  <c r="J142" i="35"/>
  <c r="J141" i="35"/>
  <c r="J140" i="35"/>
  <c r="J139" i="35"/>
  <c r="J138" i="35"/>
  <c r="I144" i="35"/>
  <c r="H144" i="35"/>
  <c r="G144" i="35"/>
  <c r="F144" i="35"/>
  <c r="I137" i="35"/>
  <c r="I209" i="35" s="1"/>
  <c r="H137" i="35"/>
  <c r="H209" i="35" s="1"/>
  <c r="F137" i="35"/>
  <c r="F209" i="35" s="1"/>
  <c r="G137" i="35"/>
  <c r="G209" i="35" s="1"/>
  <c r="G411" i="35"/>
  <c r="J400" i="35"/>
  <c r="J93" i="35" l="1"/>
  <c r="J94" i="35" s="1"/>
  <c r="J95" i="35" s="1"/>
  <c r="G109" i="13"/>
  <c r="J296" i="35"/>
  <c r="E273" i="35"/>
  <c r="J273" i="35" s="1"/>
  <c r="I210" i="35"/>
  <c r="I197" i="35" s="1"/>
  <c r="I211" i="35"/>
  <c r="I198" i="35" s="1"/>
  <c r="I212" i="35"/>
  <c r="I283" i="35" s="1"/>
  <c r="I213" i="35"/>
  <c r="I214" i="35"/>
  <c r="I215" i="35"/>
  <c r="I250" i="35"/>
  <c r="I239" i="35" s="1"/>
  <c r="I246" i="35"/>
  <c r="I235" i="35" s="1"/>
  <c r="I245" i="35"/>
  <c r="I249" i="35"/>
  <c r="I238" i="35" s="1"/>
  <c r="I248" i="35"/>
  <c r="I237" i="35" s="1"/>
  <c r="I247" i="35"/>
  <c r="I236" i="35" s="1"/>
  <c r="G246" i="35"/>
  <c r="G235" i="35" s="1"/>
  <c r="G250" i="35"/>
  <c r="G239" i="35" s="1"/>
  <c r="G210" i="35"/>
  <c r="G197" i="35" s="1"/>
  <c r="G211" i="35"/>
  <c r="G198" i="35" s="1"/>
  <c r="G212" i="35"/>
  <c r="G199" i="35" s="1"/>
  <c r="G213" i="35"/>
  <c r="G214" i="35"/>
  <c r="G215" i="35"/>
  <c r="G248" i="35"/>
  <c r="G237" i="35" s="1"/>
  <c r="G249" i="35"/>
  <c r="G238" i="35" s="1"/>
  <c r="G245" i="35"/>
  <c r="G247" i="35"/>
  <c r="G236" i="35" s="1"/>
  <c r="H250" i="35"/>
  <c r="H239" i="35" s="1"/>
  <c r="H249" i="35"/>
  <c r="H238" i="35" s="1"/>
  <c r="H247" i="35"/>
  <c r="H236" i="35" s="1"/>
  <c r="H246" i="35"/>
  <c r="H235" i="35" s="1"/>
  <c r="H245" i="35"/>
  <c r="H210" i="35"/>
  <c r="H197" i="35" s="1"/>
  <c r="H211" i="35"/>
  <c r="H212" i="35"/>
  <c r="H213" i="35"/>
  <c r="H214" i="35"/>
  <c r="H215" i="35"/>
  <c r="H248" i="35"/>
  <c r="H237" i="35" s="1"/>
  <c r="F246" i="35"/>
  <c r="F210" i="35"/>
  <c r="F211" i="35"/>
  <c r="F212" i="35"/>
  <c r="F213" i="35"/>
  <c r="F214" i="35"/>
  <c r="F215" i="35"/>
  <c r="F249" i="35"/>
  <c r="F245" i="35"/>
  <c r="F250" i="35"/>
  <c r="F247" i="35"/>
  <c r="F248" i="35"/>
  <c r="D287" i="35"/>
  <c r="D297" i="35"/>
  <c r="D274" i="35"/>
  <c r="H298" i="35"/>
  <c r="D298" i="35"/>
  <c r="G298" i="35"/>
  <c r="D288" i="35"/>
  <c r="D275" i="35"/>
  <c r="F298" i="35"/>
  <c r="I298" i="35"/>
  <c r="E298" i="35"/>
  <c r="E275" i="35" s="1"/>
  <c r="I299" i="35"/>
  <c r="E299" i="35"/>
  <c r="D276" i="35"/>
  <c r="G299" i="35"/>
  <c r="D289" i="35"/>
  <c r="F299" i="35"/>
  <c r="H299" i="35"/>
  <c r="D299" i="35"/>
  <c r="H244" i="35"/>
  <c r="I244" i="35"/>
  <c r="G244" i="35"/>
  <c r="G285" i="35"/>
  <c r="H189" i="35"/>
  <c r="H191" i="35" s="1"/>
  <c r="J185" i="35"/>
  <c r="I189" i="35"/>
  <c r="I191" i="35" s="1"/>
  <c r="H198" i="35"/>
  <c r="J204" i="35"/>
  <c r="F244" i="35"/>
  <c r="J144" i="35"/>
  <c r="J152" i="35"/>
  <c r="J225" i="35"/>
  <c r="E226" i="35"/>
  <c r="E228" i="35" s="1"/>
  <c r="J149" i="35"/>
  <c r="J222" i="35"/>
  <c r="J183" i="35"/>
  <c r="E189" i="35"/>
  <c r="E191" i="35" s="1"/>
  <c r="J168" i="35"/>
  <c r="D48" i="35" s="1"/>
  <c r="J186" i="35"/>
  <c r="F189" i="35"/>
  <c r="J187" i="35"/>
  <c r="G189" i="35"/>
  <c r="G191" i="35" s="1"/>
  <c r="J184" i="35"/>
  <c r="J188" i="35"/>
  <c r="J224" i="35"/>
  <c r="G226" i="35"/>
  <c r="J223" i="35"/>
  <c r="J221" i="35"/>
  <c r="I226" i="35"/>
  <c r="H226" i="35"/>
  <c r="F226" i="35"/>
  <c r="J220" i="35"/>
  <c r="J179" i="35"/>
  <c r="I154" i="35"/>
  <c r="I156" i="35" s="1"/>
  <c r="G154" i="35"/>
  <c r="G156" i="35" s="1"/>
  <c r="J133" i="35"/>
  <c r="D47" i="35" s="1"/>
  <c r="J151" i="35"/>
  <c r="F154" i="35"/>
  <c r="F156" i="35" s="1"/>
  <c r="H154" i="35"/>
  <c r="H156" i="35" s="1"/>
  <c r="E154" i="35"/>
  <c r="E156" i="35" s="1"/>
  <c r="J153" i="35"/>
  <c r="J150" i="35"/>
  <c r="J148" i="35"/>
  <c r="G114" i="13" l="1"/>
  <c r="G14" i="18" s="1"/>
  <c r="G115" i="13"/>
  <c r="I199" i="35"/>
  <c r="G283" i="35"/>
  <c r="J212" i="35"/>
  <c r="D49" i="35"/>
  <c r="J214" i="35"/>
  <c r="J210" i="35"/>
  <c r="F216" i="35"/>
  <c r="J245" i="35"/>
  <c r="F234" i="35"/>
  <c r="F251" i="35"/>
  <c r="F235" i="35"/>
  <c r="J235" i="35" s="1"/>
  <c r="J246" i="35"/>
  <c r="J213" i="35"/>
  <c r="H251" i="35"/>
  <c r="H263" i="35" s="1"/>
  <c r="H234" i="35"/>
  <c r="H240" i="35" s="1"/>
  <c r="I234" i="35"/>
  <c r="I240" i="35" s="1"/>
  <c r="I251" i="35"/>
  <c r="I263" i="35" s="1"/>
  <c r="I216" i="35"/>
  <c r="F239" i="35"/>
  <c r="J239" i="35" s="1"/>
  <c r="J250" i="35"/>
  <c r="F197" i="35"/>
  <c r="J197" i="35" s="1"/>
  <c r="J248" i="35"/>
  <c r="F237" i="35"/>
  <c r="J237" i="35" s="1"/>
  <c r="F238" i="35"/>
  <c r="J238" i="35" s="1"/>
  <c r="J249" i="35"/>
  <c r="H216" i="35"/>
  <c r="F236" i="35"/>
  <c r="J236" i="35" s="1"/>
  <c r="J247" i="35"/>
  <c r="J215" i="35"/>
  <c r="J211" i="35"/>
  <c r="G234" i="35"/>
  <c r="G240" i="35" s="1"/>
  <c r="G251" i="35"/>
  <c r="G263" i="35" s="1"/>
  <c r="G216" i="35"/>
  <c r="E202" i="35"/>
  <c r="I200" i="35"/>
  <c r="I284" i="35"/>
  <c r="H201" i="35"/>
  <c r="H285" i="35"/>
  <c r="F200" i="35"/>
  <c r="F284" i="35"/>
  <c r="F201" i="35"/>
  <c r="F285" i="35"/>
  <c r="G200" i="35"/>
  <c r="G284" i="35"/>
  <c r="G201" i="35"/>
  <c r="F199" i="35"/>
  <c r="F283" i="35"/>
  <c r="H200" i="35"/>
  <c r="H284" i="35"/>
  <c r="I201" i="35"/>
  <c r="I285" i="35"/>
  <c r="H199" i="35"/>
  <c r="H283" i="35"/>
  <c r="J189" i="35"/>
  <c r="F191" i="35"/>
  <c r="J191" i="35" s="1"/>
  <c r="H289" i="35"/>
  <c r="H276" i="35" s="1"/>
  <c r="G289" i="35"/>
  <c r="G276" i="35" s="1"/>
  <c r="I289" i="35"/>
  <c r="I276" i="35" s="1"/>
  <c r="F289" i="35"/>
  <c r="H288" i="35"/>
  <c r="H275" i="35" s="1"/>
  <c r="G288" i="35"/>
  <c r="G275" i="35" s="1"/>
  <c r="I288" i="35"/>
  <c r="I275" i="35" s="1"/>
  <c r="F288" i="35"/>
  <c r="J299" i="35"/>
  <c r="E276" i="35"/>
  <c r="J276" i="35" s="1"/>
  <c r="J298" i="35"/>
  <c r="F198" i="35"/>
  <c r="J156" i="35"/>
  <c r="J154" i="35"/>
  <c r="J226" i="35"/>
  <c r="G75" i="61" l="1"/>
  <c r="C17" i="38"/>
  <c r="G74" i="61"/>
  <c r="G92" i="67"/>
  <c r="G15" i="18"/>
  <c r="G53" i="67" s="1"/>
  <c r="C18" i="38"/>
  <c r="G116" i="13"/>
  <c r="G117" i="13" s="1"/>
  <c r="J216" i="35"/>
  <c r="J234" i="35"/>
  <c r="F240" i="35"/>
  <c r="J240" i="35" s="1"/>
  <c r="J251" i="35"/>
  <c r="F263" i="35"/>
  <c r="J263" i="35" s="1"/>
  <c r="J201" i="35"/>
  <c r="E294" i="35"/>
  <c r="E271" i="35" s="1"/>
  <c r="E203" i="35"/>
  <c r="J200" i="35"/>
  <c r="J199" i="35"/>
  <c r="J284" i="35"/>
  <c r="J285" i="35"/>
  <c r="F275" i="35"/>
  <c r="J275" i="35" s="1"/>
  <c r="J288" i="35"/>
  <c r="J289" i="35"/>
  <c r="F276" i="35"/>
  <c r="J198" i="35"/>
  <c r="G93" i="67" l="1"/>
  <c r="G119" i="13"/>
  <c r="E205" i="35"/>
  <c r="E297" i="35" s="1"/>
  <c r="E274" i="35" s="1"/>
  <c r="E295" i="35"/>
  <c r="E272" i="35" l="1"/>
  <c r="E277" i="35" s="1"/>
  <c r="E300" i="35"/>
  <c r="J300" i="35" l="1"/>
  <c r="E302" i="35"/>
  <c r="J302" i="35" s="1"/>
  <c r="E279" i="35"/>
  <c r="J277" i="35"/>
  <c r="J279" i="35" s="1"/>
  <c r="A44" i="41" l="1"/>
  <c r="A43" i="41"/>
  <c r="A50" i="41"/>
  <c r="A49" i="41"/>
  <c r="A48" i="41"/>
  <c r="A47" i="41"/>
  <c r="A46" i="41"/>
  <c r="E49" i="38" l="1"/>
  <c r="A193" i="61" l="1"/>
  <c r="A194" i="61"/>
  <c r="A195" i="61"/>
  <c r="A196" i="61"/>
  <c r="F17" i="46"/>
  <c r="F21" i="46" s="1"/>
  <c r="F20" i="46" s="1"/>
  <c r="F14" i="46"/>
  <c r="A44" i="38"/>
  <c r="F23" i="46" l="1"/>
  <c r="F41" i="46" s="1"/>
  <c r="B253" i="62"/>
  <c r="B252" i="62"/>
  <c r="B251" i="62"/>
  <c r="B250" i="62"/>
  <c r="B246" i="62"/>
  <c r="B245" i="62"/>
  <c r="B244" i="62"/>
  <c r="B242" i="62"/>
  <c r="B243" i="62"/>
  <c r="F11" i="52" l="1"/>
  <c r="A15" i="45" l="1"/>
  <c r="L14" i="46" l="1"/>
  <c r="K14" i="46"/>
  <c r="J14" i="46"/>
  <c r="I14" i="46"/>
  <c r="H14" i="46"/>
  <c r="G14" i="46"/>
  <c r="A14" i="46"/>
  <c r="A13" i="46"/>
  <c r="A23" i="45"/>
  <c r="A22" i="45"/>
  <c r="A20" i="45"/>
  <c r="A19" i="45"/>
  <c r="A18" i="45"/>
  <c r="A17" i="45"/>
  <c r="A42" i="45"/>
  <c r="A43" i="45"/>
  <c r="A44" i="45"/>
  <c r="A45" i="45"/>
  <c r="A46" i="45"/>
  <c r="A47" i="45"/>
  <c r="A69" i="41"/>
  <c r="A68" i="41"/>
  <c r="A67" i="41"/>
  <c r="A66" i="41"/>
  <c r="A65" i="41"/>
  <c r="A64" i="41"/>
  <c r="A63" i="41"/>
  <c r="A62" i="41"/>
  <c r="A61" i="41"/>
  <c r="A60" i="41"/>
  <c r="A45" i="41"/>
  <c r="A42" i="41"/>
  <c r="A41" i="41"/>
  <c r="A40" i="41"/>
  <c r="A39" i="41"/>
  <c r="A38" i="41"/>
  <c r="A37" i="41"/>
  <c r="A36" i="41"/>
  <c r="A35" i="41"/>
  <c r="A79" i="45" l="1"/>
  <c r="A78" i="45"/>
  <c r="A77" i="45"/>
  <c r="A76" i="45"/>
  <c r="A75" i="45"/>
  <c r="A74" i="45"/>
  <c r="A73" i="45"/>
  <c r="A72" i="45"/>
  <c r="A71" i="45"/>
  <c r="A70" i="45"/>
  <c r="A69" i="45"/>
  <c r="A68" i="45"/>
  <c r="A67" i="45"/>
  <c r="A66" i="45"/>
  <c r="A65" i="45"/>
  <c r="A64" i="45"/>
  <c r="A62" i="45"/>
  <c r="A61" i="45"/>
  <c r="A60" i="45"/>
  <c r="A59" i="45"/>
  <c r="A58" i="45"/>
  <c r="A57" i="45"/>
  <c r="A56" i="45"/>
  <c r="A55" i="45"/>
  <c r="A54" i="45"/>
  <c r="A53" i="45"/>
  <c r="A52" i="45"/>
  <c r="A51" i="45"/>
  <c r="A50" i="45"/>
  <c r="A49" i="45"/>
  <c r="A48" i="45"/>
  <c r="A41" i="45"/>
  <c r="A40" i="45"/>
  <c r="A39" i="45"/>
  <c r="A38" i="45"/>
  <c r="A37" i="45"/>
  <c r="A36" i="45"/>
  <c r="A35" i="45"/>
  <c r="A34" i="45"/>
  <c r="A33" i="45"/>
  <c r="A32" i="45"/>
  <c r="A31" i="45"/>
  <c r="A30" i="45"/>
  <c r="A29" i="45"/>
  <c r="A28" i="45"/>
  <c r="A27" i="45"/>
  <c r="A26" i="45"/>
  <c r="A25" i="45"/>
  <c r="A24" i="45"/>
  <c r="A16" i="45"/>
  <c r="A14" i="45"/>
  <c r="A13" i="45"/>
  <c r="A12" i="45"/>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5" i="46"/>
  <c r="A34" i="46"/>
  <c r="A33" i="46"/>
  <c r="A32" i="46"/>
  <c r="A31" i="46"/>
  <c r="A30" i="46"/>
  <c r="A29" i="46"/>
  <c r="A28" i="46"/>
  <c r="A27" i="46"/>
  <c r="A26" i="46"/>
  <c r="A25" i="46"/>
  <c r="A24" i="46"/>
  <c r="A23" i="46"/>
  <c r="A22" i="46"/>
  <c r="A21" i="46"/>
  <c r="A20" i="46"/>
  <c r="A19" i="46"/>
  <c r="A18" i="46"/>
  <c r="A17" i="46"/>
  <c r="A16" i="46"/>
  <c r="A11" i="46"/>
  <c r="A10" i="46"/>
  <c r="A9" i="46"/>
  <c r="B28" i="52"/>
  <c r="B27" i="52"/>
  <c r="B26" i="52"/>
  <c r="B24" i="52"/>
  <c r="B23" i="52"/>
  <c r="B22" i="52"/>
  <c r="B21" i="52"/>
  <c r="B20" i="52"/>
  <c r="B19" i="52"/>
  <c r="B18" i="52"/>
  <c r="B17" i="52"/>
  <c r="B16" i="52"/>
  <c r="B15" i="52"/>
  <c r="B14" i="52"/>
  <c r="B13" i="52"/>
  <c r="B12" i="52"/>
  <c r="B11" i="52"/>
  <c r="B10" i="52"/>
  <c r="B9" i="52"/>
  <c r="A81" i="18"/>
  <c r="A80" i="18"/>
  <c r="A79" i="18"/>
  <c r="A78" i="18"/>
  <c r="A77" i="18"/>
  <c r="A76" i="18"/>
  <c r="A75" i="18"/>
  <c r="A74" i="18"/>
  <c r="A56" i="18"/>
  <c r="A55" i="18"/>
  <c r="A54" i="18"/>
  <c r="A53" i="18"/>
  <c r="A51" i="18"/>
  <c r="A50" i="18"/>
  <c r="A49" i="18"/>
  <c r="A48" i="18"/>
  <c r="A47" i="18"/>
  <c r="A46" i="18"/>
  <c r="A45" i="18"/>
  <c r="A44" i="18"/>
  <c r="A43" i="18"/>
  <c r="A42" i="18"/>
  <c r="A41" i="18"/>
  <c r="A32" i="18"/>
  <c r="A31" i="18"/>
  <c r="A30" i="18"/>
  <c r="A29" i="18"/>
  <c r="A28" i="18"/>
  <c r="A27" i="18"/>
  <c r="A26" i="18"/>
  <c r="A24" i="18"/>
  <c r="A23" i="18"/>
  <c r="A22" i="18"/>
  <c r="A21" i="18"/>
  <c r="A20" i="18"/>
  <c r="A19" i="18"/>
  <c r="A18" i="18"/>
  <c r="A17" i="18"/>
  <c r="A16" i="18"/>
  <c r="A15" i="18"/>
  <c r="A14" i="18"/>
  <c r="A13" i="18"/>
  <c r="A12" i="18"/>
  <c r="A10" i="18"/>
  <c r="A9" i="18"/>
  <c r="A31" i="41"/>
  <c r="A30" i="41"/>
  <c r="A29" i="41"/>
  <c r="A28" i="41"/>
  <c r="A27" i="41"/>
  <c r="A26" i="41"/>
  <c r="A25" i="41"/>
  <c r="A24" i="41"/>
  <c r="A23" i="41"/>
  <c r="A22" i="41"/>
  <c r="A21" i="41"/>
  <c r="A20" i="41"/>
  <c r="A19" i="41"/>
  <c r="A18" i="41"/>
  <c r="A17" i="41"/>
  <c r="A16" i="41"/>
  <c r="A15" i="41"/>
  <c r="A14" i="41"/>
  <c r="A13" i="41"/>
  <c r="A12" i="41"/>
  <c r="A11" i="41"/>
  <c r="A10" i="41"/>
  <c r="A48" i="38"/>
  <c r="A47" i="38"/>
  <c r="A46" i="38"/>
  <c r="A45" i="38"/>
  <c r="A43" i="38"/>
  <c r="A42" i="38"/>
  <c r="A41" i="38"/>
  <c r="A40" i="38"/>
  <c r="A39" i="38"/>
  <c r="A38" i="38"/>
  <c r="A37" i="38"/>
  <c r="A36" i="38"/>
  <c r="A35" i="38"/>
  <c r="A34" i="38"/>
  <c r="A33" i="38"/>
  <c r="A32" i="38"/>
  <c r="A31" i="38"/>
  <c r="A30" i="38"/>
  <c r="A29" i="38"/>
  <c r="A28" i="38"/>
  <c r="A27" i="38"/>
  <c r="A26" i="38"/>
  <c r="A25" i="38"/>
  <c r="A24" i="38"/>
  <c r="A23" i="38"/>
  <c r="A22" i="38"/>
  <c r="A20" i="38"/>
  <c r="A19" i="38"/>
  <c r="A18" i="38"/>
  <c r="A17" i="38"/>
  <c r="A16" i="38"/>
  <c r="A192" i="61"/>
  <c r="A191" i="61"/>
  <c r="A190" i="61"/>
  <c r="A189" i="61"/>
  <c r="A188" i="61"/>
  <c r="A187" i="61"/>
  <c r="A186" i="61"/>
  <c r="A185" i="61"/>
  <c r="A184" i="61"/>
  <c r="A183" i="61"/>
  <c r="A182" i="61"/>
  <c r="A181" i="61"/>
  <c r="A180" i="61"/>
  <c r="A179" i="61"/>
  <c r="A178" i="61"/>
  <c r="A177" i="61"/>
  <c r="A176" i="61"/>
  <c r="A175" i="61"/>
  <c r="A174" i="61"/>
  <c r="A173" i="61"/>
  <c r="A172" i="61"/>
  <c r="A171" i="61"/>
  <c r="A170" i="61"/>
  <c r="A169" i="61"/>
  <c r="A168" i="61"/>
  <c r="A167" i="61"/>
  <c r="A166" i="61"/>
  <c r="A165" i="61"/>
  <c r="A164" i="61"/>
  <c r="A163" i="61"/>
  <c r="A162" i="61"/>
  <c r="A161" i="61"/>
  <c r="A160" i="61"/>
  <c r="A159" i="61"/>
  <c r="A158" i="61"/>
  <c r="A157" i="61"/>
  <c r="A156" i="61"/>
  <c r="A155" i="61"/>
  <c r="A154" i="61"/>
  <c r="A153" i="61"/>
  <c r="A152" i="61"/>
  <c r="A151" i="61"/>
  <c r="A150" i="61"/>
  <c r="A149" i="61"/>
  <c r="A148" i="61"/>
  <c r="A147" i="61"/>
  <c r="A146" i="61"/>
  <c r="A145" i="61"/>
  <c r="A144" i="61"/>
  <c r="A143" i="61"/>
  <c r="A142" i="61"/>
  <c r="A140" i="61"/>
  <c r="A109" i="61"/>
  <c r="A108" i="61"/>
  <c r="A107" i="61"/>
  <c r="A106" i="61"/>
  <c r="A105" i="61"/>
  <c r="A104" i="61"/>
  <c r="A103" i="61"/>
  <c r="A102" i="61"/>
  <c r="A98" i="61"/>
  <c r="A97" i="61"/>
  <c r="A96" i="61"/>
  <c r="A95" i="61"/>
  <c r="A94" i="61"/>
  <c r="A93" i="61"/>
  <c r="A92" i="61"/>
  <c r="A91" i="61"/>
  <c r="A90" i="61"/>
  <c r="A89" i="61"/>
  <c r="A88" i="61"/>
  <c r="A87" i="61"/>
  <c r="A86" i="61"/>
  <c r="A85" i="61"/>
  <c r="A84" i="61"/>
  <c r="A83" i="61"/>
  <c r="A82" i="61"/>
  <c r="A81" i="61"/>
  <c r="A80" i="61"/>
  <c r="A79" i="61"/>
  <c r="A77" i="61"/>
  <c r="A76" i="61"/>
  <c r="A75" i="61"/>
  <c r="A74" i="61"/>
  <c r="A73" i="61"/>
  <c r="A72" i="61"/>
  <c r="A71" i="61"/>
  <c r="A70" i="61"/>
  <c r="A69" i="61"/>
  <c r="A68" i="61"/>
  <c r="A67" i="61"/>
  <c r="A66" i="61"/>
  <c r="A65" i="61"/>
  <c r="A64" i="61"/>
  <c r="A63" i="61"/>
  <c r="A62" i="61"/>
  <c r="A61" i="61"/>
  <c r="A60" i="61"/>
  <c r="A59" i="61"/>
  <c r="A58" i="61"/>
  <c r="A57" i="61"/>
  <c r="A56" i="61"/>
  <c r="A55" i="61"/>
  <c r="A54" i="61"/>
  <c r="A53" i="61"/>
  <c r="A52" i="61"/>
  <c r="A51" i="61"/>
  <c r="A50" i="61"/>
  <c r="A49" i="61"/>
  <c r="A48" i="61"/>
  <c r="A47" i="61"/>
  <c r="A46" i="61"/>
  <c r="A45" i="61"/>
  <c r="A44" i="61"/>
  <c r="A43" i="61"/>
  <c r="A42" i="61"/>
  <c r="A41" i="61"/>
  <c r="A40" i="61"/>
  <c r="A39" i="61"/>
  <c r="A38" i="61"/>
  <c r="A37" i="61"/>
  <c r="A36" i="61"/>
  <c r="A35" i="61"/>
  <c r="A34" i="61"/>
  <c r="A33" i="61"/>
  <c r="A32" i="61"/>
  <c r="A31" i="61"/>
  <c r="A30" i="61"/>
  <c r="A29" i="61"/>
  <c r="A28" i="61"/>
  <c r="A27" i="61"/>
  <c r="A26" i="61"/>
  <c r="A25" i="61"/>
  <c r="A24" i="61"/>
  <c r="A23" i="61"/>
  <c r="A22" i="61"/>
  <c r="A21" i="61"/>
  <c r="A20" i="61"/>
  <c r="A19" i="61"/>
  <c r="A18" i="61"/>
  <c r="A17" i="61"/>
  <c r="A16" i="61"/>
  <c r="A15" i="61"/>
  <c r="A14" i="61"/>
  <c r="A13" i="61"/>
  <c r="A457" i="62"/>
  <c r="A456" i="62"/>
  <c r="A455" i="62"/>
  <c r="A454" i="62"/>
  <c r="A453" i="62"/>
  <c r="A452" i="62"/>
  <c r="A451" i="62"/>
  <c r="A445" i="62"/>
  <c r="A444" i="62"/>
  <c r="A443" i="62"/>
  <c r="A442" i="62"/>
  <c r="A441" i="62"/>
  <c r="A440" i="62"/>
  <c r="A439" i="62"/>
  <c r="A438" i="62"/>
  <c r="A437" i="62"/>
  <c r="A436" i="62"/>
  <c r="A435" i="62"/>
  <c r="A434" i="62"/>
  <c r="A433" i="62"/>
  <c r="A432" i="62"/>
  <c r="A431" i="62"/>
  <c r="A430" i="62"/>
  <c r="A429" i="62"/>
  <c r="A428" i="62"/>
  <c r="A427" i="62"/>
  <c r="A426" i="62"/>
  <c r="A425" i="62"/>
  <c r="A424" i="62"/>
  <c r="A423" i="62"/>
  <c r="A422" i="62"/>
  <c r="A421" i="62"/>
  <c r="A420" i="62"/>
  <c r="A419" i="62"/>
  <c r="A418" i="62"/>
  <c r="A417" i="62"/>
  <c r="A416" i="62"/>
  <c r="A415" i="62"/>
  <c r="A414" i="62"/>
  <c r="A413" i="62"/>
  <c r="A412" i="62"/>
  <c r="A411" i="62"/>
  <c r="A410" i="62"/>
  <c r="A409" i="62"/>
  <c r="A408" i="62"/>
  <c r="A407" i="62"/>
  <c r="A406" i="62"/>
  <c r="A405" i="62"/>
  <c r="A404" i="62"/>
  <c r="A403" i="62"/>
  <c r="A402" i="62"/>
  <c r="A401" i="62"/>
  <c r="A400" i="62"/>
  <c r="A399" i="62"/>
  <c r="A398" i="62"/>
  <c r="A397" i="62"/>
  <c r="A396" i="62"/>
  <c r="A395" i="62"/>
  <c r="A394" i="62"/>
  <c r="A393" i="62"/>
  <c r="A392" i="62"/>
  <c r="A391" i="62"/>
  <c r="A390" i="62"/>
  <c r="A389" i="62"/>
  <c r="A388" i="62"/>
  <c r="A387" i="62"/>
  <c r="A386" i="62"/>
  <c r="A385" i="62"/>
  <c r="A384" i="62"/>
  <c r="A383" i="62"/>
  <c r="A382" i="62"/>
  <c r="A381" i="62"/>
  <c r="A380" i="62"/>
  <c r="A379" i="62"/>
  <c r="A378" i="62"/>
  <c r="A377" i="62"/>
  <c r="A376" i="62"/>
  <c r="A375" i="62"/>
  <c r="A374" i="62"/>
  <c r="A373" i="62"/>
  <c r="A372" i="62"/>
  <c r="A371" i="62"/>
  <c r="A370" i="62"/>
  <c r="A369" i="62"/>
  <c r="A368" i="62"/>
  <c r="A367" i="62"/>
  <c r="A366" i="62"/>
  <c r="A365" i="62"/>
  <c r="A364" i="62"/>
  <c r="A363" i="62"/>
  <c r="A362" i="62"/>
  <c r="A361" i="62"/>
  <c r="A360" i="62"/>
  <c r="A359" i="62"/>
  <c r="A358" i="62"/>
  <c r="A357" i="62"/>
  <c r="A356" i="62"/>
  <c r="A355" i="62"/>
  <c r="A354" i="62"/>
  <c r="A353" i="62"/>
  <c r="A352" i="62"/>
  <c r="A351" i="62"/>
  <c r="A350" i="62"/>
  <c r="A349" i="62"/>
  <c r="A348" i="62"/>
  <c r="A347" i="62"/>
  <c r="A346" i="62"/>
  <c r="A345" i="62"/>
  <c r="A344" i="62"/>
  <c r="A343" i="62"/>
  <c r="A342" i="62"/>
  <c r="A341" i="62"/>
  <c r="A340" i="62"/>
  <c r="A339" i="62"/>
  <c r="A338" i="62"/>
  <c r="A337" i="62"/>
  <c r="A336" i="62"/>
  <c r="A335" i="62"/>
  <c r="A334" i="62"/>
  <c r="A333" i="62"/>
  <c r="A332" i="62"/>
  <c r="A331" i="62"/>
  <c r="A330" i="62"/>
  <c r="A329" i="62"/>
  <c r="A328" i="62"/>
  <c r="A327" i="62"/>
  <c r="A326" i="62"/>
  <c r="A325" i="62"/>
  <c r="A324" i="62"/>
  <c r="A323" i="62"/>
  <c r="A322" i="62"/>
  <c r="A321" i="62"/>
  <c r="A320" i="62"/>
  <c r="A319" i="62"/>
  <c r="A318" i="62"/>
  <c r="A317" i="62"/>
  <c r="A316" i="62"/>
  <c r="A315" i="62"/>
  <c r="A314" i="62"/>
  <c r="A313" i="62"/>
  <c r="A312" i="62"/>
  <c r="A311" i="62"/>
  <c r="A310" i="62"/>
  <c r="A309" i="62"/>
  <c r="A308" i="62"/>
  <c r="A307" i="62"/>
  <c r="A306" i="62"/>
  <c r="A305" i="62"/>
  <c r="A304" i="62"/>
  <c r="A303" i="62"/>
  <c r="A302" i="62"/>
  <c r="A301" i="62"/>
  <c r="A300" i="62"/>
  <c r="A299" i="62"/>
  <c r="A298" i="62"/>
  <c r="A297" i="62"/>
  <c r="A296" i="62"/>
  <c r="A295" i="62"/>
  <c r="A294" i="62"/>
  <c r="A293" i="62"/>
  <c r="A292" i="62"/>
  <c r="A291" i="62"/>
  <c r="A290" i="62"/>
  <c r="A289" i="62"/>
  <c r="A288" i="62"/>
  <c r="A287" i="62"/>
  <c r="A286" i="62"/>
  <c r="A285" i="62"/>
  <c r="A284" i="62"/>
  <c r="A283" i="62"/>
  <c r="A282" i="62"/>
  <c r="A281" i="62"/>
  <c r="A280" i="62"/>
  <c r="A279" i="62"/>
  <c r="A278" i="62"/>
  <c r="A277" i="62"/>
  <c r="A276" i="62"/>
  <c r="A275" i="62"/>
  <c r="A274" i="62"/>
  <c r="A273" i="62"/>
  <c r="A272" i="62"/>
  <c r="A271" i="62"/>
  <c r="A270" i="62"/>
  <c r="A269" i="62"/>
  <c r="A268" i="62"/>
  <c r="A267" i="62"/>
  <c r="A266" i="62"/>
  <c r="A265" i="62"/>
  <c r="A264" i="62"/>
  <c r="A263" i="62"/>
  <c r="A262" i="62"/>
  <c r="A261" i="62"/>
  <c r="A260" i="62"/>
  <c r="A259" i="62"/>
  <c r="A258" i="62"/>
  <c r="A257" i="62"/>
  <c r="A256" i="62"/>
  <c r="A255" i="62"/>
  <c r="A254" i="62"/>
  <c r="A253" i="62"/>
  <c r="A251" i="62"/>
  <c r="A250" i="62"/>
  <c r="A249" i="62"/>
  <c r="A248" i="62"/>
  <c r="A247" i="62"/>
  <c r="A246" i="62"/>
  <c r="A245" i="62"/>
  <c r="A244" i="62"/>
  <c r="A243" i="62"/>
  <c r="A242" i="62"/>
  <c r="A241" i="62"/>
  <c r="A240" i="62"/>
  <c r="A239" i="62"/>
  <c r="A238" i="62"/>
  <c r="A237" i="62"/>
  <c r="A236" i="62"/>
  <c r="A235" i="62"/>
  <c r="A234" i="62"/>
  <c r="A233" i="62"/>
  <c r="A232" i="62"/>
  <c r="A231" i="62"/>
  <c r="A230" i="62"/>
  <c r="A229" i="62"/>
  <c r="A228" i="62"/>
  <c r="A227" i="62"/>
  <c r="A226" i="62"/>
  <c r="A225" i="62"/>
  <c r="A224" i="62"/>
  <c r="A223" i="62"/>
  <c r="A222" i="62"/>
  <c r="A221" i="62"/>
  <c r="A220" i="62"/>
  <c r="A219" i="62"/>
  <c r="A218" i="62"/>
  <c r="A217" i="62"/>
  <c r="A216" i="62"/>
  <c r="A215" i="62"/>
  <c r="A214" i="62"/>
  <c r="A213" i="62"/>
  <c r="A212" i="62"/>
  <c r="A211" i="62"/>
  <c r="A210" i="62"/>
  <c r="A209" i="62"/>
  <c r="A208" i="62"/>
  <c r="A207" i="62"/>
  <c r="A206" i="62"/>
  <c r="A205" i="62"/>
  <c r="A204" i="62"/>
  <c r="A203" i="62"/>
  <c r="A202" i="62"/>
  <c r="A201" i="62"/>
  <c r="A200" i="62"/>
  <c r="A199" i="62"/>
  <c r="A198" i="62"/>
  <c r="A197" i="62"/>
  <c r="A196" i="62"/>
  <c r="A195" i="62"/>
  <c r="A194" i="62"/>
  <c r="A193" i="62"/>
  <c r="A192" i="62"/>
  <c r="A191" i="62"/>
  <c r="A190" i="62"/>
  <c r="A189" i="62"/>
  <c r="A188" i="62"/>
  <c r="A187" i="62"/>
  <c r="A186" i="62"/>
  <c r="A185" i="62"/>
  <c r="A184" i="62"/>
  <c r="A183" i="62"/>
  <c r="A182" i="62"/>
  <c r="A181" i="62"/>
  <c r="A180" i="62"/>
  <c r="A179" i="62"/>
  <c r="A178" i="62"/>
  <c r="A177" i="62"/>
  <c r="A176" i="62"/>
  <c r="A175" i="62"/>
  <c r="A174" i="62"/>
  <c r="A173" i="62"/>
  <c r="A172" i="62"/>
  <c r="A171" i="62"/>
  <c r="A170" i="62"/>
  <c r="A169" i="62"/>
  <c r="A168" i="62"/>
  <c r="A167" i="62"/>
  <c r="A166" i="62"/>
  <c r="A165" i="62"/>
  <c r="A164" i="62"/>
  <c r="A163" i="62"/>
  <c r="A162" i="62"/>
  <c r="A161" i="62"/>
  <c r="A160" i="62"/>
  <c r="A159" i="62"/>
  <c r="A158" i="62"/>
  <c r="A157" i="62"/>
  <c r="A156" i="62"/>
  <c r="A155" i="62"/>
  <c r="A154" i="62"/>
  <c r="A153" i="62"/>
  <c r="A152" i="62"/>
  <c r="A151" i="62"/>
  <c r="A150" i="62"/>
  <c r="A149" i="62"/>
  <c r="A148" i="62"/>
  <c r="A147" i="62"/>
  <c r="A146" i="62"/>
  <c r="A145" i="62"/>
  <c r="A144" i="62"/>
  <c r="A143" i="62"/>
  <c r="A142" i="62"/>
  <c r="A141" i="62"/>
  <c r="A140" i="62"/>
  <c r="A139" i="62"/>
  <c r="A138" i="62"/>
  <c r="A137" i="62"/>
  <c r="A136" i="62"/>
  <c r="A135" i="62"/>
  <c r="A134" i="62"/>
  <c r="A133" i="62"/>
  <c r="A132" i="62"/>
  <c r="A131" i="62"/>
  <c r="A130" i="62"/>
  <c r="A129" i="62"/>
  <c r="A128" i="62"/>
  <c r="A127" i="62"/>
  <c r="A126" i="62"/>
  <c r="A125" i="62"/>
  <c r="A124" i="62"/>
  <c r="A123" i="62"/>
  <c r="A122" i="62"/>
  <c r="A121" i="62"/>
  <c r="A120" i="62"/>
  <c r="A119" i="62"/>
  <c r="A118" i="62"/>
  <c r="A117" i="62"/>
  <c r="A116" i="62"/>
  <c r="A115" i="62"/>
  <c r="A114" i="62"/>
  <c r="A113" i="62"/>
  <c r="A112" i="62"/>
  <c r="A111" i="62"/>
  <c r="A110" i="62"/>
  <c r="A109" i="62"/>
  <c r="A106" i="62"/>
  <c r="A105" i="62"/>
  <c r="A104" i="62"/>
  <c r="A103" i="62"/>
  <c r="A102" i="62"/>
  <c r="A101" i="62"/>
  <c r="A100" i="62"/>
  <c r="A99" i="62"/>
  <c r="A98" i="62"/>
  <c r="A97" i="62"/>
  <c r="A96" i="62"/>
  <c r="A95" i="62"/>
  <c r="A94" i="62"/>
  <c r="A93" i="62"/>
  <c r="A92" i="62"/>
  <c r="A91" i="62"/>
  <c r="A90" i="62"/>
  <c r="A89" i="62"/>
  <c r="A88" i="62"/>
  <c r="A87" i="62"/>
  <c r="A86" i="62"/>
  <c r="A85" i="62"/>
  <c r="A84" i="62"/>
  <c r="A83" i="62"/>
  <c r="A82" i="62"/>
  <c r="A81" i="62"/>
  <c r="A80" i="62"/>
  <c r="A79" i="62"/>
  <c r="A78" i="62"/>
  <c r="A77" i="62"/>
  <c r="A76" i="62"/>
  <c r="A75" i="62"/>
  <c r="A74" i="62"/>
  <c r="A73" i="62"/>
  <c r="A72" i="62"/>
  <c r="A71" i="62"/>
  <c r="A70" i="62"/>
  <c r="A69" i="62"/>
  <c r="A68" i="62"/>
  <c r="A67" i="62"/>
  <c r="A66" i="62"/>
  <c r="A65" i="62"/>
  <c r="A64" i="62"/>
  <c r="A63" i="62"/>
  <c r="A62" i="62"/>
  <c r="A61" i="62"/>
  <c r="A60" i="62"/>
  <c r="A59" i="62"/>
  <c r="A58" i="62"/>
  <c r="A57" i="62"/>
  <c r="A56" i="62"/>
  <c r="A55" i="62"/>
  <c r="A54" i="62"/>
  <c r="A53" i="62"/>
  <c r="A52" i="62"/>
  <c r="A51" i="62"/>
  <c r="A50" i="62"/>
  <c r="A49" i="62"/>
  <c r="A48" i="62"/>
  <c r="A47" i="62"/>
  <c r="A46" i="62"/>
  <c r="A45" i="62"/>
  <c r="A44" i="62"/>
  <c r="A43" i="62"/>
  <c r="A42" i="62"/>
  <c r="A41" i="62"/>
  <c r="A40" i="62"/>
  <c r="A39" i="62"/>
  <c r="A38" i="62"/>
  <c r="A37" i="62"/>
  <c r="A36" i="62"/>
  <c r="A35" i="62"/>
  <c r="A30" i="62"/>
  <c r="A29" i="62"/>
  <c r="A28" i="62"/>
  <c r="A27" i="62"/>
  <c r="A26" i="62"/>
  <c r="A25" i="62"/>
  <c r="A24" i="62"/>
  <c r="A23" i="62"/>
  <c r="A22" i="62"/>
  <c r="A21" i="62"/>
  <c r="A20" i="62"/>
  <c r="A19" i="62"/>
  <c r="A15" i="62"/>
  <c r="A14" i="62"/>
  <c r="A12" i="34" l="1"/>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4" i="34"/>
  <c r="A33" i="34"/>
  <c r="A32" i="34"/>
  <c r="A27" i="34"/>
  <c r="A26" i="34"/>
  <c r="A25" i="34"/>
  <c r="A24" i="34"/>
  <c r="A23" i="34"/>
  <c r="A22" i="34"/>
  <c r="A21" i="34"/>
  <c r="A20" i="34"/>
  <c r="A19" i="34"/>
  <c r="A18" i="34"/>
  <c r="A17" i="34"/>
  <c r="A16" i="34"/>
  <c r="A15" i="34"/>
  <c r="A14" i="34"/>
  <c r="A13" i="34"/>
  <c r="A11" i="34"/>
  <c r="A10" i="34"/>
  <c r="A130" i="13" l="1"/>
  <c r="A129" i="13"/>
  <c r="A128" i="13"/>
  <c r="A127" i="13"/>
  <c r="A126" i="13"/>
  <c r="A125" i="13"/>
  <c r="A123" i="13"/>
  <c r="A122" i="13"/>
  <c r="A120" i="13"/>
  <c r="A119" i="13"/>
  <c r="A105" i="13"/>
  <c r="A104" i="13"/>
  <c r="A103" i="13"/>
  <c r="A102" i="13"/>
  <c r="A101" i="13"/>
  <c r="A100" i="13"/>
  <c r="A99" i="13"/>
  <c r="A38" i="13"/>
  <c r="A37" i="13"/>
  <c r="A36" i="13"/>
  <c r="A35" i="13"/>
  <c r="A34" i="13"/>
  <c r="A33" i="13"/>
  <c r="A32" i="13"/>
  <c r="A31" i="13"/>
  <c r="A30" i="13"/>
  <c r="A29" i="13"/>
  <c r="A28" i="13"/>
  <c r="A27" i="13"/>
  <c r="A26" i="13"/>
  <c r="A25" i="13"/>
  <c r="A24" i="13"/>
  <c r="A23" i="13"/>
  <c r="A22" i="13"/>
  <c r="A21" i="13"/>
  <c r="A20" i="13"/>
  <c r="A19" i="13"/>
  <c r="A18" i="13"/>
  <c r="A17" i="13"/>
  <c r="A16" i="13"/>
  <c r="A15" i="13"/>
  <c r="A13" i="13"/>
  <c r="A12" i="13"/>
  <c r="A11" i="13"/>
  <c r="E22" i="47" l="1"/>
  <c r="G66" i="61" l="1"/>
  <c r="H66" i="61"/>
  <c r="I66" i="61"/>
  <c r="J66" i="61"/>
  <c r="K66" i="61"/>
  <c r="L66" i="61"/>
  <c r="L35" i="13"/>
  <c r="L81" i="13" s="1"/>
  <c r="K35" i="13"/>
  <c r="K81" i="13" s="1"/>
  <c r="J35" i="13"/>
  <c r="J81" i="13" s="1"/>
  <c r="I35" i="13"/>
  <c r="I81" i="13" s="1"/>
  <c r="G127" i="13"/>
  <c r="H35" i="13"/>
  <c r="H81" i="13" s="1"/>
  <c r="A2" i="63"/>
  <c r="A4" i="63"/>
  <c r="H19" i="67" l="1"/>
  <c r="H22" i="67" s="1"/>
  <c r="H124" i="13"/>
  <c r="K19" i="67"/>
  <c r="K124" i="13"/>
  <c r="L19" i="67"/>
  <c r="L108" i="67" s="1"/>
  <c r="L124" i="13"/>
  <c r="I19" i="67"/>
  <c r="I124" i="13"/>
  <c r="J19" i="67"/>
  <c r="J108" i="67" s="1"/>
  <c r="J124" i="13"/>
  <c r="H47" i="13"/>
  <c r="H44" i="13"/>
  <c r="I107" i="62" s="1"/>
  <c r="H46" i="13"/>
  <c r="H45" i="13"/>
  <c r="K47" i="13"/>
  <c r="K44" i="13"/>
  <c r="L107" i="62" s="1"/>
  <c r="K46" i="13"/>
  <c r="K45" i="13"/>
  <c r="L44" i="13"/>
  <c r="M107" i="62" s="1"/>
  <c r="L47" i="13"/>
  <c r="L45" i="13"/>
  <c r="L46" i="13"/>
  <c r="I44" i="13"/>
  <c r="J107" i="62" s="1"/>
  <c r="I45" i="13"/>
  <c r="I47" i="13"/>
  <c r="I46" i="13"/>
  <c r="J44" i="13"/>
  <c r="K107" i="62" s="1"/>
  <c r="J45" i="13"/>
  <c r="J46" i="13"/>
  <c r="J47" i="13"/>
  <c r="H119" i="13"/>
  <c r="H61" i="13"/>
  <c r="I77" i="13" s="1"/>
  <c r="I111" i="13" s="1"/>
  <c r="I23" i="18" s="1"/>
  <c r="H78" i="61"/>
  <c r="K119" i="13"/>
  <c r="K61" i="13"/>
  <c r="L77" i="13" s="1"/>
  <c r="L111" i="13" s="1"/>
  <c r="L23" i="18" s="1"/>
  <c r="K78" i="61"/>
  <c r="L119" i="13"/>
  <c r="L61" i="13"/>
  <c r="L78" i="61"/>
  <c r="I119" i="13"/>
  <c r="I61" i="13"/>
  <c r="J77" i="13" s="1"/>
  <c r="J111" i="13" s="1"/>
  <c r="J23" i="18" s="1"/>
  <c r="I78" i="61"/>
  <c r="J119" i="13"/>
  <c r="J61" i="13"/>
  <c r="K77" i="13" s="1"/>
  <c r="K111" i="13" s="1"/>
  <c r="K23" i="18" s="1"/>
  <c r="J78" i="61"/>
  <c r="L106" i="13"/>
  <c r="J106" i="13"/>
  <c r="H106" i="13"/>
  <c r="K106" i="13"/>
  <c r="I106" i="13"/>
  <c r="G125" i="13"/>
  <c r="G129" i="13"/>
  <c r="G123" i="13"/>
  <c r="G17" i="18" s="1"/>
  <c r="G128" i="13"/>
  <c r="G122" i="13"/>
  <c r="L120" i="67" l="1"/>
  <c r="H108" i="67"/>
  <c r="H120" i="67"/>
  <c r="I22" i="67"/>
  <c r="J120" i="67"/>
  <c r="C19" i="67"/>
  <c r="H94" i="67"/>
  <c r="K22" i="67"/>
  <c r="J22" i="67"/>
  <c r="L22" i="67"/>
  <c r="I108" i="67"/>
  <c r="I120" i="67"/>
  <c r="K108" i="67"/>
  <c r="C124" i="13"/>
  <c r="K120" i="67"/>
  <c r="J94" i="67"/>
  <c r="I94" i="67"/>
  <c r="K94" i="67"/>
  <c r="L94" i="67"/>
  <c r="M453" i="62"/>
  <c r="M25" i="62" s="1"/>
  <c r="L453" i="62"/>
  <c r="L25" i="62" s="1"/>
  <c r="K453" i="62"/>
  <c r="K25" i="62" s="1"/>
  <c r="H453" i="62"/>
  <c r="H25" i="62" s="1"/>
  <c r="G453" i="62"/>
  <c r="G25" i="62" s="1"/>
  <c r="C120" i="67" l="1"/>
  <c r="C108" i="67"/>
  <c r="C94" i="67"/>
  <c r="L49" i="13"/>
  <c r="K49" i="13"/>
  <c r="J49" i="13"/>
  <c r="H49" i="13"/>
  <c r="I49" i="13"/>
  <c r="L76" i="18"/>
  <c r="K76" i="18"/>
  <c r="J76" i="18"/>
  <c r="I76" i="18"/>
  <c r="H76" i="18"/>
  <c r="G76" i="18"/>
  <c r="F76" i="18"/>
  <c r="C49" i="38" l="1"/>
  <c r="D49" i="38" s="1"/>
  <c r="A51" i="38"/>
  <c r="A52" i="38"/>
  <c r="A57" i="38"/>
  <c r="J453" i="62" l="1"/>
  <c r="J25" i="62" s="1"/>
  <c r="I453" i="62"/>
  <c r="I25" i="62" s="1"/>
  <c r="L29" i="18" l="1"/>
  <c r="L67" i="67" s="1"/>
  <c r="K29" i="18"/>
  <c r="K67" i="67" s="1"/>
  <c r="J29" i="18"/>
  <c r="J67" i="67" s="1"/>
  <c r="I29" i="18"/>
  <c r="I67" i="67" s="1"/>
  <c r="H29" i="18"/>
  <c r="H67" i="67" s="1"/>
  <c r="G29" i="18"/>
  <c r="G67" i="67" s="1"/>
  <c r="F29" i="18"/>
  <c r="F67" i="67" s="1"/>
  <c r="C139" i="13"/>
  <c r="C138" i="13"/>
  <c r="C137" i="13"/>
  <c r="C136" i="13"/>
  <c r="C135" i="13"/>
  <c r="C134" i="13"/>
  <c r="C132" i="13"/>
  <c r="C130" i="13"/>
  <c r="F177" i="61"/>
  <c r="F179" i="61" s="1"/>
  <c r="I101" i="67" l="1"/>
  <c r="J101" i="67"/>
  <c r="K101" i="67"/>
  <c r="G101" i="67"/>
  <c r="H101" i="67"/>
  <c r="L101" i="67"/>
  <c r="D29" i="18"/>
  <c r="C29" i="18"/>
  <c r="C56" i="18"/>
  <c r="C101" i="67" l="1"/>
  <c r="F192" i="61"/>
  <c r="L192" i="61"/>
  <c r="L89" i="61" s="1"/>
  <c r="K192" i="61"/>
  <c r="K89" i="61" s="1"/>
  <c r="J192" i="61"/>
  <c r="J89" i="61" s="1"/>
  <c r="I192" i="61"/>
  <c r="I89" i="61" s="1"/>
  <c r="H192" i="61"/>
  <c r="G192" i="61"/>
  <c r="G89" i="61" l="1"/>
  <c r="C43" i="38"/>
  <c r="C192" i="61"/>
  <c r="H89" i="61"/>
  <c r="A4" i="66"/>
  <c r="G31" i="46" l="1"/>
  <c r="N31" i="46" s="1"/>
  <c r="G32" i="46"/>
  <c r="G30" i="46"/>
  <c r="G25" i="46"/>
  <c r="G29" i="46"/>
  <c r="H29" i="46" s="1"/>
  <c r="I29" i="46" s="1"/>
  <c r="J29" i="46" s="1"/>
  <c r="K29" i="46" s="1"/>
  <c r="L29" i="46" s="1"/>
  <c r="E29" i="46" s="1"/>
  <c r="G28" i="46"/>
  <c r="H28" i="46" s="1"/>
  <c r="I28" i="46" s="1"/>
  <c r="J28" i="46" s="1"/>
  <c r="K28" i="46" s="1"/>
  <c r="L28" i="46" s="1"/>
  <c r="E28" i="46" l="1"/>
  <c r="E7" i="39"/>
  <c r="I12" i="48"/>
  <c r="G10" i="13"/>
  <c r="F10" i="45" s="1"/>
  <c r="G11" i="13" l="1"/>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66" i="38"/>
  <c r="A68" i="38"/>
  <c r="A67" i="38"/>
  <c r="A63" i="38"/>
  <c r="A62" i="38"/>
  <c r="A61" i="38"/>
  <c r="A59" i="38"/>
  <c r="A58" i="38"/>
  <c r="A50" i="38"/>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H10" i="13" l="1"/>
  <c r="H11" i="13" s="1"/>
  <c r="G15" i="41"/>
  <c r="I10" i="13" l="1"/>
  <c r="I11" i="13" s="1"/>
  <c r="E14" i="41"/>
  <c r="F15" i="41"/>
  <c r="AJ54" i="47" a="1"/>
  <c r="AJ54" i="47" s="1"/>
  <c r="AJ53" i="47" a="1"/>
  <c r="AJ53" i="47" s="1"/>
  <c r="AJ52" i="47" a="1"/>
  <c r="AJ52" i="47" s="1"/>
  <c r="AJ51" i="47" a="1"/>
  <c r="AJ51" i="47" s="1"/>
  <c r="AJ50" i="47" a="1"/>
  <c r="AJ50" i="47" s="1"/>
  <c r="AJ49" i="47" a="1"/>
  <c r="AJ49" i="47" s="1"/>
  <c r="AJ48" i="47" a="1"/>
  <c r="AJ48" i="47" s="1"/>
  <c r="AJ47" i="47" a="1"/>
  <c r="AJ47" i="47" s="1"/>
  <c r="AJ46" i="47" a="1"/>
  <c r="AJ46" i="47" s="1"/>
  <c r="AJ45" i="47" a="1"/>
  <c r="AJ45" i="47" s="1"/>
  <c r="AJ44" i="47" a="1"/>
  <c r="AJ44" i="47" s="1"/>
  <c r="AJ43" i="47" a="1"/>
  <c r="AJ43" i="47" s="1"/>
  <c r="AJ42" i="47" a="1"/>
  <c r="AJ42" i="47" s="1"/>
  <c r="AJ41" i="47" a="1"/>
  <c r="AJ41" i="47" s="1"/>
  <c r="AJ40" i="47" a="1"/>
  <c r="AJ40" i="47" s="1"/>
  <c r="AJ39" i="47" a="1"/>
  <c r="AJ39" i="47" s="1"/>
  <c r="AJ38" i="47" a="1"/>
  <c r="AJ38" i="47" s="1"/>
  <c r="AJ37" i="47" a="1"/>
  <c r="AJ37" i="47" s="1"/>
  <c r="AJ36" i="47" a="1"/>
  <c r="AJ36" i="47" s="1"/>
  <c r="AJ35" i="47" a="1"/>
  <c r="AJ35" i="47" s="1"/>
  <c r="AJ34" i="47" a="1"/>
  <c r="AJ34" i="47" s="1"/>
  <c r="AJ33" i="47" a="1"/>
  <c r="AJ33" i="47" s="1"/>
  <c r="AJ32" i="47" a="1"/>
  <c r="AJ32" i="47" s="1"/>
  <c r="AJ31" i="47" a="1"/>
  <c r="AJ31" i="47" s="1"/>
  <c r="AJ30" i="47" a="1"/>
  <c r="AJ30" i="47" s="1"/>
  <c r="AJ29" i="47" a="1"/>
  <c r="AJ29" i="47" s="1"/>
  <c r="AJ28" i="47" a="1"/>
  <c r="AJ28" i="47" s="1"/>
  <c r="AJ27" i="47" a="1"/>
  <c r="AJ27" i="47" s="1"/>
  <c r="AJ26" i="47" a="1"/>
  <c r="AJ26" i="47" s="1"/>
  <c r="AJ25" i="47" a="1"/>
  <c r="AJ25" i="47" s="1"/>
  <c r="AJ20" i="47" a="1"/>
  <c r="AJ20" i="47" s="1"/>
  <c r="AJ19" i="47" a="1"/>
  <c r="AJ19" i="47" s="1"/>
  <c r="AJ18" i="47" a="1"/>
  <c r="AJ18" i="47" s="1"/>
  <c r="AJ17" i="47" a="1"/>
  <c r="AJ17" i="47" s="1"/>
  <c r="AJ16" i="47" a="1"/>
  <c r="AJ16" i="47" s="1"/>
  <c r="AJ15" i="47" a="1"/>
  <c r="AJ15" i="47" s="1"/>
  <c r="AJ14" i="47" a="1"/>
  <c r="AJ14" i="47" s="1"/>
  <c r="AJ13" i="47" a="1"/>
  <c r="AJ13" i="47" s="1"/>
  <c r="AJ12" i="47" a="1"/>
  <c r="AJ12" i="47" s="1"/>
  <c r="AJ11" i="47" a="1"/>
  <c r="AJ11" i="47" s="1"/>
  <c r="AJ10" i="47" a="1"/>
  <c r="AJ10" i="47" s="1"/>
  <c r="AJ9" i="47" a="1"/>
  <c r="AJ9" i="47" s="1"/>
  <c r="AJ8" i="47" a="1"/>
  <c r="AJ8" i="47" s="1"/>
  <c r="AJ7" i="47" a="1"/>
  <c r="AJ7" i="47" s="1"/>
  <c r="AJ6" i="47" a="1"/>
  <c r="AJ6" i="47" s="1"/>
  <c r="AJ5" i="47" a="1"/>
  <c r="AJ5" i="47" s="1"/>
  <c r="AJ4" i="47" a="1"/>
  <c r="AJ4" i="47" s="1"/>
  <c r="AJ3" i="47" a="1"/>
  <c r="AJ3" i="47" s="1"/>
  <c r="AJ2" i="47" a="1"/>
  <c r="AJ2" i="47" s="1"/>
  <c r="AJ1" i="47" a="1"/>
  <c r="AJ1" i="47" s="1"/>
  <c r="AI54" i="47" a="1"/>
  <c r="AI54" i="47" s="1"/>
  <c r="AI53" i="47" a="1"/>
  <c r="AI53" i="47" s="1"/>
  <c r="AI52" i="47" a="1"/>
  <c r="AI52" i="47" s="1"/>
  <c r="AI51" i="47" a="1"/>
  <c r="AI51" i="47" s="1"/>
  <c r="AI50" i="47" a="1"/>
  <c r="AI50" i="47" s="1"/>
  <c r="AI49" i="47" a="1"/>
  <c r="AI49" i="47" s="1"/>
  <c r="AI48" i="47" a="1"/>
  <c r="AI48" i="47" s="1"/>
  <c r="AI47" i="47" a="1"/>
  <c r="AI47" i="47" s="1"/>
  <c r="AI46" i="47" a="1"/>
  <c r="AI46" i="47" s="1"/>
  <c r="AI45" i="47" a="1"/>
  <c r="AI45" i="47" s="1"/>
  <c r="AI44" i="47" a="1"/>
  <c r="AI44" i="47" s="1"/>
  <c r="AI43" i="47" a="1"/>
  <c r="AI43" i="47" s="1"/>
  <c r="AI42" i="47" a="1"/>
  <c r="AI42" i="47" s="1"/>
  <c r="AI41" i="47" a="1"/>
  <c r="AI41" i="47" s="1"/>
  <c r="AI40" i="47" a="1"/>
  <c r="AI40" i="47" s="1"/>
  <c r="AI39" i="47" a="1"/>
  <c r="AI39" i="47" s="1"/>
  <c r="AI38" i="47" a="1"/>
  <c r="AI38" i="47" s="1"/>
  <c r="AI37" i="47" a="1"/>
  <c r="AI37" i="47" s="1"/>
  <c r="AI36" i="47" a="1"/>
  <c r="AI36" i="47" s="1"/>
  <c r="AI35" i="47" a="1"/>
  <c r="AI35" i="47" s="1"/>
  <c r="AI34" i="47" a="1"/>
  <c r="AI34" i="47" s="1"/>
  <c r="AI33" i="47" a="1"/>
  <c r="AI33" i="47" s="1"/>
  <c r="AI32" i="47" a="1"/>
  <c r="AI32" i="47" s="1"/>
  <c r="AI31" i="47" a="1"/>
  <c r="AI31" i="47" s="1"/>
  <c r="AI30" i="47" a="1"/>
  <c r="AI30" i="47" s="1"/>
  <c r="AI29" i="47" a="1"/>
  <c r="AI29" i="47" s="1"/>
  <c r="AI28" i="47" a="1"/>
  <c r="AI28" i="47" s="1"/>
  <c r="AI27" i="47" a="1"/>
  <c r="AI27" i="47" s="1"/>
  <c r="AI26" i="47" a="1"/>
  <c r="AI26" i="47" s="1"/>
  <c r="AI25" i="47" a="1"/>
  <c r="AI25" i="47" s="1"/>
  <c r="AI20" i="47" a="1"/>
  <c r="AI20" i="47" s="1"/>
  <c r="AI19" i="47" a="1"/>
  <c r="AI19" i="47" s="1"/>
  <c r="AI18" i="47" a="1"/>
  <c r="AI18" i="47" s="1"/>
  <c r="AI17" i="47" a="1"/>
  <c r="AI17" i="47" s="1"/>
  <c r="AI16" i="47" a="1"/>
  <c r="AI16" i="47" s="1"/>
  <c r="AI15" i="47" a="1"/>
  <c r="AI15" i="47" s="1"/>
  <c r="AI14" i="47" a="1"/>
  <c r="AI14" i="47" s="1"/>
  <c r="AI13" i="47" a="1"/>
  <c r="AI13" i="47" s="1"/>
  <c r="AI12" i="47" a="1"/>
  <c r="AI12" i="47" s="1"/>
  <c r="AI11" i="47" a="1"/>
  <c r="AI11" i="47" s="1"/>
  <c r="AI10" i="47" a="1"/>
  <c r="AI10" i="47" s="1"/>
  <c r="AI9" i="47" a="1"/>
  <c r="AI9" i="47" s="1"/>
  <c r="AI8" i="47" a="1"/>
  <c r="AI8" i="47" s="1"/>
  <c r="AI7" i="47" a="1"/>
  <c r="AI7" i="47" s="1"/>
  <c r="AI6" i="47" a="1"/>
  <c r="AI6" i="47" s="1"/>
  <c r="AI5" i="47" a="1"/>
  <c r="AI5" i="47" s="1"/>
  <c r="AI4" i="47" a="1"/>
  <c r="AI4" i="47" s="1"/>
  <c r="AI3" i="47" a="1"/>
  <c r="AI3" i="47" s="1"/>
  <c r="AI2" i="47" a="1"/>
  <c r="AI2" i="47" s="1"/>
  <c r="AI1" i="47" a="1"/>
  <c r="AI1" i="47" s="1"/>
  <c r="AH54" i="47" a="1"/>
  <c r="AH54" i="47" s="1"/>
  <c r="AH53" i="47" a="1"/>
  <c r="AH53" i="47" s="1"/>
  <c r="AH52" i="47" a="1"/>
  <c r="AH52" i="47" s="1"/>
  <c r="AH51" i="47" a="1"/>
  <c r="AH51" i="47" s="1"/>
  <c r="AH50" i="47" a="1"/>
  <c r="AH50" i="47" s="1"/>
  <c r="AH49" i="47" a="1"/>
  <c r="AH49" i="47" s="1"/>
  <c r="AH48" i="47" a="1"/>
  <c r="AH48" i="47" s="1"/>
  <c r="AH47" i="47" a="1"/>
  <c r="AH47" i="47" s="1"/>
  <c r="AH46" i="47" a="1"/>
  <c r="AH46" i="47" s="1"/>
  <c r="AH45" i="47" a="1"/>
  <c r="AH45" i="47" s="1"/>
  <c r="AH44" i="47" a="1"/>
  <c r="AH44" i="47" s="1"/>
  <c r="AH43" i="47" a="1"/>
  <c r="AH43" i="47" s="1"/>
  <c r="AH42" i="47" a="1"/>
  <c r="AH42" i="47" s="1"/>
  <c r="AH41" i="47" a="1"/>
  <c r="AH41" i="47" s="1"/>
  <c r="AH40" i="47" a="1"/>
  <c r="AH40" i="47" s="1"/>
  <c r="AH39" i="47" a="1"/>
  <c r="AH39" i="47" s="1"/>
  <c r="AH38" i="47" a="1"/>
  <c r="AH38" i="47" s="1"/>
  <c r="AH37" i="47" a="1"/>
  <c r="AH37" i="47" s="1"/>
  <c r="AH36" i="47" a="1"/>
  <c r="AH36" i="47" s="1"/>
  <c r="AH35" i="47" a="1"/>
  <c r="AH35" i="47" s="1"/>
  <c r="AH34" i="47" a="1"/>
  <c r="AH34" i="47" s="1"/>
  <c r="AH33" i="47" a="1"/>
  <c r="AH33" i="47" s="1"/>
  <c r="AH32" i="47" a="1"/>
  <c r="AH32" i="47" s="1"/>
  <c r="AH31" i="47" a="1"/>
  <c r="AH31" i="47" s="1"/>
  <c r="AH30" i="47" a="1"/>
  <c r="AH30" i="47" s="1"/>
  <c r="AH29" i="47" a="1"/>
  <c r="AH29" i="47" s="1"/>
  <c r="AH28" i="47" a="1"/>
  <c r="AH28" i="47" s="1"/>
  <c r="AH27" i="47" a="1"/>
  <c r="AH27" i="47" s="1"/>
  <c r="AH26" i="47" a="1"/>
  <c r="AH26" i="47" s="1"/>
  <c r="AH25" i="47" a="1"/>
  <c r="AH25" i="47" s="1"/>
  <c r="AH20" i="47" a="1"/>
  <c r="AH20" i="47" s="1"/>
  <c r="AH19" i="47" a="1"/>
  <c r="AH19" i="47" s="1"/>
  <c r="AH18" i="47" a="1"/>
  <c r="AH18" i="47" s="1"/>
  <c r="AH17" i="47" a="1"/>
  <c r="AH17" i="47" s="1"/>
  <c r="AH16" i="47" a="1"/>
  <c r="AH16" i="47" s="1"/>
  <c r="AH15" i="47" a="1"/>
  <c r="AH15" i="47" s="1"/>
  <c r="AH14" i="47" a="1"/>
  <c r="AH14" i="47" s="1"/>
  <c r="AH13" i="47" a="1"/>
  <c r="AH13" i="47" s="1"/>
  <c r="AH12" i="47" a="1"/>
  <c r="AH12" i="47" s="1"/>
  <c r="AH11" i="47" a="1"/>
  <c r="AH11" i="47" s="1"/>
  <c r="AH10" i="47" a="1"/>
  <c r="AH10" i="47" s="1"/>
  <c r="AH9" i="47" a="1"/>
  <c r="AH9" i="47" s="1"/>
  <c r="AH8" i="47" a="1"/>
  <c r="AH8" i="47" s="1"/>
  <c r="AH7" i="47" a="1"/>
  <c r="AH7" i="47" s="1"/>
  <c r="AH6" i="47" a="1"/>
  <c r="AH6" i="47" s="1"/>
  <c r="AH5" i="47" a="1"/>
  <c r="AH5" i="47" s="1"/>
  <c r="AH4" i="47" a="1"/>
  <c r="AH4" i="47" s="1"/>
  <c r="AH3" i="47" a="1"/>
  <c r="AH3" i="47" s="1"/>
  <c r="AH2" i="47" a="1"/>
  <c r="AH2" i="47" s="1"/>
  <c r="AH1" i="47" a="1"/>
  <c r="AH1" i="47" s="1"/>
  <c r="AG54" i="47" a="1"/>
  <c r="AG54" i="47" s="1"/>
  <c r="AG53" i="47" a="1"/>
  <c r="AG53" i="47" s="1"/>
  <c r="AG52" i="47" a="1"/>
  <c r="AG52" i="47" s="1"/>
  <c r="AG51" i="47" a="1"/>
  <c r="AG51" i="47" s="1"/>
  <c r="AG50" i="47" a="1"/>
  <c r="AG50" i="47" s="1"/>
  <c r="AG49" i="47" a="1"/>
  <c r="AG49" i="47" s="1"/>
  <c r="AG48" i="47" a="1"/>
  <c r="AG48" i="47" s="1"/>
  <c r="AG47" i="47" a="1"/>
  <c r="AG47" i="47" s="1"/>
  <c r="AG46" i="47" a="1"/>
  <c r="AG46" i="47" s="1"/>
  <c r="AG45" i="47" a="1"/>
  <c r="AG45" i="47" s="1"/>
  <c r="AG44" i="47" a="1"/>
  <c r="AG44" i="47" s="1"/>
  <c r="AG43" i="47" a="1"/>
  <c r="AG43" i="47" s="1"/>
  <c r="AG42" i="47" a="1"/>
  <c r="AG42" i="47" s="1"/>
  <c r="AG41" i="47" a="1"/>
  <c r="AG41" i="47" s="1"/>
  <c r="AG40" i="47" a="1"/>
  <c r="AG40" i="47" s="1"/>
  <c r="AG39" i="47" a="1"/>
  <c r="AG39" i="47" s="1"/>
  <c r="AG38" i="47" a="1"/>
  <c r="AG38" i="47" s="1"/>
  <c r="AG37" i="47" a="1"/>
  <c r="AG37" i="47" s="1"/>
  <c r="AG36" i="47" a="1"/>
  <c r="AG36" i="47" s="1"/>
  <c r="AG35" i="47" a="1"/>
  <c r="AG35" i="47" s="1"/>
  <c r="AG34" i="47" a="1"/>
  <c r="AG34" i="47" s="1"/>
  <c r="AG33" i="47" a="1"/>
  <c r="AG33" i="47" s="1"/>
  <c r="AG32" i="47" a="1"/>
  <c r="AG32" i="47" s="1"/>
  <c r="AG31" i="47" a="1"/>
  <c r="AG31" i="47" s="1"/>
  <c r="AG30" i="47" a="1"/>
  <c r="AG30" i="47" s="1"/>
  <c r="AG29" i="47" a="1"/>
  <c r="AG29" i="47" s="1"/>
  <c r="AG28" i="47" a="1"/>
  <c r="AG28" i="47" s="1"/>
  <c r="AG27" i="47" a="1"/>
  <c r="AG27" i="47" s="1"/>
  <c r="AG26" i="47" a="1"/>
  <c r="AG26" i="47" s="1"/>
  <c r="AG25" i="47" a="1"/>
  <c r="AG25" i="47" s="1"/>
  <c r="AG20" i="47" a="1"/>
  <c r="AG20" i="47" s="1"/>
  <c r="AG19" i="47" a="1"/>
  <c r="AG19" i="47" s="1"/>
  <c r="AG18" i="47" a="1"/>
  <c r="AG18" i="47" s="1"/>
  <c r="AG17" i="47" a="1"/>
  <c r="AG17" i="47" s="1"/>
  <c r="AG16" i="47" a="1"/>
  <c r="AG16" i="47" s="1"/>
  <c r="AG15" i="47" a="1"/>
  <c r="AG15" i="47" s="1"/>
  <c r="AG14" i="47" a="1"/>
  <c r="AG14" i="47" s="1"/>
  <c r="AG13" i="47" a="1"/>
  <c r="AG13" i="47" s="1"/>
  <c r="AG12" i="47" a="1"/>
  <c r="AG12" i="47" s="1"/>
  <c r="AG11" i="47" a="1"/>
  <c r="AG11" i="47" s="1"/>
  <c r="AG10" i="47" a="1"/>
  <c r="AG10" i="47" s="1"/>
  <c r="AG9" i="47" a="1"/>
  <c r="AG9" i="47" s="1"/>
  <c r="AG8" i="47" a="1"/>
  <c r="AG8" i="47" s="1"/>
  <c r="AG7" i="47" a="1"/>
  <c r="AG7" i="47" s="1"/>
  <c r="AG6" i="47" a="1"/>
  <c r="AG6" i="47" s="1"/>
  <c r="AG5" i="47" a="1"/>
  <c r="AG5" i="47" s="1"/>
  <c r="AG4" i="47" a="1"/>
  <c r="AG4" i="47" s="1"/>
  <c r="AG3" i="47" a="1"/>
  <c r="AG3" i="47" s="1"/>
  <c r="AG2" i="47" a="1"/>
  <c r="AG2" i="47" s="1"/>
  <c r="AG1" i="47" a="1"/>
  <c r="AG1" i="47" s="1"/>
  <c r="AF54" i="47" a="1"/>
  <c r="AF54" i="47" s="1"/>
  <c r="AF53" i="47" a="1"/>
  <c r="AF53" i="47" s="1"/>
  <c r="AF52" i="47" a="1"/>
  <c r="AF52" i="47" s="1"/>
  <c r="AF51" i="47" a="1"/>
  <c r="AF51" i="47" s="1"/>
  <c r="AF50" i="47" a="1"/>
  <c r="AF50" i="47" s="1"/>
  <c r="AF49" i="47" a="1"/>
  <c r="AF49" i="47" s="1"/>
  <c r="AF48" i="47" a="1"/>
  <c r="AF48" i="47" s="1"/>
  <c r="AF47" i="47" a="1"/>
  <c r="AF47" i="47" s="1"/>
  <c r="AF46" i="47" a="1"/>
  <c r="AF46" i="47" s="1"/>
  <c r="AF45" i="47" a="1"/>
  <c r="AF45" i="47" s="1"/>
  <c r="AF44" i="47" a="1"/>
  <c r="AF44" i="47" s="1"/>
  <c r="AF43" i="47" a="1"/>
  <c r="AF43" i="47" s="1"/>
  <c r="AF42" i="47" a="1"/>
  <c r="AF42" i="47" s="1"/>
  <c r="AF41" i="47" a="1"/>
  <c r="AF41" i="47" s="1"/>
  <c r="AF40" i="47" a="1"/>
  <c r="AF40" i="47" s="1"/>
  <c r="AF39" i="47" a="1"/>
  <c r="AF39" i="47" s="1"/>
  <c r="AF38" i="47" a="1"/>
  <c r="AF38" i="47" s="1"/>
  <c r="AF37" i="47" a="1"/>
  <c r="AF37" i="47" s="1"/>
  <c r="AF36" i="47" a="1"/>
  <c r="AF36" i="47" s="1"/>
  <c r="AF35" i="47" a="1"/>
  <c r="AF35" i="47" s="1"/>
  <c r="AF34" i="47" a="1"/>
  <c r="AF34" i="47" s="1"/>
  <c r="AF33" i="47" a="1"/>
  <c r="AF33" i="47" s="1"/>
  <c r="AF32" i="47" a="1"/>
  <c r="AF32" i="47" s="1"/>
  <c r="AF31" i="47" a="1"/>
  <c r="AF31" i="47" s="1"/>
  <c r="AF30" i="47" a="1"/>
  <c r="AF30" i="47" s="1"/>
  <c r="AF29" i="47" a="1"/>
  <c r="AF29" i="47" s="1"/>
  <c r="AF28" i="47" a="1"/>
  <c r="AF28" i="47" s="1"/>
  <c r="AF27" i="47" a="1"/>
  <c r="AF27" i="47" s="1"/>
  <c r="AF26" i="47" a="1"/>
  <c r="AF26" i="47" s="1"/>
  <c r="AF25" i="47" a="1"/>
  <c r="AF25" i="47" s="1"/>
  <c r="AF20" i="47" a="1"/>
  <c r="AF20" i="47" s="1"/>
  <c r="AF19" i="47" a="1"/>
  <c r="AF19" i="47" s="1"/>
  <c r="AF18" i="47" a="1"/>
  <c r="AF18" i="47" s="1"/>
  <c r="AF17" i="47" a="1"/>
  <c r="AF17" i="47" s="1"/>
  <c r="AF16" i="47" a="1"/>
  <c r="AF16" i="47" s="1"/>
  <c r="AF15" i="47" a="1"/>
  <c r="AF15" i="47" s="1"/>
  <c r="AF14" i="47" a="1"/>
  <c r="AF14" i="47" s="1"/>
  <c r="AF13" i="47" a="1"/>
  <c r="AF13" i="47" s="1"/>
  <c r="AF12" i="47" a="1"/>
  <c r="AF12" i="47" s="1"/>
  <c r="AF11" i="47" a="1"/>
  <c r="AF11" i="47" s="1"/>
  <c r="AF10" i="47" a="1"/>
  <c r="AF10" i="47" s="1"/>
  <c r="AF9" i="47" a="1"/>
  <c r="AF9" i="47" s="1"/>
  <c r="AF8" i="47" a="1"/>
  <c r="AF8" i="47" s="1"/>
  <c r="AF7" i="47" a="1"/>
  <c r="AF7" i="47" s="1"/>
  <c r="AF6" i="47" a="1"/>
  <c r="AF6" i="47" s="1"/>
  <c r="AF5" i="47" a="1"/>
  <c r="AF5" i="47" s="1"/>
  <c r="AF4" i="47" a="1"/>
  <c r="AF4" i="47" s="1"/>
  <c r="AF3" i="47" a="1"/>
  <c r="AF3" i="47" s="1"/>
  <c r="AF2" i="47" a="1"/>
  <c r="AF2" i="47" s="1"/>
  <c r="AF1" i="47" a="1"/>
  <c r="AF1" i="47" s="1"/>
  <c r="AE54" i="47" a="1"/>
  <c r="AE54" i="47" s="1"/>
  <c r="AE53" i="47" a="1"/>
  <c r="AE53" i="47" s="1"/>
  <c r="AE52" i="47" a="1"/>
  <c r="AE52" i="47" s="1"/>
  <c r="AE51" i="47" a="1"/>
  <c r="AE51" i="47" s="1"/>
  <c r="AE50" i="47" a="1"/>
  <c r="AE50" i="47" s="1"/>
  <c r="AE49" i="47" a="1"/>
  <c r="AE49" i="47" s="1"/>
  <c r="AE48" i="47" a="1"/>
  <c r="AE48" i="47" s="1"/>
  <c r="AE47" i="47" a="1"/>
  <c r="AE47" i="47" s="1"/>
  <c r="AE46" i="47" a="1"/>
  <c r="AE46" i="47" s="1"/>
  <c r="AE45" i="47" a="1"/>
  <c r="AE45" i="47" s="1"/>
  <c r="AE44" i="47" a="1"/>
  <c r="AE44" i="47" s="1"/>
  <c r="AE43" i="47" a="1"/>
  <c r="AE43" i="47" s="1"/>
  <c r="AE42" i="47" a="1"/>
  <c r="AE42" i="47" s="1"/>
  <c r="AE41" i="47" a="1"/>
  <c r="AE41" i="47" s="1"/>
  <c r="AE40" i="47" a="1"/>
  <c r="AE40" i="47" s="1"/>
  <c r="AE39" i="47" a="1"/>
  <c r="AE39" i="47" s="1"/>
  <c r="AE38" i="47" a="1"/>
  <c r="AE38" i="47" s="1"/>
  <c r="AE37" i="47" a="1"/>
  <c r="AE37" i="47" s="1"/>
  <c r="AE36" i="47" a="1"/>
  <c r="AE36" i="47" s="1"/>
  <c r="AE35" i="47" a="1"/>
  <c r="AE35" i="47" s="1"/>
  <c r="AE34" i="47" a="1"/>
  <c r="AE34" i="47" s="1"/>
  <c r="AE33" i="47" a="1"/>
  <c r="AE33" i="47" s="1"/>
  <c r="AE32" i="47" a="1"/>
  <c r="AE32" i="47" s="1"/>
  <c r="AE31" i="47" a="1"/>
  <c r="AE31" i="47" s="1"/>
  <c r="AE30" i="47" a="1"/>
  <c r="AE30" i="47" s="1"/>
  <c r="AE29" i="47" a="1"/>
  <c r="AE29" i="47" s="1"/>
  <c r="AE28" i="47" a="1"/>
  <c r="AE28" i="47" s="1"/>
  <c r="AE27" i="47" a="1"/>
  <c r="AE27" i="47" s="1"/>
  <c r="AE26" i="47" a="1"/>
  <c r="AE26" i="47" s="1"/>
  <c r="AE25" i="47" a="1"/>
  <c r="AE25" i="47" s="1"/>
  <c r="AE20" i="47" a="1"/>
  <c r="AE20" i="47" s="1"/>
  <c r="AE19" i="47" a="1"/>
  <c r="AE19" i="47" s="1"/>
  <c r="AE18" i="47" a="1"/>
  <c r="AE18" i="47" s="1"/>
  <c r="AE17" i="47" a="1"/>
  <c r="AE17" i="47" s="1"/>
  <c r="AE16" i="47" a="1"/>
  <c r="AE16" i="47" s="1"/>
  <c r="AE15" i="47" a="1"/>
  <c r="AE15" i="47" s="1"/>
  <c r="AE14" i="47" a="1"/>
  <c r="AE14" i="47" s="1"/>
  <c r="AE13" i="47" a="1"/>
  <c r="AE13" i="47" s="1"/>
  <c r="AE12" i="47" a="1"/>
  <c r="AE12" i="47" s="1"/>
  <c r="AE11" i="47" a="1"/>
  <c r="AE11" i="47" s="1"/>
  <c r="AE10" i="47" a="1"/>
  <c r="AE10" i="47" s="1"/>
  <c r="AE9" i="47" a="1"/>
  <c r="AE9" i="47" s="1"/>
  <c r="AE8" i="47" a="1"/>
  <c r="AE8" i="47" s="1"/>
  <c r="AE7" i="47" a="1"/>
  <c r="AE7" i="47" s="1"/>
  <c r="AE6" i="47" a="1"/>
  <c r="AE6" i="47" s="1"/>
  <c r="AE5" i="47" a="1"/>
  <c r="AE5" i="47" s="1"/>
  <c r="AE4" i="47" a="1"/>
  <c r="AE4" i="47" s="1"/>
  <c r="AE3" i="47" a="1"/>
  <c r="AE3" i="47" s="1"/>
  <c r="AE2" i="47" a="1"/>
  <c r="AE2" i="47" s="1"/>
  <c r="AE1" i="47" a="1"/>
  <c r="AE1" i="47" s="1"/>
  <c r="AD54" i="47" a="1"/>
  <c r="AD54" i="47" s="1"/>
  <c r="AD53" i="47" a="1"/>
  <c r="AD53" i="47" s="1"/>
  <c r="AD52" i="47" a="1"/>
  <c r="AD52" i="47" s="1"/>
  <c r="AD51" i="47" a="1"/>
  <c r="AD51" i="47" s="1"/>
  <c r="AD50" i="47" a="1"/>
  <c r="AD50" i="47" s="1"/>
  <c r="AD49" i="47" a="1"/>
  <c r="AD49" i="47" s="1"/>
  <c r="AD48" i="47" a="1"/>
  <c r="AD48" i="47" s="1"/>
  <c r="AD47" i="47" a="1"/>
  <c r="AD47" i="47" s="1"/>
  <c r="AD46" i="47" a="1"/>
  <c r="AD46" i="47" s="1"/>
  <c r="AD45" i="47" a="1"/>
  <c r="AD45" i="47" s="1"/>
  <c r="AD44" i="47" a="1"/>
  <c r="AD44" i="47" s="1"/>
  <c r="AD43" i="47" a="1"/>
  <c r="AD43" i="47" s="1"/>
  <c r="AD42" i="47" a="1"/>
  <c r="AD42" i="47" s="1"/>
  <c r="AD41" i="47" a="1"/>
  <c r="AD41" i="47" s="1"/>
  <c r="AD40" i="47" a="1"/>
  <c r="AD40" i="47" s="1"/>
  <c r="AD39" i="47" a="1"/>
  <c r="AD39" i="47" s="1"/>
  <c r="AD38" i="47" a="1"/>
  <c r="AD38" i="47" s="1"/>
  <c r="AD37" i="47" a="1"/>
  <c r="AD37" i="47" s="1"/>
  <c r="AD36" i="47" a="1"/>
  <c r="AD36" i="47" s="1"/>
  <c r="AD35" i="47" a="1"/>
  <c r="AD35" i="47" s="1"/>
  <c r="AD34" i="47" a="1"/>
  <c r="AD34" i="47" s="1"/>
  <c r="AD33" i="47" a="1"/>
  <c r="AD33" i="47" s="1"/>
  <c r="AD32" i="47" a="1"/>
  <c r="AD32" i="47" s="1"/>
  <c r="AD31" i="47" a="1"/>
  <c r="AD31" i="47" s="1"/>
  <c r="AD30" i="47" a="1"/>
  <c r="AD30" i="47" s="1"/>
  <c r="AD29" i="47" a="1"/>
  <c r="AD29" i="47" s="1"/>
  <c r="AD28" i="47" a="1"/>
  <c r="AD28" i="47" s="1"/>
  <c r="AD27" i="47" a="1"/>
  <c r="AD27" i="47" s="1"/>
  <c r="AD26" i="47" a="1"/>
  <c r="AD26" i="47" s="1"/>
  <c r="AD25" i="47" a="1"/>
  <c r="AD25" i="47" s="1"/>
  <c r="AD20" i="47" a="1"/>
  <c r="AD20" i="47" s="1"/>
  <c r="AD19" i="47" a="1"/>
  <c r="AD19" i="47" s="1"/>
  <c r="AD18" i="47" a="1"/>
  <c r="AD18" i="47" s="1"/>
  <c r="AD17" i="47" a="1"/>
  <c r="AD17" i="47" s="1"/>
  <c r="AD16" i="47" a="1"/>
  <c r="AD16" i="47" s="1"/>
  <c r="AD15" i="47" a="1"/>
  <c r="AD15" i="47" s="1"/>
  <c r="AD14" i="47" a="1"/>
  <c r="AD14" i="47" s="1"/>
  <c r="AD13" i="47" a="1"/>
  <c r="AD13" i="47" s="1"/>
  <c r="AD12" i="47" a="1"/>
  <c r="AD12" i="47" s="1"/>
  <c r="AD11" i="47" a="1"/>
  <c r="AD11" i="47" s="1"/>
  <c r="AD10" i="47" a="1"/>
  <c r="AD10" i="47" s="1"/>
  <c r="AD9" i="47" a="1"/>
  <c r="AD9" i="47" s="1"/>
  <c r="AD8" i="47" a="1"/>
  <c r="AD8" i="47" s="1"/>
  <c r="AD7" i="47" a="1"/>
  <c r="AD7" i="47" s="1"/>
  <c r="AD6" i="47" a="1"/>
  <c r="AD6" i="47" s="1"/>
  <c r="AD5" i="47" a="1"/>
  <c r="AD5" i="47" s="1"/>
  <c r="AD4" i="47" a="1"/>
  <c r="AD4" i="47" s="1"/>
  <c r="AD3" i="47" a="1"/>
  <c r="AD3" i="47" s="1"/>
  <c r="AD2" i="47" a="1"/>
  <c r="AD2" i="47" s="1"/>
  <c r="AD1" i="47" a="1"/>
  <c r="AD1" i="47" s="1"/>
  <c r="AC54" i="47" a="1"/>
  <c r="AC54" i="47" s="1"/>
  <c r="AC53" i="47" a="1"/>
  <c r="AC53" i="47" s="1"/>
  <c r="AC52" i="47" a="1"/>
  <c r="AC52" i="47" s="1"/>
  <c r="AC51" i="47" a="1"/>
  <c r="AC51" i="47" s="1"/>
  <c r="AC50" i="47" a="1"/>
  <c r="AC50" i="47" s="1"/>
  <c r="AC49" i="47" a="1"/>
  <c r="AC49" i="47" s="1"/>
  <c r="AC48" i="47" a="1"/>
  <c r="AC48" i="47" s="1"/>
  <c r="AC47" i="47" a="1"/>
  <c r="AC47" i="47" s="1"/>
  <c r="AC46" i="47" a="1"/>
  <c r="AC46" i="47" s="1"/>
  <c r="AC45" i="47" a="1"/>
  <c r="AC45" i="47" s="1"/>
  <c r="AC44" i="47" a="1"/>
  <c r="AC44" i="47" s="1"/>
  <c r="AC43" i="47" a="1"/>
  <c r="AC43" i="47" s="1"/>
  <c r="AC42" i="47" a="1"/>
  <c r="AC42" i="47" s="1"/>
  <c r="AC41" i="47" a="1"/>
  <c r="AC41" i="47" s="1"/>
  <c r="AC40" i="47" a="1"/>
  <c r="AC40" i="47" s="1"/>
  <c r="AC39" i="47" a="1"/>
  <c r="AC39" i="47" s="1"/>
  <c r="AC38" i="47" a="1"/>
  <c r="AC38" i="47" s="1"/>
  <c r="AC37" i="47" a="1"/>
  <c r="AC37" i="47" s="1"/>
  <c r="AC36" i="47" a="1"/>
  <c r="AC36" i="47" s="1"/>
  <c r="AC35" i="47" a="1"/>
  <c r="AC35" i="47" s="1"/>
  <c r="AC34" i="47" a="1"/>
  <c r="AC34" i="47" s="1"/>
  <c r="AC33" i="47" a="1"/>
  <c r="AC33" i="47" s="1"/>
  <c r="AC32" i="47" a="1"/>
  <c r="AC32" i="47" s="1"/>
  <c r="AC31" i="47" a="1"/>
  <c r="AC31" i="47" s="1"/>
  <c r="AC30" i="47" a="1"/>
  <c r="AC30" i="47" s="1"/>
  <c r="AC29" i="47" a="1"/>
  <c r="AC29" i="47" s="1"/>
  <c r="AC28" i="47" a="1"/>
  <c r="AC28" i="47" s="1"/>
  <c r="AC27" i="47" a="1"/>
  <c r="AC27" i="47" s="1"/>
  <c r="AC26" i="47" a="1"/>
  <c r="AC26" i="47" s="1"/>
  <c r="AC25" i="47" a="1"/>
  <c r="AC25" i="47" s="1"/>
  <c r="AC20" i="47" a="1"/>
  <c r="AC20" i="47" s="1"/>
  <c r="AC19" i="47" a="1"/>
  <c r="AC19" i="47" s="1"/>
  <c r="AC18" i="47" a="1"/>
  <c r="AC18" i="47" s="1"/>
  <c r="AC17" i="47" a="1"/>
  <c r="AC17" i="47" s="1"/>
  <c r="AC16" i="47" a="1"/>
  <c r="AC16" i="47" s="1"/>
  <c r="AC15" i="47" a="1"/>
  <c r="AC15" i="47" s="1"/>
  <c r="AC14" i="47" a="1"/>
  <c r="AC14" i="47" s="1"/>
  <c r="AC13" i="47" a="1"/>
  <c r="AC13" i="47" s="1"/>
  <c r="AC12" i="47" a="1"/>
  <c r="AC12" i="47" s="1"/>
  <c r="AC11" i="47" a="1"/>
  <c r="AC11" i="47" s="1"/>
  <c r="AC10" i="47" a="1"/>
  <c r="AC10" i="47" s="1"/>
  <c r="AC9" i="47" a="1"/>
  <c r="AC9" i="47" s="1"/>
  <c r="AC8" i="47" a="1"/>
  <c r="AC8" i="47" s="1"/>
  <c r="AC7" i="47" a="1"/>
  <c r="AC7" i="47" s="1"/>
  <c r="AC6" i="47" a="1"/>
  <c r="AC6" i="47" s="1"/>
  <c r="AC5" i="47" a="1"/>
  <c r="AC5" i="47" s="1"/>
  <c r="AC4" i="47" a="1"/>
  <c r="AC4" i="47" s="1"/>
  <c r="AC3" i="47" a="1"/>
  <c r="AC3" i="47" s="1"/>
  <c r="AC2" i="47" a="1"/>
  <c r="AC2" i="47" s="1"/>
  <c r="AC1" i="47" a="1"/>
  <c r="AC1" i="47" s="1"/>
  <c r="AB54" i="47" a="1"/>
  <c r="AB54" i="47" s="1"/>
  <c r="AA54" i="47" a="1"/>
  <c r="AA54" i="47" s="1"/>
  <c r="Z54" i="47" a="1"/>
  <c r="Z54" i="47" s="1"/>
  <c r="Y54" i="47" a="1"/>
  <c r="Y54" i="47" s="1"/>
  <c r="AB53" i="47" a="1"/>
  <c r="AB53" i="47" s="1"/>
  <c r="AA53" i="47" a="1"/>
  <c r="AA53" i="47" s="1"/>
  <c r="Z53" i="47" a="1"/>
  <c r="Z53" i="47" s="1"/>
  <c r="Y53" i="47" a="1"/>
  <c r="Y53" i="47" s="1"/>
  <c r="AB52" i="47" a="1"/>
  <c r="AB52" i="47" s="1"/>
  <c r="AA52" i="47" a="1"/>
  <c r="AA52" i="47" s="1"/>
  <c r="Z52" i="47" a="1"/>
  <c r="Z52" i="47" s="1"/>
  <c r="Y52" i="47" a="1"/>
  <c r="Y52" i="47" s="1"/>
  <c r="AB51" i="47" a="1"/>
  <c r="AB51" i="47" s="1"/>
  <c r="AA51" i="47" a="1"/>
  <c r="AA51" i="47" s="1"/>
  <c r="Z51" i="47" a="1"/>
  <c r="Z51" i="47" s="1"/>
  <c r="Y51" i="47" a="1"/>
  <c r="Y51" i="47" s="1"/>
  <c r="AB50" i="47" a="1"/>
  <c r="AB50" i="47" s="1"/>
  <c r="AA50" i="47" a="1"/>
  <c r="AA50" i="47" s="1"/>
  <c r="Z50" i="47" a="1"/>
  <c r="Z50" i="47" s="1"/>
  <c r="Y50" i="47" a="1"/>
  <c r="Y50" i="47" s="1"/>
  <c r="AB49" i="47" a="1"/>
  <c r="AB49" i="47" s="1"/>
  <c r="AA49" i="47" a="1"/>
  <c r="AA49" i="47" s="1"/>
  <c r="Z49" i="47" a="1"/>
  <c r="Z49" i="47" s="1"/>
  <c r="Y49" i="47" a="1"/>
  <c r="Y49" i="47" s="1"/>
  <c r="AB48" i="47" a="1"/>
  <c r="AB48" i="47" s="1"/>
  <c r="AA48" i="47" a="1"/>
  <c r="AA48" i="47" s="1"/>
  <c r="Z48" i="47" a="1"/>
  <c r="Z48" i="47" s="1"/>
  <c r="Y48" i="47" a="1"/>
  <c r="Y48" i="47" s="1"/>
  <c r="AB47" i="47" a="1"/>
  <c r="AB47" i="47" s="1"/>
  <c r="AA47" i="47" a="1"/>
  <c r="AA47" i="47" s="1"/>
  <c r="Z47" i="47" a="1"/>
  <c r="Z47" i="47" s="1"/>
  <c r="Y47" i="47" a="1"/>
  <c r="Y47" i="47" s="1"/>
  <c r="AB46" i="47" a="1"/>
  <c r="AB46" i="47" s="1"/>
  <c r="AA46" i="47" a="1"/>
  <c r="AA46" i="47" s="1"/>
  <c r="Z46" i="47" a="1"/>
  <c r="Z46" i="47" s="1"/>
  <c r="Y46" i="47" a="1"/>
  <c r="Y46" i="47" s="1"/>
  <c r="AB45" i="47" a="1"/>
  <c r="AB45" i="47" s="1"/>
  <c r="AA45" i="47" a="1"/>
  <c r="AA45" i="47" s="1"/>
  <c r="Z45" i="47" a="1"/>
  <c r="Z45" i="47" s="1"/>
  <c r="Y45" i="47" a="1"/>
  <c r="Y45" i="47" s="1"/>
  <c r="AB44" i="47" a="1"/>
  <c r="AB44" i="47" s="1"/>
  <c r="AA44" i="47" a="1"/>
  <c r="AA44" i="47" s="1"/>
  <c r="Z44" i="47" a="1"/>
  <c r="Z44" i="47" s="1"/>
  <c r="Y44" i="47" a="1"/>
  <c r="Y44" i="47" s="1"/>
  <c r="AB43" i="47" a="1"/>
  <c r="AB43" i="47" s="1"/>
  <c r="AA43" i="47" a="1"/>
  <c r="AA43" i="47" s="1"/>
  <c r="Z43" i="47" a="1"/>
  <c r="Z43" i="47" s="1"/>
  <c r="Y43" i="47" a="1"/>
  <c r="Y43" i="47" s="1"/>
  <c r="AB42" i="47" a="1"/>
  <c r="AB42" i="47" s="1"/>
  <c r="AA42" i="47" a="1"/>
  <c r="AA42" i="47" s="1"/>
  <c r="Z42" i="47" a="1"/>
  <c r="Z42" i="47" s="1"/>
  <c r="Y42" i="47" a="1"/>
  <c r="Y42" i="47" s="1"/>
  <c r="AB41" i="47" a="1"/>
  <c r="AB41" i="47" s="1"/>
  <c r="AA41" i="47" a="1"/>
  <c r="AA41" i="47" s="1"/>
  <c r="Z41" i="47" a="1"/>
  <c r="Z41" i="47" s="1"/>
  <c r="Y41" i="47" a="1"/>
  <c r="Y41" i="47" s="1"/>
  <c r="AB40" i="47" a="1"/>
  <c r="AB40" i="47" s="1"/>
  <c r="AA40" i="47" a="1"/>
  <c r="AA40" i="47" s="1"/>
  <c r="Z40" i="47" a="1"/>
  <c r="Z40" i="47" s="1"/>
  <c r="Y40" i="47" a="1"/>
  <c r="Y40" i="47" s="1"/>
  <c r="AB39" i="47" a="1"/>
  <c r="AB39" i="47" s="1"/>
  <c r="AA39" i="47" a="1"/>
  <c r="AA39" i="47" s="1"/>
  <c r="Z39" i="47" a="1"/>
  <c r="Z39" i="47" s="1"/>
  <c r="Y39" i="47" a="1"/>
  <c r="Y39" i="47" s="1"/>
  <c r="AB38" i="47" a="1"/>
  <c r="AB38" i="47" s="1"/>
  <c r="AA38" i="47" a="1"/>
  <c r="AA38" i="47" s="1"/>
  <c r="Z38" i="47" a="1"/>
  <c r="Z38" i="47" s="1"/>
  <c r="Y38" i="47" a="1"/>
  <c r="Y38" i="47" s="1"/>
  <c r="AB37" i="47" a="1"/>
  <c r="AB37" i="47" s="1"/>
  <c r="AA37" i="47" a="1"/>
  <c r="AA37" i="47" s="1"/>
  <c r="Z37" i="47" a="1"/>
  <c r="Z37" i="47" s="1"/>
  <c r="Y37" i="47" a="1"/>
  <c r="Y37" i="47" s="1"/>
  <c r="AB36" i="47" a="1"/>
  <c r="AB36" i="47" s="1"/>
  <c r="AA36" i="47" a="1"/>
  <c r="AA36" i="47" s="1"/>
  <c r="Z36" i="47" a="1"/>
  <c r="Z36" i="47" s="1"/>
  <c r="Y36" i="47" a="1"/>
  <c r="Y36" i="47" s="1"/>
  <c r="AB35" i="47" a="1"/>
  <c r="AB35" i="47" s="1"/>
  <c r="AA35" i="47" a="1"/>
  <c r="AA35" i="47" s="1"/>
  <c r="Z35" i="47" a="1"/>
  <c r="Z35" i="47" s="1"/>
  <c r="Y35" i="47" a="1"/>
  <c r="Y35" i="47" s="1"/>
  <c r="AB34" i="47" a="1"/>
  <c r="AB34" i="47" s="1"/>
  <c r="AA34" i="47" a="1"/>
  <c r="AA34" i="47" s="1"/>
  <c r="Z34" i="47" a="1"/>
  <c r="Z34" i="47" s="1"/>
  <c r="Y34" i="47" a="1"/>
  <c r="Y34" i="47" s="1"/>
  <c r="AB33" i="47" a="1"/>
  <c r="AB33" i="47" s="1"/>
  <c r="AA33" i="47" a="1"/>
  <c r="AA33" i="47" s="1"/>
  <c r="Z33" i="47" a="1"/>
  <c r="Z33" i="47" s="1"/>
  <c r="Y33" i="47" a="1"/>
  <c r="Y33" i="47" s="1"/>
  <c r="AB32" i="47" a="1"/>
  <c r="AB32" i="47" s="1"/>
  <c r="AA32" i="47" a="1"/>
  <c r="AA32" i="47" s="1"/>
  <c r="Z32" i="47" a="1"/>
  <c r="Z32" i="47" s="1"/>
  <c r="Y32" i="47" a="1"/>
  <c r="Y32" i="47" s="1"/>
  <c r="AB31" i="47" a="1"/>
  <c r="AB31" i="47" s="1"/>
  <c r="AA31" i="47" a="1"/>
  <c r="AA31" i="47" s="1"/>
  <c r="Z31" i="47" a="1"/>
  <c r="Z31" i="47" s="1"/>
  <c r="Y31" i="47" a="1"/>
  <c r="Y31" i="47" s="1"/>
  <c r="AB30" i="47" a="1"/>
  <c r="AB30" i="47" s="1"/>
  <c r="AA30" i="47" a="1"/>
  <c r="AA30" i="47" s="1"/>
  <c r="Z30" i="47" a="1"/>
  <c r="Z30" i="47" s="1"/>
  <c r="Y30" i="47" a="1"/>
  <c r="Y30" i="47" s="1"/>
  <c r="AB29" i="47" a="1"/>
  <c r="AB29" i="47" s="1"/>
  <c r="AA29" i="47" a="1"/>
  <c r="AA29" i="47" s="1"/>
  <c r="Z29" i="47" a="1"/>
  <c r="Z29" i="47" s="1"/>
  <c r="Y29" i="47" a="1"/>
  <c r="Y29" i="47" s="1"/>
  <c r="AB28" i="47" a="1"/>
  <c r="AB28" i="47" s="1"/>
  <c r="AA28" i="47" a="1"/>
  <c r="AA28" i="47" s="1"/>
  <c r="Z28" i="47" a="1"/>
  <c r="Z28" i="47" s="1"/>
  <c r="Y28" i="47" a="1"/>
  <c r="Y28" i="47" s="1"/>
  <c r="AB27" i="47" a="1"/>
  <c r="AB27" i="47" s="1"/>
  <c r="AA27" i="47" a="1"/>
  <c r="AA27" i="47" s="1"/>
  <c r="Z27" i="47" a="1"/>
  <c r="Z27" i="47" s="1"/>
  <c r="Y27" i="47" a="1"/>
  <c r="Y27" i="47" s="1"/>
  <c r="AB26" i="47" a="1"/>
  <c r="AB26" i="47" s="1"/>
  <c r="AA26" i="47" a="1"/>
  <c r="AA26" i="47" s="1"/>
  <c r="Z26" i="47" a="1"/>
  <c r="Z26" i="47" s="1"/>
  <c r="Y26" i="47" a="1"/>
  <c r="Y26" i="47" s="1"/>
  <c r="AB25" i="47" a="1"/>
  <c r="AB25" i="47" s="1"/>
  <c r="AA25" i="47" a="1"/>
  <c r="AA25" i="47" s="1"/>
  <c r="Z25" i="47" a="1"/>
  <c r="Z25" i="47" s="1"/>
  <c r="Y25" i="47" a="1"/>
  <c r="Y25" i="47" s="1"/>
  <c r="AB20" i="47" a="1"/>
  <c r="AB20" i="47" s="1"/>
  <c r="AA20" i="47" a="1"/>
  <c r="AA20" i="47" s="1"/>
  <c r="Z20" i="47" a="1"/>
  <c r="Z20" i="47" s="1"/>
  <c r="Y20" i="47" a="1"/>
  <c r="Y20" i="47" s="1"/>
  <c r="AB19" i="47" a="1"/>
  <c r="AB19" i="47" s="1"/>
  <c r="AA19" i="47" a="1"/>
  <c r="AA19" i="47" s="1"/>
  <c r="Z19" i="47" a="1"/>
  <c r="Z19" i="47" s="1"/>
  <c r="Y19" i="47" a="1"/>
  <c r="Y19" i="47" s="1"/>
  <c r="AB18" i="47" a="1"/>
  <c r="AB18" i="47" s="1"/>
  <c r="AA18" i="47" a="1"/>
  <c r="AA18" i="47" s="1"/>
  <c r="Z18" i="47" a="1"/>
  <c r="Z18" i="47" s="1"/>
  <c r="Y18" i="47" a="1"/>
  <c r="Y18" i="47" s="1"/>
  <c r="AB17" i="47" a="1"/>
  <c r="AB17" i="47" s="1"/>
  <c r="AA17" i="47" a="1"/>
  <c r="AA17" i="47" s="1"/>
  <c r="Z17" i="47" a="1"/>
  <c r="Z17" i="47" s="1"/>
  <c r="Y17" i="47" a="1"/>
  <c r="Y17" i="47" s="1"/>
  <c r="AB16" i="47" a="1"/>
  <c r="AB16" i="47" s="1"/>
  <c r="AA16" i="47" a="1"/>
  <c r="AA16" i="47" s="1"/>
  <c r="Z16" i="47" a="1"/>
  <c r="Z16" i="47" s="1"/>
  <c r="Y16" i="47" a="1"/>
  <c r="Y16" i="47" s="1"/>
  <c r="AB15" i="47" a="1"/>
  <c r="AB15" i="47" s="1"/>
  <c r="AA15" i="47" a="1"/>
  <c r="AA15" i="47" s="1"/>
  <c r="Z15" i="47" a="1"/>
  <c r="Z15" i="47" s="1"/>
  <c r="Y15" i="47" a="1"/>
  <c r="Y15" i="47" s="1"/>
  <c r="AB14" i="47" a="1"/>
  <c r="AB14" i="47" s="1"/>
  <c r="AA14" i="47" a="1"/>
  <c r="AA14" i="47" s="1"/>
  <c r="Z14" i="47" a="1"/>
  <c r="Z14" i="47" s="1"/>
  <c r="Y14" i="47" a="1"/>
  <c r="Y14" i="47" s="1"/>
  <c r="AB13" i="47" a="1"/>
  <c r="AB13" i="47" s="1"/>
  <c r="AA13" i="47" a="1"/>
  <c r="AA13" i="47" s="1"/>
  <c r="Z13" i="47" a="1"/>
  <c r="Z13" i="47" s="1"/>
  <c r="Y13" i="47" a="1"/>
  <c r="Y13" i="47" s="1"/>
  <c r="AB12" i="47" a="1"/>
  <c r="AB12" i="47" s="1"/>
  <c r="AA12" i="47" a="1"/>
  <c r="AA12" i="47" s="1"/>
  <c r="Z12" i="47" a="1"/>
  <c r="Z12" i="47" s="1"/>
  <c r="Y12" i="47" a="1"/>
  <c r="Y12" i="47" s="1"/>
  <c r="AB11" i="47" a="1"/>
  <c r="AB11" i="47" s="1"/>
  <c r="AA11" i="47" a="1"/>
  <c r="AA11" i="47" s="1"/>
  <c r="Z11" i="47" a="1"/>
  <c r="Z11" i="47" s="1"/>
  <c r="Y11" i="47" a="1"/>
  <c r="Y11" i="47" s="1"/>
  <c r="AB10" i="47" a="1"/>
  <c r="AB10" i="47" s="1"/>
  <c r="AA10" i="47" a="1"/>
  <c r="AA10" i="47" s="1"/>
  <c r="Z10" i="47" a="1"/>
  <c r="Z10" i="47" s="1"/>
  <c r="Y10" i="47" a="1"/>
  <c r="Y10" i="47" s="1"/>
  <c r="AB9" i="47" a="1"/>
  <c r="AB9" i="47" s="1"/>
  <c r="AA9" i="47" a="1"/>
  <c r="AA9" i="47" s="1"/>
  <c r="Z9" i="47" a="1"/>
  <c r="Z9" i="47" s="1"/>
  <c r="Y9" i="47" a="1"/>
  <c r="Y9" i="47" s="1"/>
  <c r="AB8" i="47" a="1"/>
  <c r="AB8" i="47" s="1"/>
  <c r="AA8" i="47" a="1"/>
  <c r="AA8" i="47" s="1"/>
  <c r="Z8" i="47" a="1"/>
  <c r="Z8" i="47" s="1"/>
  <c r="Y8" i="47" a="1"/>
  <c r="Y8" i="47" s="1"/>
  <c r="AB7" i="47" a="1"/>
  <c r="AB7" i="47" s="1"/>
  <c r="AA7" i="47" a="1"/>
  <c r="AA7" i="47" s="1"/>
  <c r="Z7" i="47" a="1"/>
  <c r="Z7" i="47" s="1"/>
  <c r="Y7" i="47" a="1"/>
  <c r="Y7" i="47" s="1"/>
  <c r="AB6" i="47" a="1"/>
  <c r="AB6" i="47" s="1"/>
  <c r="AA6" i="47" a="1"/>
  <c r="AA6" i="47" s="1"/>
  <c r="Z6" i="47" a="1"/>
  <c r="Z6" i="47" s="1"/>
  <c r="Y6" i="47" a="1"/>
  <c r="Y6" i="47" s="1"/>
  <c r="AB5" i="47" a="1"/>
  <c r="AB5" i="47" s="1"/>
  <c r="AA5" i="47" a="1"/>
  <c r="AA5" i="47" s="1"/>
  <c r="Z5" i="47" a="1"/>
  <c r="Z5" i="47" s="1"/>
  <c r="Y5" i="47" a="1"/>
  <c r="Y5" i="47" s="1"/>
  <c r="AB4" i="47" a="1"/>
  <c r="AB4" i="47" s="1"/>
  <c r="AA4" i="47" a="1"/>
  <c r="AA4" i="47" s="1"/>
  <c r="Z4" i="47" a="1"/>
  <c r="Z4" i="47" s="1"/>
  <c r="Y4" i="47" a="1"/>
  <c r="Y4" i="47" s="1"/>
  <c r="AB3" i="47" a="1"/>
  <c r="AB3" i="47" s="1"/>
  <c r="AA3" i="47" a="1"/>
  <c r="AA3" i="47" s="1"/>
  <c r="Z3" i="47" a="1"/>
  <c r="Z3" i="47" s="1"/>
  <c r="Y3" i="47" a="1"/>
  <c r="Y3" i="47" s="1"/>
  <c r="AB2" i="47" a="1"/>
  <c r="AB2" i="47" s="1"/>
  <c r="AA2" i="47" a="1"/>
  <c r="AA2" i="47" s="1"/>
  <c r="Z2" i="47" a="1"/>
  <c r="Z2" i="47" s="1"/>
  <c r="Y2" i="47" a="1"/>
  <c r="Y2" i="47" s="1"/>
  <c r="AB1" i="47" a="1"/>
  <c r="AB1" i="47" s="1"/>
  <c r="AA1" i="47" a="1"/>
  <c r="AA1" i="47" s="1"/>
  <c r="Z1" i="47" a="1"/>
  <c r="Z1" i="47" s="1"/>
  <c r="Y1" i="47" a="1"/>
  <c r="Y1" i="47" s="1"/>
  <c r="Z1" i="34" a="1"/>
  <c r="Z1" i="34" s="1"/>
  <c r="Y1" i="34" a="1"/>
  <c r="Y1" i="34" s="1"/>
  <c r="X1" i="34" a="1"/>
  <c r="X1" i="34" s="1"/>
  <c r="W1" i="34" a="1"/>
  <c r="W1" i="34" s="1"/>
  <c r="V1" i="34" a="1"/>
  <c r="V1" i="34" s="1"/>
  <c r="U1" i="34" a="1"/>
  <c r="U1" i="34" s="1"/>
  <c r="T1" i="34" a="1"/>
  <c r="T1" i="34" s="1"/>
  <c r="S1" i="34" a="1"/>
  <c r="S1" i="34" s="1"/>
  <c r="R1" i="34" a="1"/>
  <c r="R1" i="34" s="1"/>
  <c r="Q1" i="34" a="1"/>
  <c r="Q1" i="34" s="1"/>
  <c r="P1" i="34" a="1"/>
  <c r="P1" i="34" s="1"/>
  <c r="O1" i="34" a="1"/>
  <c r="O1" i="34" s="1"/>
  <c r="J10" i="13" l="1"/>
  <c r="J11" i="13" s="1"/>
  <c r="A3" i="36"/>
  <c r="A5" i="36"/>
  <c r="G47" i="62"/>
  <c r="F52" i="61"/>
  <c r="F68" i="34"/>
  <c r="B85" i="46"/>
  <c r="B86" i="46"/>
  <c r="B87" i="46"/>
  <c r="B88" i="46"/>
  <c r="B82" i="46"/>
  <c r="F82" i="46"/>
  <c r="B83" i="46"/>
  <c r="B84" i="46"/>
  <c r="E81" i="46"/>
  <c r="K10" i="13" l="1"/>
  <c r="K11" i="13" s="1"/>
  <c r="A399" i="35"/>
  <c r="A400" i="35"/>
  <c r="A401" i="35"/>
  <c r="A402" i="35"/>
  <c r="A403" i="35"/>
  <c r="A404" i="35"/>
  <c r="A405" i="35"/>
  <c r="A406" i="35"/>
  <c r="A407" i="35"/>
  <c r="A408" i="35"/>
  <c r="A409" i="35"/>
  <c r="A410" i="35"/>
  <c r="A411" i="35"/>
  <c r="A412" i="35"/>
  <c r="A413" i="35"/>
  <c r="A414" i="35"/>
  <c r="A398" i="35"/>
  <c r="A2" i="66"/>
  <c r="L10" i="13" l="1"/>
  <c r="L11" i="13" s="1"/>
  <c r="C6" i="63"/>
  <c r="F79" i="46" s="1"/>
  <c r="D6" i="63"/>
  <c r="G79" i="46" s="1"/>
  <c r="E35" i="46" l="1"/>
  <c r="H30" i="46" l="1"/>
  <c r="H31" i="46"/>
  <c r="H32" i="46"/>
  <c r="H25" i="46"/>
  <c r="L40" i="61"/>
  <c r="K40" i="61"/>
  <c r="J40" i="61"/>
  <c r="I40" i="61"/>
  <c r="H40" i="61"/>
  <c r="G40" i="61"/>
  <c r="F40" i="61"/>
  <c r="L38" i="61"/>
  <c r="K38" i="61"/>
  <c r="J38" i="61"/>
  <c r="I38" i="61"/>
  <c r="H38" i="61"/>
  <c r="G38" i="61"/>
  <c r="F38" i="61"/>
  <c r="L36" i="61"/>
  <c r="K36" i="61"/>
  <c r="J36" i="61"/>
  <c r="I36" i="61"/>
  <c r="H36" i="61"/>
  <c r="G36" i="61"/>
  <c r="F36" i="61"/>
  <c r="H33" i="61"/>
  <c r="G33" i="61"/>
  <c r="F33" i="61"/>
  <c r="L30" i="61"/>
  <c r="K30" i="61"/>
  <c r="J30" i="61"/>
  <c r="I30" i="61"/>
  <c r="H30" i="61"/>
  <c r="G30" i="61"/>
  <c r="F30" i="61"/>
  <c r="L29" i="61"/>
  <c r="K29" i="61"/>
  <c r="J29" i="61"/>
  <c r="I29" i="61"/>
  <c r="H29" i="61"/>
  <c r="G29" i="61"/>
  <c r="F29" i="61"/>
  <c r="L28" i="61"/>
  <c r="K28" i="61"/>
  <c r="J28" i="61"/>
  <c r="I28" i="61"/>
  <c r="H28" i="61"/>
  <c r="G28" i="61"/>
  <c r="F28" i="61"/>
  <c r="L27" i="61"/>
  <c r="K27" i="61"/>
  <c r="J27" i="61"/>
  <c r="I27" i="61"/>
  <c r="H27" i="61"/>
  <c r="G27" i="61"/>
  <c r="F27" i="61"/>
  <c r="L26" i="61"/>
  <c r="K26" i="61"/>
  <c r="J26" i="61"/>
  <c r="I26" i="61"/>
  <c r="H26" i="61"/>
  <c r="G26" i="61"/>
  <c r="F26" i="61"/>
  <c r="L25" i="61"/>
  <c r="K25" i="61"/>
  <c r="J25" i="61"/>
  <c r="I25" i="61"/>
  <c r="H25" i="61"/>
  <c r="G25" i="61"/>
  <c r="F25" i="61"/>
  <c r="L24" i="61"/>
  <c r="K24" i="61"/>
  <c r="J24" i="61"/>
  <c r="I24" i="61"/>
  <c r="H24" i="61"/>
  <c r="G24" i="61"/>
  <c r="F24" i="61"/>
  <c r="L23" i="61"/>
  <c r="K23" i="61"/>
  <c r="J23" i="61"/>
  <c r="I23" i="61"/>
  <c r="H23" i="61"/>
  <c r="G23" i="61"/>
  <c r="F23" i="61"/>
  <c r="L22" i="61"/>
  <c r="K22" i="61"/>
  <c r="J22" i="61"/>
  <c r="I22" i="61"/>
  <c r="H22" i="61"/>
  <c r="G22" i="61"/>
  <c r="F22" i="61"/>
  <c r="L21" i="61"/>
  <c r="K21" i="61"/>
  <c r="J21" i="61"/>
  <c r="I21" i="61"/>
  <c r="H21" i="61"/>
  <c r="G21" i="61"/>
  <c r="F21" i="61"/>
  <c r="L20" i="61"/>
  <c r="K20" i="61"/>
  <c r="J20" i="61"/>
  <c r="I20" i="61"/>
  <c r="H20" i="61"/>
  <c r="G20" i="61"/>
  <c r="F20" i="61"/>
  <c r="L19" i="61"/>
  <c r="K19" i="61"/>
  <c r="J19" i="61"/>
  <c r="I19" i="61"/>
  <c r="H19" i="61"/>
  <c r="G19" i="61"/>
  <c r="F19" i="61"/>
  <c r="L18" i="61"/>
  <c r="K18" i="61"/>
  <c r="J18" i="61"/>
  <c r="I18" i="61"/>
  <c r="H18" i="61"/>
  <c r="G18" i="61"/>
  <c r="F18" i="61"/>
  <c r="F16" i="61"/>
  <c r="F15" i="61"/>
  <c r="K11" i="18" l="1"/>
  <c r="I32" i="46"/>
  <c r="I25" i="46"/>
  <c r="I31" i="46"/>
  <c r="I30" i="46"/>
  <c r="L11" i="18" l="1"/>
  <c r="J25" i="46"/>
  <c r="J31" i="46"/>
  <c r="J30" i="46"/>
  <c r="J32" i="46"/>
  <c r="C161" i="61"/>
  <c r="C163" i="61" s="1"/>
  <c r="C165" i="61" s="1"/>
  <c r="G67" i="61"/>
  <c r="H67" i="61"/>
  <c r="I67" i="61"/>
  <c r="J67" i="61"/>
  <c r="K67" i="61"/>
  <c r="L67" i="61"/>
  <c r="G83" i="61"/>
  <c r="H83" i="61"/>
  <c r="I83" i="61"/>
  <c r="J83" i="61"/>
  <c r="K83" i="61"/>
  <c r="L83" i="61"/>
  <c r="G86" i="61"/>
  <c r="H86" i="61"/>
  <c r="I86" i="61"/>
  <c r="J86" i="61"/>
  <c r="K86" i="61"/>
  <c r="L86" i="61"/>
  <c r="G88" i="61"/>
  <c r="H88" i="61"/>
  <c r="I88" i="61"/>
  <c r="J88" i="61"/>
  <c r="K88" i="61"/>
  <c r="L88" i="61"/>
  <c r="G96" i="61"/>
  <c r="H102" i="61"/>
  <c r="I102" i="61"/>
  <c r="J102" i="61"/>
  <c r="K102" i="61"/>
  <c r="L102" i="61"/>
  <c r="H103" i="61"/>
  <c r="I103" i="61"/>
  <c r="J103" i="61"/>
  <c r="K103" i="61"/>
  <c r="L103" i="61"/>
  <c r="F105" i="61"/>
  <c r="F106" i="61" s="1"/>
  <c r="F143" i="61"/>
  <c r="G148" i="61"/>
  <c r="H148" i="61"/>
  <c r="I148" i="61"/>
  <c r="J148" i="61"/>
  <c r="K148" i="61"/>
  <c r="L148" i="61"/>
  <c r="G149" i="61"/>
  <c r="H149" i="61"/>
  <c r="I149" i="61"/>
  <c r="J149" i="61"/>
  <c r="K149" i="61"/>
  <c r="L149" i="61"/>
  <c r="F151" i="61"/>
  <c r="G8" i="62"/>
  <c r="G49" i="62" s="1"/>
  <c r="H8" i="62"/>
  <c r="H49" i="62" s="1"/>
  <c r="C58" i="62"/>
  <c r="B241" i="62"/>
  <c r="B249" i="62"/>
  <c r="B256" i="62"/>
  <c r="B259" i="62"/>
  <c r="B260" i="62"/>
  <c r="B261" i="62"/>
  <c r="B262" i="62"/>
  <c r="B263" i="62"/>
  <c r="B264" i="62"/>
  <c r="B265" i="62"/>
  <c r="B266" i="62"/>
  <c r="B267" i="62"/>
  <c r="B268" i="62"/>
  <c r="B269" i="62"/>
  <c r="B271" i="62"/>
  <c r="B272" i="62"/>
  <c r="B273" i="62"/>
  <c r="B274" i="62"/>
  <c r="B275" i="62"/>
  <c r="B276" i="62"/>
  <c r="B277" i="62"/>
  <c r="B278" i="62"/>
  <c r="B279" i="62"/>
  <c r="B280" i="62"/>
  <c r="B281" i="62"/>
  <c r="B283" i="62"/>
  <c r="B284" i="62"/>
  <c r="B285" i="62"/>
  <c r="B286" i="62"/>
  <c r="B287" i="62"/>
  <c r="B288" i="62"/>
  <c r="B289" i="62"/>
  <c r="B290" i="62"/>
  <c r="B291" i="62"/>
  <c r="B292" i="62"/>
  <c r="B293" i="62"/>
  <c r="B295" i="62"/>
  <c r="B296" i="62"/>
  <c r="B297" i="62"/>
  <c r="C298" i="62"/>
  <c r="B299" i="62"/>
  <c r="B300" i="62"/>
  <c r="B301" i="62"/>
  <c r="B302" i="62"/>
  <c r="B303" i="62"/>
  <c r="C304" i="62"/>
  <c r="B305" i="62"/>
  <c r="B306" i="62"/>
  <c r="B307" i="62"/>
  <c r="B308" i="62"/>
  <c r="B309" i="62"/>
  <c r="C310" i="62"/>
  <c r="B311" i="62"/>
  <c r="B312" i="62"/>
  <c r="B313" i="62"/>
  <c r="B314" i="62"/>
  <c r="B315" i="62"/>
  <c r="C316" i="62"/>
  <c r="B317" i="62"/>
  <c r="B318" i="62"/>
  <c r="B319" i="62"/>
  <c r="B320" i="62"/>
  <c r="B321" i="62"/>
  <c r="C322" i="62"/>
  <c r="B323" i="62"/>
  <c r="B324" i="62"/>
  <c r="B325" i="62"/>
  <c r="B326" i="62"/>
  <c r="B327" i="62"/>
  <c r="C328" i="62"/>
  <c r="B329" i="62"/>
  <c r="B330" i="62"/>
  <c r="B331" i="62"/>
  <c r="B332" i="62"/>
  <c r="B333" i="62"/>
  <c r="C334" i="62"/>
  <c r="B335" i="62"/>
  <c r="B336" i="62"/>
  <c r="B337" i="62"/>
  <c r="B338" i="62"/>
  <c r="B339" i="62"/>
  <c r="C340" i="62"/>
  <c r="B341" i="62"/>
  <c r="B342" i="62"/>
  <c r="B343" i="62"/>
  <c r="B344" i="62"/>
  <c r="B345" i="62"/>
  <c r="B346" i="62"/>
  <c r="C347" i="62"/>
  <c r="B348" i="62"/>
  <c r="B349" i="62"/>
  <c r="B350" i="62"/>
  <c r="B351" i="62"/>
  <c r="B352" i="62"/>
  <c r="C353" i="62"/>
  <c r="B354" i="62"/>
  <c r="B355" i="62"/>
  <c r="B356" i="62"/>
  <c r="B357" i="62"/>
  <c r="B358" i="62"/>
  <c r="C359" i="62"/>
  <c r="B360" i="62"/>
  <c r="B361" i="62"/>
  <c r="B362" i="62"/>
  <c r="B363" i="62"/>
  <c r="B364" i="62"/>
  <c r="C365" i="62"/>
  <c r="B366" i="62"/>
  <c r="B367" i="62"/>
  <c r="B368" i="62"/>
  <c r="B369" i="62"/>
  <c r="B370" i="62"/>
  <c r="C371" i="62"/>
  <c r="B372" i="62"/>
  <c r="B373" i="62"/>
  <c r="B374" i="62"/>
  <c r="B375" i="62"/>
  <c r="B376" i="62"/>
  <c r="C377" i="62"/>
  <c r="B378" i="62"/>
  <c r="B379" i="62"/>
  <c r="B380" i="62"/>
  <c r="B381" i="62"/>
  <c r="B382" i="62"/>
  <c r="C383" i="62"/>
  <c r="B384" i="62"/>
  <c r="B385" i="62"/>
  <c r="B386" i="62"/>
  <c r="B387" i="62"/>
  <c r="B388" i="62"/>
  <c r="G428" i="62"/>
  <c r="G446" i="62" s="1"/>
  <c r="G448" i="62" s="1"/>
  <c r="H428" i="62"/>
  <c r="H446" i="62" s="1"/>
  <c r="H448" i="62" s="1"/>
  <c r="I428" i="62"/>
  <c r="I446" i="62" s="1"/>
  <c r="I448" i="62" s="1"/>
  <c r="J428" i="62"/>
  <c r="K428" i="62"/>
  <c r="L428" i="62"/>
  <c r="M428" i="62"/>
  <c r="G432" i="62"/>
  <c r="H432" i="62"/>
  <c r="I432" i="62"/>
  <c r="J432" i="62"/>
  <c r="K432" i="62"/>
  <c r="L432" i="62"/>
  <c r="M432" i="62"/>
  <c r="G436" i="62"/>
  <c r="H436" i="62"/>
  <c r="I436" i="62"/>
  <c r="J436" i="62" s="1"/>
  <c r="G440" i="62"/>
  <c r="H440" i="62"/>
  <c r="I440" i="62"/>
  <c r="J440" i="62"/>
  <c r="K440" i="62"/>
  <c r="L440" i="62"/>
  <c r="M440" i="62"/>
  <c r="G444" i="62"/>
  <c r="H444" i="62"/>
  <c r="I444" i="62"/>
  <c r="J444" i="62"/>
  <c r="K444" i="62"/>
  <c r="L444" i="62"/>
  <c r="M444" i="62"/>
  <c r="A5" i="62"/>
  <c r="A2" i="62"/>
  <c r="L31" i="61"/>
  <c r="K31" i="61"/>
  <c r="J31" i="61"/>
  <c r="J39" i="61" s="1"/>
  <c r="I31" i="61"/>
  <c r="H31" i="61"/>
  <c r="G31" i="61"/>
  <c r="H9" i="61"/>
  <c r="I9" i="61" s="1"/>
  <c r="G6" i="61"/>
  <c r="G10" i="61" s="1"/>
  <c r="F10" i="61" s="1"/>
  <c r="A5" i="61"/>
  <c r="A2" i="61"/>
  <c r="K436" i="62" l="1"/>
  <c r="K451" i="62" s="1"/>
  <c r="J446" i="62"/>
  <c r="J448" i="62" s="1"/>
  <c r="K31" i="46"/>
  <c r="K30" i="46"/>
  <c r="K32" i="46"/>
  <c r="K25" i="46"/>
  <c r="F48" i="18"/>
  <c r="C28" i="63"/>
  <c r="G143" i="61"/>
  <c r="H143" i="61"/>
  <c r="J37" i="61"/>
  <c r="G7" i="61"/>
  <c r="J41" i="61"/>
  <c r="G451" i="62"/>
  <c r="C167" i="61"/>
  <c r="G34" i="61"/>
  <c r="I143" i="61"/>
  <c r="I451" i="62"/>
  <c r="H451" i="62"/>
  <c r="J451" i="62"/>
  <c r="K143" i="61"/>
  <c r="J143" i="61"/>
  <c r="G11" i="61"/>
  <c r="F11" i="61" s="1"/>
  <c r="F194" i="61" s="1"/>
  <c r="F196" i="61" s="1"/>
  <c r="F198" i="61" s="1"/>
  <c r="F44" i="18" s="1"/>
  <c r="H34" i="61"/>
  <c r="G37" i="61"/>
  <c r="K37" i="61"/>
  <c r="G39" i="61"/>
  <c r="K39" i="61"/>
  <c r="G41" i="61"/>
  <c r="K41" i="61"/>
  <c r="H37" i="61"/>
  <c r="L37" i="61"/>
  <c r="H39" i="61"/>
  <c r="L39" i="61"/>
  <c r="H41" i="61"/>
  <c r="L41" i="61"/>
  <c r="J9" i="61"/>
  <c r="I37" i="61"/>
  <c r="I39" i="61"/>
  <c r="I41" i="61"/>
  <c r="L436" i="62" l="1"/>
  <c r="K446" i="62"/>
  <c r="K448" i="62" s="1"/>
  <c r="L30" i="46"/>
  <c r="E30" i="46" s="1"/>
  <c r="L32" i="46"/>
  <c r="E32" i="46" s="1"/>
  <c r="L25" i="46"/>
  <c r="L31" i="46"/>
  <c r="E31" i="46" s="1"/>
  <c r="C16" i="63"/>
  <c r="L143" i="61"/>
  <c r="H10" i="61"/>
  <c r="K9" i="61"/>
  <c r="M436" i="62" l="1"/>
  <c r="L446" i="62"/>
  <c r="L448" i="62" s="1"/>
  <c r="L451" i="62"/>
  <c r="F47" i="61"/>
  <c r="L9" i="61"/>
  <c r="H11" i="61"/>
  <c r="F48" i="47"/>
  <c r="F49" i="47" s="1"/>
  <c r="L49" i="46"/>
  <c r="K49" i="46"/>
  <c r="J49" i="46"/>
  <c r="I49" i="46"/>
  <c r="H49" i="46"/>
  <c r="G49" i="46"/>
  <c r="L17" i="46"/>
  <c r="K17" i="46"/>
  <c r="J17" i="46"/>
  <c r="I17" i="46"/>
  <c r="H17" i="46"/>
  <c r="G17" i="46"/>
  <c r="L28" i="18"/>
  <c r="L66" i="67" s="1"/>
  <c r="K28" i="18"/>
  <c r="K66" i="67" s="1"/>
  <c r="J28" i="18"/>
  <c r="J66" i="67" s="1"/>
  <c r="I28" i="18"/>
  <c r="I66" i="67" s="1"/>
  <c r="H28" i="18"/>
  <c r="H66" i="67" s="1"/>
  <c r="G28" i="18"/>
  <c r="G66" i="67" s="1"/>
  <c r="F28" i="18"/>
  <c r="F66" i="67" s="1"/>
  <c r="L19" i="18"/>
  <c r="K19" i="18"/>
  <c r="J19" i="18"/>
  <c r="I19" i="18"/>
  <c r="H19" i="18"/>
  <c r="G19" i="18"/>
  <c r="F19" i="18"/>
  <c r="F57" i="67" s="1"/>
  <c r="H9" i="13"/>
  <c r="E6" i="63" s="1"/>
  <c r="H79" i="46" s="1"/>
  <c r="M446" i="62" l="1"/>
  <c r="M448" i="62" s="1"/>
  <c r="M451" i="62"/>
  <c r="C451" i="62" s="1"/>
  <c r="D28" i="18"/>
  <c r="D19" i="18"/>
  <c r="I8" i="62"/>
  <c r="I49" i="62" s="1"/>
  <c r="I9" i="13"/>
  <c r="F6" i="63" s="1"/>
  <c r="I79" i="46" s="1"/>
  <c r="I10" i="61"/>
  <c r="C28" i="18"/>
  <c r="C19" i="18"/>
  <c r="J8" i="62" l="1"/>
  <c r="J49" i="62" s="1"/>
  <c r="J9" i="13"/>
  <c r="G6" i="63" s="1"/>
  <c r="J79" i="46" s="1"/>
  <c r="I11" i="61"/>
  <c r="G33" i="34"/>
  <c r="K9" i="13" l="1"/>
  <c r="H6" i="63" s="1"/>
  <c r="K79" i="46" s="1"/>
  <c r="K8" i="62"/>
  <c r="K49" i="62" s="1"/>
  <c r="J10" i="61"/>
  <c r="F42" i="34"/>
  <c r="C24" i="63" s="1"/>
  <c r="L8" i="62" l="1"/>
  <c r="L49" i="62" s="1"/>
  <c r="L9" i="13"/>
  <c r="I6" i="63" s="1"/>
  <c r="L79" i="46" s="1"/>
  <c r="F63" i="34"/>
  <c r="J11" i="61"/>
  <c r="M8" i="62" l="1"/>
  <c r="M49" i="62" s="1"/>
  <c r="K10" i="61"/>
  <c r="A5" i="57"/>
  <c r="A2" i="57"/>
  <c r="N39" i="55"/>
  <c r="M39" i="55"/>
  <c r="L39" i="55"/>
  <c r="K39" i="55"/>
  <c r="J39" i="55"/>
  <c r="I39" i="55"/>
  <c r="N26" i="55"/>
  <c r="M26" i="55"/>
  <c r="L26" i="55"/>
  <c r="K26" i="55"/>
  <c r="J26" i="55"/>
  <c r="I26" i="55"/>
  <c r="K11" i="55"/>
  <c r="L11" i="55" s="1"/>
  <c r="M11" i="55" s="1"/>
  <c r="N11" i="55" s="1"/>
  <c r="K11" i="61" l="1"/>
  <c r="L10" i="61" l="1"/>
  <c r="I40" i="53"/>
  <c r="I39" i="53"/>
  <c r="G40" i="53"/>
  <c r="G39" i="53"/>
  <c r="L11" i="61" l="1"/>
  <c r="D38" i="45"/>
  <c r="D35" i="45"/>
  <c r="D34" i="45"/>
  <c r="D32" i="45"/>
  <c r="D31" i="45"/>
  <c r="D29" i="45"/>
  <c r="D28" i="45"/>
  <c r="D26" i="45"/>
  <c r="D25" i="45"/>
  <c r="Z11" i="35" l="1"/>
  <c r="U43" i="35" l="1"/>
  <c r="U41" i="35"/>
  <c r="U40" i="35"/>
  <c r="U39" i="35"/>
  <c r="U38" i="35"/>
  <c r="U37" i="35"/>
  <c r="U36" i="35"/>
  <c r="U34" i="35"/>
  <c r="U31" i="35"/>
  <c r="U29" i="35"/>
  <c r="U17" i="35"/>
  <c r="U15" i="35"/>
  <c r="Z43" i="35"/>
  <c r="Z42" i="35"/>
  <c r="Z41" i="35"/>
  <c r="Z40" i="35"/>
  <c r="Z39" i="35"/>
  <c r="Z38" i="35"/>
  <c r="Z37" i="35"/>
  <c r="Z36" i="35"/>
  <c r="Z35" i="35"/>
  <c r="Z34" i="35"/>
  <c r="Z33" i="35"/>
  <c r="Z32" i="35"/>
  <c r="Z31" i="35"/>
  <c r="Z29" i="35"/>
  <c r="Z28" i="35"/>
  <c r="Z17" i="35"/>
  <c r="Z15" i="35"/>
  <c r="Z44" i="35" l="1"/>
  <c r="Z45" i="35" s="1"/>
  <c r="A2" i="39"/>
  <c r="L33" i="61" l="1"/>
  <c r="L34" i="61" s="1"/>
  <c r="K33" i="61"/>
  <c r="K34" i="61" s="1"/>
  <c r="J33" i="61"/>
  <c r="J34" i="61" s="1"/>
  <c r="I33" i="61"/>
  <c r="I34" i="61" s="1"/>
  <c r="A2" i="54" l="1"/>
  <c r="A5" i="55"/>
  <c r="G16" i="41" l="1"/>
  <c r="A5" i="54" l="1"/>
  <c r="L46" i="47" l="1"/>
  <c r="K46" i="47"/>
  <c r="J46" i="47"/>
  <c r="I46" i="47"/>
  <c r="H46" i="47"/>
  <c r="G46" i="47"/>
  <c r="L45" i="47"/>
  <c r="K45" i="47"/>
  <c r="J45" i="47"/>
  <c r="I45" i="47"/>
  <c r="H45" i="47"/>
  <c r="G45" i="47"/>
  <c r="L44" i="47"/>
  <c r="K44" i="47"/>
  <c r="J44" i="47"/>
  <c r="I44" i="47"/>
  <c r="H44" i="47"/>
  <c r="G44" i="47"/>
  <c r="L43" i="47"/>
  <c r="K43" i="47"/>
  <c r="J43" i="47"/>
  <c r="I43" i="47"/>
  <c r="H43" i="47"/>
  <c r="G43" i="47"/>
  <c r="L42" i="47"/>
  <c r="K42" i="47"/>
  <c r="J42" i="47"/>
  <c r="I42" i="47"/>
  <c r="H42" i="47"/>
  <c r="G42" i="47"/>
  <c r="L41" i="47"/>
  <c r="K41" i="47"/>
  <c r="J41" i="47"/>
  <c r="I41" i="47"/>
  <c r="H41" i="47"/>
  <c r="G41" i="47"/>
  <c r="L40" i="47"/>
  <c r="K40" i="47"/>
  <c r="J40" i="47"/>
  <c r="I40" i="47"/>
  <c r="H40" i="47"/>
  <c r="G40" i="47"/>
  <c r="L39" i="47"/>
  <c r="K39" i="47"/>
  <c r="J39" i="47"/>
  <c r="I39" i="47"/>
  <c r="H39" i="47"/>
  <c r="L38" i="47"/>
  <c r="K38" i="47"/>
  <c r="J38" i="47"/>
  <c r="I38" i="47"/>
  <c r="H38" i="47"/>
  <c r="G38" i="47"/>
  <c r="L37" i="47"/>
  <c r="K37" i="47"/>
  <c r="J37" i="47"/>
  <c r="I37" i="47"/>
  <c r="H37" i="47"/>
  <c r="G37" i="47"/>
  <c r="L36" i="47"/>
  <c r="K36" i="47"/>
  <c r="J36" i="47"/>
  <c r="I36" i="47"/>
  <c r="H36" i="47"/>
  <c r="G36" i="47"/>
  <c r="L35" i="47"/>
  <c r="K35" i="47"/>
  <c r="J35" i="47"/>
  <c r="I35" i="47"/>
  <c r="H35" i="47"/>
  <c r="G35" i="47"/>
  <c r="L34" i="47"/>
  <c r="K34" i="47"/>
  <c r="J34" i="47"/>
  <c r="I34" i="47"/>
  <c r="H34" i="47"/>
  <c r="G34" i="47"/>
  <c r="L33" i="47"/>
  <c r="K33" i="47"/>
  <c r="J33" i="47"/>
  <c r="I33" i="47"/>
  <c r="H33" i="47"/>
  <c r="G33" i="47"/>
  <c r="L32" i="47"/>
  <c r="K32" i="47"/>
  <c r="J32" i="47"/>
  <c r="I32" i="47"/>
  <c r="H32" i="47"/>
  <c r="G32" i="47"/>
  <c r="L31" i="47"/>
  <c r="K31" i="47"/>
  <c r="J31" i="47"/>
  <c r="I31" i="47"/>
  <c r="H31" i="47"/>
  <c r="G31" i="47"/>
  <c r="L30" i="47"/>
  <c r="K30" i="47"/>
  <c r="J30" i="47"/>
  <c r="I30" i="47"/>
  <c r="H30" i="47"/>
  <c r="G30" i="47"/>
  <c r="L29" i="47"/>
  <c r="K29" i="47"/>
  <c r="J29" i="47"/>
  <c r="I29" i="47"/>
  <c r="H29" i="47"/>
  <c r="G29" i="47"/>
  <c r="L28" i="47"/>
  <c r="K28" i="47"/>
  <c r="J28" i="47"/>
  <c r="I28" i="47"/>
  <c r="H28" i="47"/>
  <c r="G28" i="47"/>
  <c r="L27" i="47"/>
  <c r="K27" i="47"/>
  <c r="J27" i="47"/>
  <c r="I27" i="47"/>
  <c r="H27" i="47"/>
  <c r="G27" i="47"/>
  <c r="L26" i="47"/>
  <c r="K26" i="47"/>
  <c r="J26" i="47"/>
  <c r="I26" i="47"/>
  <c r="H26" i="47"/>
  <c r="G26" i="47"/>
  <c r="L19" i="47"/>
  <c r="K19" i="47"/>
  <c r="J19" i="47"/>
  <c r="I19" i="47"/>
  <c r="H19" i="47"/>
  <c r="G19" i="47"/>
  <c r="L18" i="47"/>
  <c r="K18" i="47"/>
  <c r="J18" i="47"/>
  <c r="I18" i="47"/>
  <c r="H18" i="47"/>
  <c r="G18" i="47"/>
  <c r="L17" i="47"/>
  <c r="K17" i="47"/>
  <c r="J17" i="47"/>
  <c r="I17" i="47"/>
  <c r="H17" i="47"/>
  <c r="G17" i="47"/>
  <c r="L16" i="47"/>
  <c r="K16" i="47"/>
  <c r="J16" i="47"/>
  <c r="I16" i="47"/>
  <c r="H16" i="47"/>
  <c r="G16" i="47"/>
  <c r="L15" i="47"/>
  <c r="K15" i="47"/>
  <c r="J15" i="47"/>
  <c r="I15" i="47"/>
  <c r="H15" i="47"/>
  <c r="G15" i="47"/>
  <c r="L14" i="47"/>
  <c r="K14" i="47"/>
  <c r="J14" i="47"/>
  <c r="I14" i="47"/>
  <c r="H14" i="47"/>
  <c r="G14" i="47"/>
  <c r="L13" i="47"/>
  <c r="K13" i="47"/>
  <c r="J13" i="47"/>
  <c r="I13" i="47"/>
  <c r="H13" i="47"/>
  <c r="G13" i="47"/>
  <c r="N34" i="48"/>
  <c r="M34" i="48"/>
  <c r="L34" i="48"/>
  <c r="K34" i="48"/>
  <c r="J34" i="48"/>
  <c r="I34" i="48"/>
  <c r="H34" i="48"/>
  <c r="B76" i="46" l="1"/>
  <c r="F40" i="46"/>
  <c r="F42" i="46" s="1"/>
  <c r="G40" i="46" l="1"/>
  <c r="F75" i="46"/>
  <c r="G21" i="46"/>
  <c r="H21" i="46" s="1"/>
  <c r="G23" i="46" l="1"/>
  <c r="G45" i="46" s="1"/>
  <c r="H23" i="46"/>
  <c r="H45" i="46" s="1"/>
  <c r="I21" i="46"/>
  <c r="J21" i="46" l="1"/>
  <c r="I23" i="46"/>
  <c r="I45" i="46" s="1"/>
  <c r="E12" i="53"/>
  <c r="I12" i="53" s="1"/>
  <c r="A2" i="53"/>
  <c r="A5" i="53"/>
  <c r="M34" i="53"/>
  <c r="K34" i="53"/>
  <c r="I34" i="53"/>
  <c r="G34" i="53"/>
  <c r="M33" i="53"/>
  <c r="K33" i="53"/>
  <c r="I33" i="53"/>
  <c r="G33" i="53"/>
  <c r="M32" i="53"/>
  <c r="K32" i="53"/>
  <c r="I32" i="53"/>
  <c r="G32" i="53"/>
  <c r="M31" i="53"/>
  <c r="K31" i="53"/>
  <c r="I31" i="53"/>
  <c r="G31" i="53"/>
  <c r="M30" i="53"/>
  <c r="K30" i="53"/>
  <c r="I30" i="53"/>
  <c r="G30" i="53"/>
  <c r="I29" i="53"/>
  <c r="G29" i="53"/>
  <c r="M28" i="53"/>
  <c r="K28" i="53"/>
  <c r="I28" i="53"/>
  <c r="G28" i="53"/>
  <c r="M27" i="53"/>
  <c r="K27" i="53"/>
  <c r="I27" i="53"/>
  <c r="G27" i="53"/>
  <c r="M26" i="53"/>
  <c r="K26" i="53"/>
  <c r="I26" i="53"/>
  <c r="G26" i="53"/>
  <c r="M25" i="53"/>
  <c r="K25" i="53"/>
  <c r="I25" i="53"/>
  <c r="G25" i="53"/>
  <c r="M24" i="53"/>
  <c r="K24" i="53"/>
  <c r="I24" i="53"/>
  <c r="G24" i="53"/>
  <c r="M23" i="53"/>
  <c r="K23" i="53"/>
  <c r="I23" i="53"/>
  <c r="G23" i="53"/>
  <c r="M22" i="53"/>
  <c r="K22" i="53"/>
  <c r="I22" i="53"/>
  <c r="G22" i="53"/>
  <c r="M21" i="53"/>
  <c r="K21" i="53"/>
  <c r="I21" i="53"/>
  <c r="G21" i="53"/>
  <c r="M20" i="53"/>
  <c r="K20" i="53"/>
  <c r="I20" i="53"/>
  <c r="G20" i="53"/>
  <c r="M19" i="53"/>
  <c r="K19" i="53"/>
  <c r="I19" i="53"/>
  <c r="G19" i="53"/>
  <c r="M18" i="53"/>
  <c r="K18" i="53"/>
  <c r="I18" i="53"/>
  <c r="G18" i="53"/>
  <c r="M17" i="53"/>
  <c r="K17" i="53"/>
  <c r="I17" i="53"/>
  <c r="G17" i="53"/>
  <c r="M16" i="53"/>
  <c r="K16" i="53"/>
  <c r="I16" i="53"/>
  <c r="G16" i="53"/>
  <c r="H15" i="53"/>
  <c r="I15" i="53" s="1"/>
  <c r="F15" i="53"/>
  <c r="G15" i="53" s="1"/>
  <c r="K12" i="53" l="1"/>
  <c r="G35" i="53"/>
  <c r="G36" i="53" s="1"/>
  <c r="G37" i="53" s="1"/>
  <c r="G38" i="53" s="1"/>
  <c r="I35" i="53"/>
  <c r="M12" i="53"/>
  <c r="G12" i="53"/>
  <c r="K21" i="46"/>
  <c r="J23" i="46"/>
  <c r="J45" i="46" s="1"/>
  <c r="I36" i="53"/>
  <c r="I37" i="53" s="1"/>
  <c r="I38" i="53" s="1"/>
  <c r="G43" i="48"/>
  <c r="G42" i="48"/>
  <c r="G41" i="48"/>
  <c r="G40" i="48"/>
  <c r="G39" i="48"/>
  <c r="G38" i="48"/>
  <c r="G37" i="48"/>
  <c r="G36" i="48"/>
  <c r="H44" i="48"/>
  <c r="C32" i="63" s="1"/>
  <c r="L21" i="46" l="1"/>
  <c r="L23" i="46" s="1"/>
  <c r="L45" i="46" s="1"/>
  <c r="K23" i="46"/>
  <c r="K45" i="46" s="1"/>
  <c r="H100" i="46"/>
  <c r="I100" i="46"/>
  <c r="J100" i="46"/>
  <c r="K100" i="46"/>
  <c r="L100" i="46"/>
  <c r="H99" i="46"/>
  <c r="I99" i="46"/>
  <c r="J99" i="46"/>
  <c r="K99" i="46"/>
  <c r="L99" i="46"/>
  <c r="G99" i="46"/>
  <c r="H67" i="46"/>
  <c r="I67" i="46"/>
  <c r="J67" i="46"/>
  <c r="K67" i="46"/>
  <c r="L67" i="46"/>
  <c r="G67" i="46"/>
  <c r="H68" i="46"/>
  <c r="I68" i="46"/>
  <c r="J68" i="46"/>
  <c r="K68" i="46"/>
  <c r="L68" i="46"/>
  <c r="G68" i="46"/>
  <c r="H93" i="46"/>
  <c r="H45" i="67" s="1"/>
  <c r="H46" i="67" s="1"/>
  <c r="I93" i="46"/>
  <c r="I45" i="67" s="1"/>
  <c r="I46" i="67" s="1"/>
  <c r="J93" i="46"/>
  <c r="J45" i="67" s="1"/>
  <c r="J46" i="67" s="1"/>
  <c r="K93" i="46"/>
  <c r="K45" i="67" s="1"/>
  <c r="K46" i="67" s="1"/>
  <c r="L93" i="46"/>
  <c r="L45" i="67" s="1"/>
  <c r="L46" i="67" s="1"/>
  <c r="G93" i="46"/>
  <c r="G45" i="67" s="1"/>
  <c r="C45" i="67" l="1"/>
  <c r="G46" i="67"/>
  <c r="C46" i="67" s="1"/>
  <c r="H40" i="46"/>
  <c r="I40" i="46" l="1"/>
  <c r="F50" i="47"/>
  <c r="E46" i="47"/>
  <c r="E45" i="47"/>
  <c r="E44" i="47"/>
  <c r="E43" i="47"/>
  <c r="E42" i="47"/>
  <c r="E41" i="47"/>
  <c r="E40" i="47"/>
  <c r="E14" i="47"/>
  <c r="E13" i="47"/>
  <c r="F49" i="18" l="1"/>
  <c r="C30" i="63"/>
  <c r="J40" i="46"/>
  <c r="F6" i="34"/>
  <c r="F57" i="34" s="1"/>
  <c r="C34" i="63" l="1"/>
  <c r="K40" i="46"/>
  <c r="D26" i="41"/>
  <c r="D25" i="41"/>
  <c r="D24" i="41"/>
  <c r="D23" i="41"/>
  <c r="D22" i="41"/>
  <c r="D21" i="41"/>
  <c r="D20" i="41"/>
  <c r="D19" i="41"/>
  <c r="D18" i="41"/>
  <c r="D17" i="41"/>
  <c r="D16" i="41"/>
  <c r="D15" i="41"/>
  <c r="D14" i="41"/>
  <c r="D12" i="41"/>
  <c r="D11" i="41" l="1"/>
  <c r="L40" i="46"/>
  <c r="D27" i="41"/>
  <c r="E12" i="52" l="1"/>
  <c r="F12" i="52" s="1"/>
  <c r="G3" i="46" l="1"/>
  <c r="G2" i="46"/>
  <c r="A5" i="52"/>
  <c r="A2" i="52"/>
  <c r="H70" i="41" l="1"/>
  <c r="I70" i="41" s="1"/>
  <c r="G51" i="41"/>
  <c r="H51" i="41" s="1"/>
  <c r="F6" i="46" l="1"/>
  <c r="L98" i="46"/>
  <c r="K98" i="46"/>
  <c r="J98" i="46"/>
  <c r="I98" i="46"/>
  <c r="H98" i="46"/>
  <c r="G98" i="46" l="1"/>
  <c r="L20" i="46" l="1"/>
  <c r="K20" i="46"/>
  <c r="J20" i="46"/>
  <c r="I20" i="46"/>
  <c r="H20" i="46"/>
  <c r="G20" i="46"/>
  <c r="L94" i="46"/>
  <c r="K94" i="46"/>
  <c r="J94" i="46"/>
  <c r="I94" i="46"/>
  <c r="H94" i="46"/>
  <c r="G94" i="46"/>
  <c r="E23" i="46" l="1"/>
  <c r="E34" i="46" l="1"/>
  <c r="G100" i="46"/>
  <c r="C47" i="38" s="1"/>
  <c r="F3" i="41"/>
  <c r="F2" i="41"/>
  <c r="C32" i="38" l="1"/>
  <c r="C31" i="38"/>
  <c r="C28" i="38"/>
  <c r="C27" i="38"/>
  <c r="E47" i="38" l="1"/>
  <c r="E39" i="45"/>
  <c r="F45" i="18" l="1"/>
  <c r="F32" i="18" l="1"/>
  <c r="F31" i="18"/>
  <c r="F30" i="18"/>
  <c r="F68" i="67" s="1"/>
  <c r="F27" i="18"/>
  <c r="F65" i="67" s="1"/>
  <c r="F26" i="18"/>
  <c r="F64" i="67" s="1"/>
  <c r="F24" i="18"/>
  <c r="F22" i="18"/>
  <c r="F60" i="67" s="1"/>
  <c r="F21" i="18"/>
  <c r="F59" i="67" s="1"/>
  <c r="F20" i="18"/>
  <c r="F58" i="67" s="1"/>
  <c r="F18" i="18"/>
  <c r="F56" i="67" s="1"/>
  <c r="F55" i="67"/>
  <c r="F16" i="18"/>
  <c r="F54" i="67" s="1"/>
  <c r="L16" i="13"/>
  <c r="L15" i="61" s="1"/>
  <c r="K16" i="13"/>
  <c r="K15" i="61" s="1"/>
  <c r="J16" i="13"/>
  <c r="J15" i="61" s="1"/>
  <c r="I16" i="13"/>
  <c r="I15" i="61" s="1"/>
  <c r="H16" i="13"/>
  <c r="H15" i="61" s="1"/>
  <c r="G16" i="13"/>
  <c r="G15" i="61" s="1"/>
  <c r="F47" i="18"/>
  <c r="F46" i="18"/>
  <c r="F6" i="18"/>
  <c r="F13" i="67" s="1"/>
  <c r="F69" i="67" l="1"/>
  <c r="F13" i="18"/>
  <c r="F90" i="67"/>
  <c r="F50" i="67"/>
  <c r="F41" i="18"/>
  <c r="F9" i="18"/>
  <c r="K98" i="61"/>
  <c r="I98" i="61"/>
  <c r="J98" i="61"/>
  <c r="H98" i="61"/>
  <c r="L98" i="61"/>
  <c r="E32" i="38" l="1"/>
  <c r="D32" i="38" s="1"/>
  <c r="C33" i="38"/>
  <c r="H33" i="38" s="1"/>
  <c r="I33" i="38" s="1"/>
  <c r="J33" i="38" s="1"/>
  <c r="K33" i="38" s="1"/>
  <c r="L33" i="38" s="1"/>
  <c r="M33" i="38" s="1"/>
  <c r="N33" i="38" s="1"/>
  <c r="O33" i="38" s="1"/>
  <c r="P33" i="38" s="1"/>
  <c r="Q33" i="38" s="1"/>
  <c r="G11" i="47" l="1"/>
  <c r="H11" i="47"/>
  <c r="I11" i="47"/>
  <c r="J11" i="47"/>
  <c r="K11" i="47"/>
  <c r="L11" i="47"/>
  <c r="E29" i="38"/>
  <c r="E30" i="38"/>
  <c r="E31" i="38"/>
  <c r="D31" i="38" s="1"/>
  <c r="E33" i="38"/>
  <c r="D33" i="38" s="1"/>
  <c r="G18" i="38"/>
  <c r="H18" i="38"/>
  <c r="J18" i="38"/>
  <c r="K18" i="38"/>
  <c r="M18" i="38"/>
  <c r="N18" i="38"/>
  <c r="P18" i="38"/>
  <c r="Q18" i="38"/>
  <c r="E11" i="47" l="1"/>
  <c r="H63" i="38"/>
  <c r="H65" i="38" s="1"/>
  <c r="F71" i="38"/>
  <c r="E67" i="38"/>
  <c r="E64" i="38"/>
  <c r="N44" i="48"/>
  <c r="I32" i="63" s="1"/>
  <c r="M44" i="48"/>
  <c r="H32" i="63" s="1"/>
  <c r="L44" i="48"/>
  <c r="G32" i="63" s="1"/>
  <c r="K44" i="48"/>
  <c r="F32" i="63" s="1"/>
  <c r="J44" i="48"/>
  <c r="E32" i="63" s="1"/>
  <c r="I44" i="48"/>
  <c r="D32" i="63" s="1"/>
  <c r="I13" i="48"/>
  <c r="I35" i="48" s="1"/>
  <c r="A5" i="48"/>
  <c r="A2" i="48"/>
  <c r="B32" i="63" l="1"/>
  <c r="H66" i="38"/>
  <c r="H68" i="38" s="1"/>
  <c r="I63" i="38" s="1"/>
  <c r="I65" i="38" s="1"/>
  <c r="F34" i="18"/>
  <c r="F70" i="67" s="1"/>
  <c r="G46" i="18"/>
  <c r="G44" i="48"/>
  <c r="J45" i="48" s="1"/>
  <c r="C45" i="38"/>
  <c r="K46" i="18"/>
  <c r="J46" i="18"/>
  <c r="H46" i="18"/>
  <c r="L46" i="18"/>
  <c r="I46" i="18"/>
  <c r="G71" i="38"/>
  <c r="H12" i="48"/>
  <c r="J12" i="48"/>
  <c r="J13" i="48" s="1"/>
  <c r="H13" i="48"/>
  <c r="H35" i="48" s="1"/>
  <c r="F36" i="18" l="1"/>
  <c r="F71" i="67"/>
  <c r="O45" i="38"/>
  <c r="K45" i="38"/>
  <c r="G45" i="38"/>
  <c r="P45" i="38"/>
  <c r="N45" i="38"/>
  <c r="J45" i="38"/>
  <c r="F45" i="38"/>
  <c r="L45" i="38"/>
  <c r="Q45" i="38"/>
  <c r="M45" i="38"/>
  <c r="I45" i="38"/>
  <c r="H45" i="38"/>
  <c r="K45" i="48"/>
  <c r="N45" i="48"/>
  <c r="F62" i="67"/>
  <c r="F63" i="67"/>
  <c r="F72" i="67"/>
  <c r="I116" i="67"/>
  <c r="K116" i="67"/>
  <c r="L116" i="67"/>
  <c r="F83" i="67"/>
  <c r="F81" i="67"/>
  <c r="F77" i="67"/>
  <c r="F82" i="67"/>
  <c r="F78" i="67"/>
  <c r="F80" i="67"/>
  <c r="F79" i="67"/>
  <c r="H116" i="67"/>
  <c r="J116" i="67"/>
  <c r="G116" i="67"/>
  <c r="I66" i="38"/>
  <c r="I68" i="38" s="1"/>
  <c r="J63" i="38" s="1"/>
  <c r="J65" i="38" s="1"/>
  <c r="D46" i="18"/>
  <c r="L45" i="48"/>
  <c r="G45" i="48"/>
  <c r="H45" i="48"/>
  <c r="I45" i="48"/>
  <c r="M45" i="48"/>
  <c r="K12" i="48"/>
  <c r="K13" i="48" s="1"/>
  <c r="J35" i="48"/>
  <c r="C46" i="18"/>
  <c r="C116" i="67" l="1"/>
  <c r="J66" i="38"/>
  <c r="J68" i="38" s="1"/>
  <c r="K63" i="38" s="1"/>
  <c r="K65" i="38" s="1"/>
  <c r="L12" i="48"/>
  <c r="L13" i="48" s="1"/>
  <c r="K35" i="48"/>
  <c r="I71" i="38"/>
  <c r="G66" i="46"/>
  <c r="H66" i="46"/>
  <c r="G65" i="46"/>
  <c r="H65" i="46"/>
  <c r="G36" i="34"/>
  <c r="G32" i="34"/>
  <c r="I32" i="34" s="1"/>
  <c r="J32" i="34" s="1"/>
  <c r="K32" i="34" s="1"/>
  <c r="L32" i="34" s="1"/>
  <c r="K66" i="38" l="1"/>
  <c r="K68" i="38" s="1"/>
  <c r="L63" i="38" s="1"/>
  <c r="L65" i="38" s="1"/>
  <c r="M12" i="48"/>
  <c r="M13" i="48" s="1"/>
  <c r="L35" i="48"/>
  <c r="J71" i="38"/>
  <c r="D50" i="47"/>
  <c r="L47" i="47"/>
  <c r="K47" i="47"/>
  <c r="J47" i="47"/>
  <c r="I47" i="47"/>
  <c r="H47" i="47"/>
  <c r="G47" i="47"/>
  <c r="E38" i="47"/>
  <c r="E36" i="47"/>
  <c r="E34" i="47"/>
  <c r="E32" i="47"/>
  <c r="E30" i="47"/>
  <c r="E28" i="47"/>
  <c r="E26" i="47"/>
  <c r="L12" i="47"/>
  <c r="K12" i="47"/>
  <c r="J12" i="47"/>
  <c r="I12" i="47"/>
  <c r="H12" i="47"/>
  <c r="G12" i="47"/>
  <c r="H7" i="47"/>
  <c r="I7" i="47" s="1"/>
  <c r="J7" i="47" s="1"/>
  <c r="K7" i="47" s="1"/>
  <c r="L7" i="47" s="1"/>
  <c r="A5" i="47"/>
  <c r="A2" i="47"/>
  <c r="L66" i="46"/>
  <c r="K66" i="46"/>
  <c r="J66" i="46"/>
  <c r="I66" i="46"/>
  <c r="L65" i="46"/>
  <c r="K65" i="46"/>
  <c r="J65" i="46"/>
  <c r="I65" i="46"/>
  <c r="C59" i="46"/>
  <c r="C57" i="46"/>
  <c r="L27" i="46"/>
  <c r="K27" i="46"/>
  <c r="J27" i="46"/>
  <c r="I27" i="46"/>
  <c r="H27" i="46"/>
  <c r="G27" i="46"/>
  <c r="L26" i="46"/>
  <c r="K26" i="46"/>
  <c r="J26" i="46"/>
  <c r="I26" i="46"/>
  <c r="H26" i="46"/>
  <c r="G26" i="46"/>
  <c r="L6" i="46"/>
  <c r="K6" i="46"/>
  <c r="J6" i="46"/>
  <c r="I6" i="46"/>
  <c r="H6" i="46"/>
  <c r="G6" i="46"/>
  <c r="A4" i="46"/>
  <c r="A2" i="46"/>
  <c r="L66" i="38" l="1"/>
  <c r="L68" i="38" s="1"/>
  <c r="M63" i="38" s="1"/>
  <c r="M65" i="38" s="1"/>
  <c r="G33" i="46"/>
  <c r="G41" i="46" s="1"/>
  <c r="J33" i="46"/>
  <c r="J41" i="46" s="1"/>
  <c r="H33" i="46"/>
  <c r="H41" i="46" s="1"/>
  <c r="I33" i="46"/>
  <c r="I41" i="46" s="1"/>
  <c r="K33" i="46"/>
  <c r="K41" i="46" s="1"/>
  <c r="L33" i="46"/>
  <c r="L41" i="46" s="1"/>
  <c r="K46" i="46"/>
  <c r="H46" i="46"/>
  <c r="I46" i="46"/>
  <c r="G46" i="46"/>
  <c r="L46" i="46"/>
  <c r="J46" i="46"/>
  <c r="I96" i="46"/>
  <c r="I47" i="46"/>
  <c r="G97" i="46"/>
  <c r="G48" i="46"/>
  <c r="K97" i="46"/>
  <c r="K48" i="46"/>
  <c r="L97" i="46"/>
  <c r="L48" i="46"/>
  <c r="J96" i="46"/>
  <c r="J47" i="46"/>
  <c r="H97" i="46"/>
  <c r="H48" i="46"/>
  <c r="G96" i="46"/>
  <c r="G47" i="46"/>
  <c r="K96" i="46"/>
  <c r="K47" i="46"/>
  <c r="I97" i="46"/>
  <c r="I48" i="46"/>
  <c r="H96" i="46"/>
  <c r="H47" i="46"/>
  <c r="L96" i="46"/>
  <c r="L47" i="46"/>
  <c r="J97" i="46"/>
  <c r="J48" i="46"/>
  <c r="H48" i="47"/>
  <c r="H49" i="47" s="1"/>
  <c r="H50" i="47" s="1"/>
  <c r="L48" i="47"/>
  <c r="L49" i="47" s="1"/>
  <c r="L50" i="47" s="1"/>
  <c r="I48" i="47"/>
  <c r="I49" i="47" s="1"/>
  <c r="I50" i="47" s="1"/>
  <c r="J48" i="47"/>
  <c r="J49" i="47" s="1"/>
  <c r="J50" i="47" s="1"/>
  <c r="G48" i="47"/>
  <c r="G49" i="47" s="1"/>
  <c r="G50" i="47" s="1"/>
  <c r="D30" i="63" s="1"/>
  <c r="K48" i="47"/>
  <c r="K49" i="47" s="1"/>
  <c r="K50" i="47" s="1"/>
  <c r="E47" i="47"/>
  <c r="N12" i="48"/>
  <c r="N13" i="48" s="1"/>
  <c r="N35" i="48" s="1"/>
  <c r="M35" i="48"/>
  <c r="E29" i="47"/>
  <c r="E31" i="47"/>
  <c r="E33" i="47"/>
  <c r="E35" i="47"/>
  <c r="E39" i="47"/>
  <c r="E12" i="47"/>
  <c r="E16" i="47"/>
  <c r="E18" i="47"/>
  <c r="E19" i="47"/>
  <c r="E27" i="47"/>
  <c r="E15" i="47"/>
  <c r="E17" i="47"/>
  <c r="G95" i="46"/>
  <c r="J72" i="46"/>
  <c r="I72" i="46"/>
  <c r="L72" i="46"/>
  <c r="H72" i="46"/>
  <c r="K72" i="46"/>
  <c r="G72" i="46"/>
  <c r="H95" i="46"/>
  <c r="L95" i="46"/>
  <c r="K95" i="46"/>
  <c r="I95" i="46"/>
  <c r="J95" i="46"/>
  <c r="E37" i="47"/>
  <c r="E27" i="46"/>
  <c r="E25" i="46"/>
  <c r="G69" i="46"/>
  <c r="C60" i="46"/>
  <c r="G56" i="46" s="1"/>
  <c r="M66" i="38" l="1"/>
  <c r="M68" i="38" s="1"/>
  <c r="N63" i="38" s="1"/>
  <c r="N65" i="38" s="1"/>
  <c r="I42" i="46"/>
  <c r="I75" i="46" s="1"/>
  <c r="H42" i="46"/>
  <c r="H75" i="46" s="1"/>
  <c r="L42" i="46"/>
  <c r="L75" i="46" s="1"/>
  <c r="J42" i="46"/>
  <c r="J75" i="46" s="1"/>
  <c r="K42" i="46"/>
  <c r="K75" i="46" s="1"/>
  <c r="G42" i="46"/>
  <c r="G75" i="46" s="1"/>
  <c r="G74" i="46"/>
  <c r="C46" i="38" s="1"/>
  <c r="E33" i="46"/>
  <c r="G30" i="63"/>
  <c r="J49" i="18"/>
  <c r="I49" i="18"/>
  <c r="F30" i="63"/>
  <c r="L49" i="18"/>
  <c r="I30" i="63"/>
  <c r="K49" i="18"/>
  <c r="H30" i="63"/>
  <c r="H49" i="18"/>
  <c r="E30" i="63"/>
  <c r="D61" i="46"/>
  <c r="D62" i="46" s="1"/>
  <c r="D63" i="46" s="1"/>
  <c r="F74" i="46"/>
  <c r="F76" i="46"/>
  <c r="C20" i="63" s="1"/>
  <c r="E26" i="46"/>
  <c r="L71" i="38"/>
  <c r="G49" i="18"/>
  <c r="C50" i="38"/>
  <c r="E50" i="47"/>
  <c r="O50" i="38" l="1"/>
  <c r="K50" i="38"/>
  <c r="G50" i="38"/>
  <c r="H50" i="38"/>
  <c r="N50" i="38"/>
  <c r="J50" i="38"/>
  <c r="F50" i="38"/>
  <c r="P50" i="38"/>
  <c r="Q50" i="38"/>
  <c r="M50" i="38"/>
  <c r="I50" i="38"/>
  <c r="L50" i="38"/>
  <c r="N46" i="38"/>
  <c r="J46" i="38"/>
  <c r="F46" i="38"/>
  <c r="L46" i="38"/>
  <c r="K46" i="38"/>
  <c r="Q46" i="38"/>
  <c r="M46" i="38"/>
  <c r="I46" i="38"/>
  <c r="P46" i="38"/>
  <c r="H46" i="38"/>
  <c r="O46" i="38"/>
  <c r="G46" i="38"/>
  <c r="H119" i="67"/>
  <c r="G119" i="67"/>
  <c r="K119" i="67"/>
  <c r="L119" i="67"/>
  <c r="I119" i="67"/>
  <c r="J119" i="67"/>
  <c r="N66" i="38"/>
  <c r="N68" i="38" s="1"/>
  <c r="O63" i="38" s="1"/>
  <c r="O65" i="38" s="1"/>
  <c r="J43" i="46"/>
  <c r="H43" i="46"/>
  <c r="L43" i="46"/>
  <c r="I43" i="46"/>
  <c r="E75" i="46"/>
  <c r="K43" i="46"/>
  <c r="D49" i="18"/>
  <c r="G43" i="46"/>
  <c r="F85" i="46"/>
  <c r="E41" i="46"/>
  <c r="B30" i="63"/>
  <c r="G62" i="46"/>
  <c r="G63" i="46"/>
  <c r="G76" i="46" s="1"/>
  <c r="F43" i="46"/>
  <c r="F43" i="18"/>
  <c r="F76" i="67" s="1"/>
  <c r="F77" i="46"/>
  <c r="M71" i="38"/>
  <c r="C49" i="18"/>
  <c r="C119" i="67" l="1"/>
  <c r="O66" i="38"/>
  <c r="O68" i="38" s="1"/>
  <c r="P63" i="38" s="1"/>
  <c r="P65" i="38" s="1"/>
  <c r="G77" i="46"/>
  <c r="D20" i="63"/>
  <c r="G43" i="18"/>
  <c r="G71" i="46"/>
  <c r="E40" i="46"/>
  <c r="G113" i="67" l="1"/>
  <c r="P66" i="38"/>
  <c r="G85" i="46"/>
  <c r="O71" i="38"/>
  <c r="P68" i="38" l="1"/>
  <c r="Q63" i="38" s="1"/>
  <c r="Q65" i="38" s="1"/>
  <c r="Q66" i="38" s="1"/>
  <c r="Q68" i="38" s="1"/>
  <c r="P71" i="38"/>
  <c r="F11" i="45" l="1"/>
  <c r="A5" i="45"/>
  <c r="A2" i="45"/>
  <c r="E10" i="45" l="1"/>
  <c r="E11" i="45"/>
  <c r="G10" i="45"/>
  <c r="G11" i="45" s="1"/>
  <c r="H10" i="45" s="1"/>
  <c r="H11" i="45" s="1"/>
  <c r="I10" i="45" s="1"/>
  <c r="I11" i="45" s="1"/>
  <c r="J10" i="45" s="1"/>
  <c r="J11" i="45" s="1"/>
  <c r="K10" i="45" s="1"/>
  <c r="K11" i="45" s="1"/>
  <c r="W37" i="35" l="1"/>
  <c r="V37" i="35"/>
  <c r="W34" i="35"/>
  <c r="V34" i="35"/>
  <c r="V36" i="35"/>
  <c r="W36" i="35"/>
  <c r="V40" i="35"/>
  <c r="W40" i="35"/>
  <c r="W41" i="35"/>
  <c r="V41" i="35"/>
  <c r="W17" i="35"/>
  <c r="V17" i="35"/>
  <c r="W29" i="35"/>
  <c r="V29" i="35"/>
  <c r="V38" i="35"/>
  <c r="W38" i="35"/>
  <c r="W31" i="35"/>
  <c r="V31" i="35"/>
  <c r="W39" i="35"/>
  <c r="V39" i="35"/>
  <c r="W43" i="35"/>
  <c r="V43" i="35"/>
  <c r="E28" i="38" l="1"/>
  <c r="D28" i="38" s="1"/>
  <c r="A2" i="35" l="1"/>
  <c r="A5" i="35"/>
  <c r="A2" i="38"/>
  <c r="A5" i="38"/>
  <c r="A2" i="41"/>
  <c r="A5" i="41"/>
  <c r="A2" i="18"/>
  <c r="A4" i="18"/>
  <c r="A2" i="13"/>
  <c r="A5" i="13"/>
  <c r="A2" i="34"/>
  <c r="A5" i="34"/>
  <c r="L32" i="18"/>
  <c r="L70" i="67" s="1"/>
  <c r="L30" i="18"/>
  <c r="L68" i="67" s="1"/>
  <c r="L26" i="18"/>
  <c r="L64" i="67" s="1"/>
  <c r="L24" i="18"/>
  <c r="L6" i="34"/>
  <c r="L57" i="34" s="1"/>
  <c r="K6" i="34"/>
  <c r="K57" i="34" s="1"/>
  <c r="J6" i="34"/>
  <c r="J57" i="34" s="1"/>
  <c r="I6" i="34"/>
  <c r="I57" i="34" s="1"/>
  <c r="H6" i="34"/>
  <c r="H57" i="34" s="1"/>
  <c r="G6" i="34"/>
  <c r="G57" i="34" s="1"/>
  <c r="J26" i="41"/>
  <c r="N30" i="48" s="1"/>
  <c r="I26" i="41"/>
  <c r="M30" i="48" s="1"/>
  <c r="H26" i="41"/>
  <c r="L30" i="48" s="1"/>
  <c r="G26" i="41"/>
  <c r="K30" i="48" s="1"/>
  <c r="F26" i="41"/>
  <c r="J30" i="48" s="1"/>
  <c r="E26" i="41"/>
  <c r="I30" i="48" s="1"/>
  <c r="J25" i="41"/>
  <c r="N29" i="48" s="1"/>
  <c r="I25" i="41"/>
  <c r="M29" i="48" s="1"/>
  <c r="H25" i="41"/>
  <c r="L29" i="48" s="1"/>
  <c r="G25" i="41"/>
  <c r="K29" i="48" s="1"/>
  <c r="F25" i="41"/>
  <c r="J29" i="48" s="1"/>
  <c r="E25" i="41"/>
  <c r="I29" i="48" s="1"/>
  <c r="J24" i="41"/>
  <c r="N28" i="48" s="1"/>
  <c r="I24" i="41"/>
  <c r="M28" i="48" s="1"/>
  <c r="H24" i="41"/>
  <c r="L28" i="48" s="1"/>
  <c r="G24" i="41"/>
  <c r="K28" i="48" s="1"/>
  <c r="F24" i="41"/>
  <c r="J28" i="48" s="1"/>
  <c r="E24" i="41"/>
  <c r="I28" i="48" s="1"/>
  <c r="J23" i="41"/>
  <c r="N27" i="48" s="1"/>
  <c r="I23" i="41"/>
  <c r="M27" i="48" s="1"/>
  <c r="H23" i="41"/>
  <c r="L27" i="48" s="1"/>
  <c r="G23" i="41"/>
  <c r="K27" i="48" s="1"/>
  <c r="F23" i="41"/>
  <c r="J27" i="48" s="1"/>
  <c r="E23" i="41"/>
  <c r="I27" i="48" s="1"/>
  <c r="J22" i="41"/>
  <c r="N26" i="48" s="1"/>
  <c r="I22" i="41"/>
  <c r="M26" i="48" s="1"/>
  <c r="H22" i="41"/>
  <c r="L26" i="48" s="1"/>
  <c r="G22" i="41"/>
  <c r="K26" i="48" s="1"/>
  <c r="F22" i="41"/>
  <c r="J26" i="48" s="1"/>
  <c r="E22" i="41"/>
  <c r="I26" i="48" s="1"/>
  <c r="J21" i="41"/>
  <c r="N25" i="48" s="1"/>
  <c r="I21" i="41"/>
  <c r="M25" i="48" s="1"/>
  <c r="H21" i="41"/>
  <c r="L25" i="48" s="1"/>
  <c r="G21" i="41"/>
  <c r="K25" i="48" s="1"/>
  <c r="F21" i="41"/>
  <c r="J25" i="48" s="1"/>
  <c r="E21" i="41"/>
  <c r="I25" i="48" s="1"/>
  <c r="J20" i="41"/>
  <c r="N24" i="48" s="1"/>
  <c r="I20" i="41"/>
  <c r="M24" i="48" s="1"/>
  <c r="H20" i="41"/>
  <c r="L24" i="48" s="1"/>
  <c r="G20" i="41"/>
  <c r="K24" i="48" s="1"/>
  <c r="F20" i="41"/>
  <c r="J24" i="48" s="1"/>
  <c r="E20" i="41"/>
  <c r="I24" i="48" s="1"/>
  <c r="J19" i="41"/>
  <c r="N23" i="48" s="1"/>
  <c r="I19" i="41"/>
  <c r="M23" i="48" s="1"/>
  <c r="H19" i="41"/>
  <c r="L23" i="48" s="1"/>
  <c r="G19" i="41"/>
  <c r="K23" i="48" s="1"/>
  <c r="F19" i="41"/>
  <c r="J23" i="48" s="1"/>
  <c r="E19" i="41"/>
  <c r="I23" i="48" s="1"/>
  <c r="J18" i="41"/>
  <c r="N22" i="48" s="1"/>
  <c r="I18" i="41"/>
  <c r="M22" i="48" s="1"/>
  <c r="H18" i="41"/>
  <c r="L22" i="48" s="1"/>
  <c r="G18" i="41"/>
  <c r="K22" i="48" s="1"/>
  <c r="F18" i="41"/>
  <c r="J22" i="48" s="1"/>
  <c r="E18" i="41"/>
  <c r="I22" i="48" s="1"/>
  <c r="J17" i="41"/>
  <c r="N21" i="48" s="1"/>
  <c r="I17" i="41"/>
  <c r="M21" i="48" s="1"/>
  <c r="H17" i="41"/>
  <c r="L21" i="48" s="1"/>
  <c r="G17" i="41"/>
  <c r="K21" i="48" s="1"/>
  <c r="F17" i="41"/>
  <c r="J21" i="48" s="1"/>
  <c r="E17" i="41"/>
  <c r="I21" i="48" s="1"/>
  <c r="J16" i="41"/>
  <c r="N20" i="48" s="1"/>
  <c r="I16" i="41"/>
  <c r="M20" i="48" s="1"/>
  <c r="H16" i="41"/>
  <c r="L20" i="48" s="1"/>
  <c r="K20" i="48"/>
  <c r="F16" i="41"/>
  <c r="J20" i="48" s="1"/>
  <c r="E16" i="41"/>
  <c r="I20" i="48" s="1"/>
  <c r="J15" i="41"/>
  <c r="N19" i="48" s="1"/>
  <c r="I15" i="41"/>
  <c r="M19" i="48" s="1"/>
  <c r="H15" i="41"/>
  <c r="L19" i="48" s="1"/>
  <c r="K19" i="48"/>
  <c r="J19" i="48"/>
  <c r="E15" i="41"/>
  <c r="I19" i="48" s="1"/>
  <c r="J14" i="41"/>
  <c r="N18" i="48" s="1"/>
  <c r="I14" i="41"/>
  <c r="M18" i="48" s="1"/>
  <c r="H14" i="41"/>
  <c r="L18" i="48" s="1"/>
  <c r="G14" i="41"/>
  <c r="F14" i="41"/>
  <c r="J18" i="48" s="1"/>
  <c r="I18" i="48"/>
  <c r="L6" i="18"/>
  <c r="L13" i="67" s="1"/>
  <c r="L103" i="67" l="1"/>
  <c r="L102" i="67"/>
  <c r="L62" i="67"/>
  <c r="L105" i="67"/>
  <c r="L13" i="18"/>
  <c r="L90" i="67"/>
  <c r="L50" i="67"/>
  <c r="L107" i="67"/>
  <c r="L41" i="18"/>
  <c r="G11" i="41"/>
  <c r="K18" i="48"/>
  <c r="J15" i="48"/>
  <c r="J31" i="48"/>
  <c r="N15" i="48"/>
  <c r="N31" i="48"/>
  <c r="L15" i="48"/>
  <c r="L31" i="48"/>
  <c r="I31" i="48"/>
  <c r="I15" i="48"/>
  <c r="M15" i="48"/>
  <c r="M31" i="48"/>
  <c r="H11" i="41"/>
  <c r="E11" i="41"/>
  <c r="I11" i="41"/>
  <c r="F11" i="41"/>
  <c r="J11" i="41"/>
  <c r="H27" i="41"/>
  <c r="F27" i="41"/>
  <c r="J27" i="41"/>
  <c r="G27" i="41"/>
  <c r="E27" i="41"/>
  <c r="I27" i="41"/>
  <c r="E8" i="39"/>
  <c r="J30" i="41" l="1"/>
  <c r="J29" i="41"/>
  <c r="I29" i="41"/>
  <c r="I30" i="41"/>
  <c r="F29" i="41"/>
  <c r="F30" i="41"/>
  <c r="E30" i="41"/>
  <c r="E29" i="41"/>
  <c r="H30" i="41"/>
  <c r="H29" i="41"/>
  <c r="G29" i="41"/>
  <c r="G30" i="41"/>
  <c r="K31" i="48"/>
  <c r="K15" i="48"/>
  <c r="G12" i="45"/>
  <c r="I12" i="45"/>
  <c r="H12" i="45"/>
  <c r="J12" i="45"/>
  <c r="F12" i="45"/>
  <c r="K12" i="45"/>
  <c r="G32" i="18"/>
  <c r="G70" i="67" s="1"/>
  <c r="G30" i="18"/>
  <c r="G68" i="67" s="1"/>
  <c r="G26" i="18"/>
  <c r="G64" i="67" s="1"/>
  <c r="G24" i="18"/>
  <c r="G6" i="18"/>
  <c r="G13" i="67" s="1"/>
  <c r="G102" i="67" l="1"/>
  <c r="G62" i="67"/>
  <c r="G105" i="67"/>
  <c r="G103" i="67"/>
  <c r="G13" i="18"/>
  <c r="G90" i="67"/>
  <c r="G50" i="67"/>
  <c r="G107" i="67"/>
  <c r="G41" i="18"/>
  <c r="A5" i="39" l="1"/>
  <c r="D7" i="63" l="1"/>
  <c r="G80" i="46" s="1"/>
  <c r="L10" i="46"/>
  <c r="L18" i="13" l="1"/>
  <c r="L16" i="61" s="1"/>
  <c r="L32" i="61" s="1"/>
  <c r="L20" i="13"/>
  <c r="L28" i="67" s="1"/>
  <c r="F45" i="61"/>
  <c r="C10" i="63"/>
  <c r="L170" i="61"/>
  <c r="L171" i="61" s="1"/>
  <c r="L175" i="61" s="1"/>
  <c r="I9" i="63"/>
  <c r="L71" i="61"/>
  <c r="L77" i="61"/>
  <c r="L81" i="61"/>
  <c r="L87" i="61"/>
  <c r="L91" i="61"/>
  <c r="L76" i="61"/>
  <c r="L80" i="61"/>
  <c r="L90" i="61"/>
  <c r="L147" i="61"/>
  <c r="L72" i="61"/>
  <c r="L73" i="61"/>
  <c r="L79" i="61"/>
  <c r="L146" i="61"/>
  <c r="H9" i="62"/>
  <c r="H50" i="62" s="1"/>
  <c r="C77" i="62"/>
  <c r="D139" i="62"/>
  <c r="L9" i="46"/>
  <c r="M4" i="53"/>
  <c r="E8" i="41"/>
  <c r="E9" i="41" s="1"/>
  <c r="F8" i="41" s="1"/>
  <c r="F9" i="41" s="1"/>
  <c r="G8" i="41" s="1"/>
  <c r="G9" i="41" s="1"/>
  <c r="H8" i="41" s="1"/>
  <c r="H9" i="41" s="1"/>
  <c r="I8" i="41" s="1"/>
  <c r="H2" i="53"/>
  <c r="H3" i="53" s="1"/>
  <c r="I2" i="53" s="1"/>
  <c r="I3" i="53" s="1"/>
  <c r="J2" i="53" s="1"/>
  <c r="J3" i="53" s="1"/>
  <c r="K2" i="53" s="1"/>
  <c r="K3" i="53" s="1"/>
  <c r="L2" i="53" s="1"/>
  <c r="L3" i="53" s="1"/>
  <c r="M2" i="53" s="1"/>
  <c r="M3" i="53" s="1"/>
  <c r="L38" i="13"/>
  <c r="L88" i="13"/>
  <c r="G7" i="46"/>
  <c r="F7" i="46" s="1"/>
  <c r="F10" i="13"/>
  <c r="C7" i="63" s="1"/>
  <c r="F80" i="46" s="1"/>
  <c r="L11" i="34"/>
  <c r="L128" i="13"/>
  <c r="L21" i="18" s="1"/>
  <c r="G7" i="34"/>
  <c r="G58" i="34" s="1"/>
  <c r="G7" i="18"/>
  <c r="E7" i="38"/>
  <c r="D8" i="63"/>
  <c r="G81" i="46" s="1"/>
  <c r="L125" i="13"/>
  <c r="L18" i="18" s="1"/>
  <c r="L133" i="13"/>
  <c r="L127" i="13"/>
  <c r="L123" i="13"/>
  <c r="L17" i="18" s="1"/>
  <c r="L129" i="13"/>
  <c r="L22" i="18" s="1"/>
  <c r="L122" i="13"/>
  <c r="L16" i="18" s="1"/>
  <c r="L99" i="67" l="1"/>
  <c r="L96" i="67"/>
  <c r="L95" i="67"/>
  <c r="L100" i="67"/>
  <c r="L97" i="67"/>
  <c r="L20" i="18"/>
  <c r="L140" i="13"/>
  <c r="L141" i="13" s="1"/>
  <c r="L31" i="34"/>
  <c r="L29" i="34"/>
  <c r="L27" i="34"/>
  <c r="L30" i="34"/>
  <c r="L28" i="34"/>
  <c r="I33" i="63"/>
  <c r="I31" i="63"/>
  <c r="F61" i="34"/>
  <c r="F83" i="46"/>
  <c r="G34" i="62"/>
  <c r="C18" i="63"/>
  <c r="F49" i="61" s="1"/>
  <c r="C26" i="63"/>
  <c r="F65" i="34" s="1"/>
  <c r="C36" i="63"/>
  <c r="C22" i="63"/>
  <c r="F87" i="46" s="1"/>
  <c r="L9" i="18"/>
  <c r="L174" i="61"/>
  <c r="L173" i="61"/>
  <c r="M30" i="62"/>
  <c r="L60" i="34"/>
  <c r="L82" i="46"/>
  <c r="H10" i="62"/>
  <c r="L151" i="61"/>
  <c r="L31" i="18"/>
  <c r="L69" i="67" s="1"/>
  <c r="F7" i="34"/>
  <c r="F58" i="34" s="1"/>
  <c r="G9" i="62"/>
  <c r="G50" i="62" s="1"/>
  <c r="M5" i="53"/>
  <c r="M6" i="53" s="1"/>
  <c r="N16" i="48"/>
  <c r="N32" i="48" s="1"/>
  <c r="J12" i="41"/>
  <c r="J28" i="41" s="1"/>
  <c r="F7" i="18"/>
  <c r="D8" i="41"/>
  <c r="D9" i="41" s="1"/>
  <c r="F11" i="13"/>
  <c r="C8" i="63" s="1"/>
  <c r="F81" i="46" s="1"/>
  <c r="L27" i="18"/>
  <c r="G8" i="46"/>
  <c r="F8" i="46" s="1"/>
  <c r="G8" i="47"/>
  <c r="G8" i="34"/>
  <c r="G59" i="34" s="1"/>
  <c r="G8" i="18"/>
  <c r="I9" i="41"/>
  <c r="E8" i="38"/>
  <c r="E12" i="38" s="1"/>
  <c r="E7" i="63"/>
  <c r="H80" i="46" s="1"/>
  <c r="H16" i="62" l="1"/>
  <c r="L106" i="67"/>
  <c r="L98" i="67"/>
  <c r="L48" i="67"/>
  <c r="L104" i="67"/>
  <c r="Q14" i="38"/>
  <c r="M14" i="38"/>
  <c r="I14" i="38"/>
  <c r="G14" i="38"/>
  <c r="P14" i="38"/>
  <c r="L14" i="38"/>
  <c r="F14" i="38"/>
  <c r="O14" i="38"/>
  <c r="K14" i="38"/>
  <c r="H14" i="38"/>
  <c r="N14" i="38"/>
  <c r="J14" i="38"/>
  <c r="H141" i="62"/>
  <c r="H295" i="62" s="1"/>
  <c r="H252" i="62"/>
  <c r="H242" i="62"/>
  <c r="H244" i="62"/>
  <c r="H51" i="62"/>
  <c r="H357" i="62"/>
  <c r="H164" i="62"/>
  <c r="H220" i="62"/>
  <c r="H374" i="62" s="1"/>
  <c r="H185" i="62"/>
  <c r="H339" i="62" s="1"/>
  <c r="H228" i="62"/>
  <c r="H227" i="62"/>
  <c r="H169" i="62"/>
  <c r="H143" i="62"/>
  <c r="H191" i="62"/>
  <c r="H345" i="62" s="1"/>
  <c r="H232" i="62"/>
  <c r="H386" i="62" s="1"/>
  <c r="H155" i="62"/>
  <c r="H309" i="62" s="1"/>
  <c r="H105" i="62"/>
  <c r="H268" i="62" s="1"/>
  <c r="H128" i="62"/>
  <c r="H289" i="62" s="1"/>
  <c r="H218" i="62"/>
  <c r="H125" i="62"/>
  <c r="H181" i="62"/>
  <c r="H335" i="62" s="1"/>
  <c r="H178" i="62"/>
  <c r="H332" i="62" s="1"/>
  <c r="H170" i="62"/>
  <c r="H324" i="62" s="1"/>
  <c r="H187" i="62"/>
  <c r="H341" i="62" s="1"/>
  <c r="H363" i="62"/>
  <c r="H148" i="62"/>
  <c r="H302" i="62" s="1"/>
  <c r="H225" i="62"/>
  <c r="H379" i="62" s="1"/>
  <c r="H221" i="62"/>
  <c r="H375" i="62" s="1"/>
  <c r="H198" i="62"/>
  <c r="H352" i="62" s="1"/>
  <c r="H355" i="62"/>
  <c r="H175" i="62"/>
  <c r="H226" i="62"/>
  <c r="H216" i="62"/>
  <c r="H370" i="62" s="1"/>
  <c r="H354" i="62"/>
  <c r="H153" i="62"/>
  <c r="H196" i="62"/>
  <c r="H350" i="62" s="1"/>
  <c r="H158" i="62"/>
  <c r="H312" i="62" s="1"/>
  <c r="H190" i="62"/>
  <c r="H344" i="62" s="1"/>
  <c r="H167" i="62"/>
  <c r="H154" i="62"/>
  <c r="H231" i="62"/>
  <c r="H385" i="62" s="1"/>
  <c r="H362" i="62"/>
  <c r="H184" i="62"/>
  <c r="H338" i="62" s="1"/>
  <c r="H161" i="62"/>
  <c r="H315" i="62" s="1"/>
  <c r="H130" i="62"/>
  <c r="H291" i="62" s="1"/>
  <c r="H147" i="62"/>
  <c r="H126" i="62"/>
  <c r="H142" i="62"/>
  <c r="H296" i="62" s="1"/>
  <c r="H119" i="62"/>
  <c r="H115" i="62"/>
  <c r="H276" i="62" s="1"/>
  <c r="H116" i="62"/>
  <c r="H246" i="62"/>
  <c r="H92" i="62"/>
  <c r="H253" i="62" s="1"/>
  <c r="H215" i="62"/>
  <c r="H194" i="62"/>
  <c r="H348" i="62" s="1"/>
  <c r="H195" i="62"/>
  <c r="H349" i="62" s="1"/>
  <c r="H172" i="62"/>
  <c r="H224" i="62"/>
  <c r="H378" i="62" s="1"/>
  <c r="H214" i="62"/>
  <c r="H197" i="62"/>
  <c r="H351" i="62" s="1"/>
  <c r="H129" i="62"/>
  <c r="H176" i="62"/>
  <c r="H189" i="62"/>
  <c r="H343" i="62" s="1"/>
  <c r="H166" i="62"/>
  <c r="H151" i="62"/>
  <c r="H305" i="62" s="1"/>
  <c r="H234" i="62"/>
  <c r="H230" i="62"/>
  <c r="H384" i="62" s="1"/>
  <c r="H183" i="62"/>
  <c r="H159" i="62"/>
  <c r="H313" i="62" s="1"/>
  <c r="H127" i="62"/>
  <c r="H288" i="62" s="1"/>
  <c r="H146" i="62"/>
  <c r="H124" i="62"/>
  <c r="H285" i="62" s="1"/>
  <c r="H123" i="62"/>
  <c r="H284" i="62" s="1"/>
  <c r="H266" i="62"/>
  <c r="H262" i="62"/>
  <c r="H118" i="62"/>
  <c r="H279" i="62" s="1"/>
  <c r="H114" i="62"/>
  <c r="H260" i="62"/>
  <c r="H160" i="62"/>
  <c r="H213" i="62"/>
  <c r="H367" i="62" s="1"/>
  <c r="H171" i="62"/>
  <c r="H325" i="62" s="1"/>
  <c r="H179" i="62"/>
  <c r="H333" i="62" s="1"/>
  <c r="H152" i="62"/>
  <c r="H306" i="62" s="1"/>
  <c r="H222" i="62"/>
  <c r="H212" i="62"/>
  <c r="H366" i="62" s="1"/>
  <c r="H177" i="62"/>
  <c r="H219" i="62"/>
  <c r="H173" i="62"/>
  <c r="H327" i="62" s="1"/>
  <c r="H192" i="62"/>
  <c r="H346" i="62" s="1"/>
  <c r="H188" i="62"/>
  <c r="H342" i="62" s="1"/>
  <c r="H165" i="62"/>
  <c r="H131" i="62"/>
  <c r="H233" i="62"/>
  <c r="H387" i="62" s="1"/>
  <c r="H360" i="62"/>
  <c r="H182" i="62"/>
  <c r="H157" i="62"/>
  <c r="H311" i="62" s="1"/>
  <c r="H149" i="62"/>
  <c r="H145" i="62"/>
  <c r="H163" i="62"/>
  <c r="H250" i="62"/>
  <c r="H265" i="62"/>
  <c r="H117" i="62"/>
  <c r="H111" i="62"/>
  <c r="H113" i="62"/>
  <c r="H112" i="62"/>
  <c r="H7" i="46"/>
  <c r="H63" i="46" s="1"/>
  <c r="I9" i="62"/>
  <c r="I50" i="62" s="1"/>
  <c r="F8" i="47"/>
  <c r="G10" i="62"/>
  <c r="G16" i="62" s="1"/>
  <c r="F8" i="18"/>
  <c r="F8" i="34"/>
  <c r="F59" i="34" s="1"/>
  <c r="E8" i="63"/>
  <c r="H81" i="46" s="1"/>
  <c r="H7" i="34"/>
  <c r="H58" i="34" s="1"/>
  <c r="J8" i="41"/>
  <c r="M15" i="38" l="1"/>
  <c r="H15" i="38"/>
  <c r="G15" i="38"/>
  <c r="J15" i="38"/>
  <c r="O15" i="38"/>
  <c r="L15" i="38"/>
  <c r="K15" i="38"/>
  <c r="P15" i="38"/>
  <c r="I15" i="38"/>
  <c r="N15" i="38"/>
  <c r="F15" i="38"/>
  <c r="F60" i="38" s="1"/>
  <c r="G60" i="38" s="1"/>
  <c r="Q15" i="38"/>
  <c r="G51" i="62"/>
  <c r="G252" i="62"/>
  <c r="H62" i="46"/>
  <c r="H71" i="46" s="1"/>
  <c r="H74" i="46" s="1"/>
  <c r="H323" i="62"/>
  <c r="H364" i="62"/>
  <c r="H272" i="62"/>
  <c r="H318" i="62"/>
  <c r="H358" i="62"/>
  <c r="H381" i="62"/>
  <c r="H251" i="62"/>
  <c r="H382" i="62"/>
  <c r="H319" i="62"/>
  <c r="H307" i="62"/>
  <c r="H337" i="62"/>
  <c r="H263" i="62"/>
  <c r="H321" i="62"/>
  <c r="H372" i="62"/>
  <c r="H245" i="62"/>
  <c r="H264" i="62"/>
  <c r="H301" i="62"/>
  <c r="H330" i="62"/>
  <c r="H369" i="62"/>
  <c r="H329" i="62"/>
  <c r="H261" i="62"/>
  <c r="H373" i="62"/>
  <c r="H106" i="62"/>
  <c r="H108" i="62" s="1"/>
  <c r="H297" i="62"/>
  <c r="H299" i="62"/>
  <c r="H303" i="62"/>
  <c r="H388" i="62"/>
  <c r="H376" i="62"/>
  <c r="H120" i="62"/>
  <c r="H292" i="62"/>
  <c r="H368" i="62"/>
  <c r="H275" i="62"/>
  <c r="H336" i="62"/>
  <c r="H314" i="62"/>
  <c r="H277" i="62"/>
  <c r="H236" i="62"/>
  <c r="H273" i="62"/>
  <c r="H280" i="62"/>
  <c r="H356" i="62"/>
  <c r="H274" i="62"/>
  <c r="H317" i="62"/>
  <c r="H287" i="62"/>
  <c r="H308" i="62"/>
  <c r="H380" i="62"/>
  <c r="H286" i="62"/>
  <c r="H278" i="62"/>
  <c r="H300" i="62"/>
  <c r="H361" i="62"/>
  <c r="H320" i="62"/>
  <c r="H290" i="62"/>
  <c r="H326" i="62"/>
  <c r="H243" i="62"/>
  <c r="H267" i="62"/>
  <c r="H331" i="62"/>
  <c r="H86" i="62"/>
  <c r="H132" i="62"/>
  <c r="H21" i="62" s="1"/>
  <c r="G59" i="61" s="1"/>
  <c r="I10" i="62"/>
  <c r="G105" i="62"/>
  <c r="G92" i="62"/>
  <c r="G253" i="62" s="1"/>
  <c r="G124" i="62"/>
  <c r="G126" i="62"/>
  <c r="G128" i="62"/>
  <c r="G141" i="62"/>
  <c r="G145" i="62"/>
  <c r="G146" i="62"/>
  <c r="G147" i="62"/>
  <c r="G148" i="62"/>
  <c r="G149" i="62"/>
  <c r="G151" i="62"/>
  <c r="G152" i="62"/>
  <c r="G153" i="62"/>
  <c r="G112" i="62"/>
  <c r="G114" i="62"/>
  <c r="G116" i="62"/>
  <c r="G118" i="62"/>
  <c r="G125" i="62"/>
  <c r="G131" i="62"/>
  <c r="G154" i="62"/>
  <c r="G164" i="62"/>
  <c r="G165" i="62"/>
  <c r="G166" i="62"/>
  <c r="G167" i="62"/>
  <c r="G187" i="62"/>
  <c r="G188" i="62"/>
  <c r="G189" i="62"/>
  <c r="G190" i="62"/>
  <c r="G191" i="62"/>
  <c r="G192" i="62"/>
  <c r="G212" i="62"/>
  <c r="G213" i="62"/>
  <c r="G214" i="62"/>
  <c r="G215" i="62"/>
  <c r="G216" i="62"/>
  <c r="G158" i="62"/>
  <c r="G160" i="62"/>
  <c r="G169" i="62"/>
  <c r="G170" i="62"/>
  <c r="G171" i="62"/>
  <c r="G172" i="62"/>
  <c r="G173" i="62"/>
  <c r="G194" i="62"/>
  <c r="G195" i="62"/>
  <c r="G196" i="62"/>
  <c r="G197" i="62"/>
  <c r="G198" i="62"/>
  <c r="G113" i="62"/>
  <c r="G123" i="62"/>
  <c r="G127" i="62"/>
  <c r="G129" i="62"/>
  <c r="G157" i="62"/>
  <c r="G177" i="62"/>
  <c r="G181" i="62"/>
  <c r="G182" i="62"/>
  <c r="G183" i="62"/>
  <c r="G184" i="62"/>
  <c r="G185" i="62"/>
  <c r="G218" i="62"/>
  <c r="G222" i="62"/>
  <c r="G224" i="62"/>
  <c r="G226" i="62"/>
  <c r="G228" i="62"/>
  <c r="G111" i="62"/>
  <c r="G119" i="62"/>
  <c r="G143" i="62"/>
  <c r="G178" i="62"/>
  <c r="G221" i="62"/>
  <c r="G231" i="62"/>
  <c r="G233" i="62"/>
  <c r="G115" i="62"/>
  <c r="G159" i="62"/>
  <c r="G161" i="62"/>
  <c r="G163" i="62"/>
  <c r="G227" i="62"/>
  <c r="G230" i="62"/>
  <c r="G130" i="62"/>
  <c r="G219" i="62"/>
  <c r="G220" i="62"/>
  <c r="G225" i="62"/>
  <c r="G175" i="62"/>
  <c r="G179" i="62"/>
  <c r="G155" i="62"/>
  <c r="G176" i="62"/>
  <c r="G142" i="62"/>
  <c r="G117" i="62"/>
  <c r="G234" i="62"/>
  <c r="G232" i="62"/>
  <c r="F7" i="63"/>
  <c r="I80" i="46" s="1"/>
  <c r="H76" i="46"/>
  <c r="E20" i="63" s="1"/>
  <c r="H8" i="46"/>
  <c r="H8" i="47"/>
  <c r="H8" i="34"/>
  <c r="H59" i="34" s="1"/>
  <c r="H8" i="18"/>
  <c r="J9" i="41"/>
  <c r="I242" i="62" l="1"/>
  <c r="I16" i="62"/>
  <c r="H17" i="62"/>
  <c r="G55" i="61" s="1"/>
  <c r="G29" i="67"/>
  <c r="H19" i="62"/>
  <c r="G23" i="67"/>
  <c r="H20" i="62"/>
  <c r="G58" i="61" s="1"/>
  <c r="G24" i="67"/>
  <c r="H22" i="62"/>
  <c r="G60" i="61" s="1"/>
  <c r="G25" i="67"/>
  <c r="H60" i="38"/>
  <c r="I60" i="38" s="1"/>
  <c r="J60" i="38" s="1"/>
  <c r="K60" i="38" s="1"/>
  <c r="L60" i="38" s="1"/>
  <c r="M60" i="38" s="1"/>
  <c r="N60" i="38" s="1"/>
  <c r="O60" i="38" s="1"/>
  <c r="P60" i="38" s="1"/>
  <c r="Q60" i="38" s="1"/>
  <c r="I141" i="62"/>
  <c r="I295" i="62" s="1"/>
  <c r="I252" i="62"/>
  <c r="H85" i="46"/>
  <c r="I251" i="62"/>
  <c r="I51" i="62"/>
  <c r="I212" i="62"/>
  <c r="I366" i="62" s="1"/>
  <c r="I129" i="62"/>
  <c r="I290" i="62" s="1"/>
  <c r="I250" i="62"/>
  <c r="I228" i="62"/>
  <c r="I382" i="62" s="1"/>
  <c r="I192" i="62"/>
  <c r="I346" i="62" s="1"/>
  <c r="I355" i="62"/>
  <c r="I261" i="62"/>
  <c r="I164" i="62"/>
  <c r="I318" i="62" s="1"/>
  <c r="I234" i="62"/>
  <c r="I388" i="62" s="1"/>
  <c r="I149" i="62"/>
  <c r="I303" i="62" s="1"/>
  <c r="I114" i="62"/>
  <c r="I275" i="62" s="1"/>
  <c r="I221" i="62"/>
  <c r="I375" i="62" s="1"/>
  <c r="I163" i="62"/>
  <c r="I317" i="62" s="1"/>
  <c r="I124" i="62"/>
  <c r="I285" i="62" s="1"/>
  <c r="I197" i="62"/>
  <c r="I351" i="62" s="1"/>
  <c r="I218" i="62"/>
  <c r="I372" i="62" s="1"/>
  <c r="I364" i="62"/>
  <c r="I191" i="62"/>
  <c r="I345" i="62" s="1"/>
  <c r="I232" i="62"/>
  <c r="I386" i="62" s="1"/>
  <c r="I154" i="62"/>
  <c r="I308" i="62" s="1"/>
  <c r="I227" i="62"/>
  <c r="I381" i="62" s="1"/>
  <c r="I354" i="62"/>
  <c r="I148" i="62"/>
  <c r="I302" i="62" s="1"/>
  <c r="I161" i="62"/>
  <c r="I315" i="62" s="1"/>
  <c r="I105" i="62"/>
  <c r="I268" i="62" s="1"/>
  <c r="I260" i="62"/>
  <c r="I113" i="62"/>
  <c r="I274" i="62" s="1"/>
  <c r="I123" i="62"/>
  <c r="I284" i="62" s="1"/>
  <c r="I360" i="62"/>
  <c r="I219" i="62"/>
  <c r="I373" i="62" s="1"/>
  <c r="I188" i="62"/>
  <c r="I342" i="62" s="1"/>
  <c r="I215" i="62"/>
  <c r="I369" i="62" s="1"/>
  <c r="I183" i="62"/>
  <c r="I337" i="62" s="1"/>
  <c r="I224" i="62"/>
  <c r="I378" i="62" s="1"/>
  <c r="I177" i="62"/>
  <c r="I331" i="62" s="1"/>
  <c r="I145" i="62"/>
  <c r="I299" i="62" s="1"/>
  <c r="I158" i="62"/>
  <c r="I312" i="62" s="1"/>
  <c r="I265" i="62"/>
  <c r="I118" i="62"/>
  <c r="I279" i="62" s="1"/>
  <c r="I128" i="62"/>
  <c r="I289" i="62" s="1"/>
  <c r="I244" i="62"/>
  <c r="I171" i="62"/>
  <c r="I325" i="62" s="1"/>
  <c r="I216" i="62"/>
  <c r="I370" i="62" s="1"/>
  <c r="I362" i="62"/>
  <c r="I363" i="62"/>
  <c r="I187" i="62"/>
  <c r="I341" i="62" s="1"/>
  <c r="I213" i="62"/>
  <c r="I367" i="62" s="1"/>
  <c r="I182" i="62"/>
  <c r="I336" i="62" s="1"/>
  <c r="I358" i="62"/>
  <c r="I176" i="62"/>
  <c r="I330" i="62" s="1"/>
  <c r="I157" i="62"/>
  <c r="I311" i="62" s="1"/>
  <c r="I264" i="62"/>
  <c r="I117" i="62"/>
  <c r="I278" i="62" s="1"/>
  <c r="I127" i="62"/>
  <c r="I288" i="62" s="1"/>
  <c r="I243" i="62"/>
  <c r="H293" i="62"/>
  <c r="H247" i="62"/>
  <c r="H254" i="62"/>
  <c r="H269" i="62"/>
  <c r="G86" i="62"/>
  <c r="H94" i="62"/>
  <c r="I151" i="62"/>
  <c r="I305" i="62" s="1"/>
  <c r="I194" i="62"/>
  <c r="I348" i="62" s="1"/>
  <c r="I214" i="62"/>
  <c r="I368" i="62" s="1"/>
  <c r="I170" i="62"/>
  <c r="I324" i="62" s="1"/>
  <c r="I152" i="62"/>
  <c r="I306" i="62" s="1"/>
  <c r="I167" i="62"/>
  <c r="I321" i="62" s="1"/>
  <c r="I361" i="62"/>
  <c r="I190" i="62"/>
  <c r="I344" i="62" s="1"/>
  <c r="I173" i="62"/>
  <c r="I327" i="62" s="1"/>
  <c r="I230" i="62"/>
  <c r="I384" i="62" s="1"/>
  <c r="I195" i="62"/>
  <c r="I349" i="62" s="1"/>
  <c r="I185" i="62"/>
  <c r="I339" i="62" s="1"/>
  <c r="I181" i="62"/>
  <c r="I335" i="62" s="1"/>
  <c r="I226" i="62"/>
  <c r="I380" i="62" s="1"/>
  <c r="I357" i="62"/>
  <c r="I179" i="62"/>
  <c r="I333" i="62" s="1"/>
  <c r="I175" i="62"/>
  <c r="I329" i="62" s="1"/>
  <c r="I147" i="62"/>
  <c r="I301" i="62" s="1"/>
  <c r="I143" i="62"/>
  <c r="I297" i="62" s="1"/>
  <c r="I160" i="62"/>
  <c r="I314" i="62" s="1"/>
  <c r="I131" i="62"/>
  <c r="I292" i="62" s="1"/>
  <c r="I267" i="62"/>
  <c r="I263" i="62"/>
  <c r="I92" i="62"/>
  <c r="I253" i="62" s="1"/>
  <c r="I116" i="62"/>
  <c r="I277" i="62" s="1"/>
  <c r="I112" i="62"/>
  <c r="I273" i="62" s="1"/>
  <c r="I126" i="62"/>
  <c r="I287" i="62" s="1"/>
  <c r="I246" i="62"/>
  <c r="H390" i="62"/>
  <c r="I222" i="62"/>
  <c r="I376" i="62" s="1"/>
  <c r="I166" i="62"/>
  <c r="I320" i="62" s="1"/>
  <c r="I198" i="62"/>
  <c r="I352" i="62" s="1"/>
  <c r="I233" i="62"/>
  <c r="I387" i="62" s="1"/>
  <c r="I231" i="62"/>
  <c r="I385" i="62" s="1"/>
  <c r="I165" i="62"/>
  <c r="I319" i="62" s="1"/>
  <c r="I196" i="62"/>
  <c r="I350" i="62" s="1"/>
  <c r="I189" i="62"/>
  <c r="I343" i="62" s="1"/>
  <c r="I169" i="62"/>
  <c r="I323" i="62" s="1"/>
  <c r="I220" i="62"/>
  <c r="I374" i="62" s="1"/>
  <c r="I172" i="62"/>
  <c r="I326" i="62" s="1"/>
  <c r="I184" i="62"/>
  <c r="I338" i="62" s="1"/>
  <c r="I155" i="62"/>
  <c r="I309" i="62" s="1"/>
  <c r="I225" i="62"/>
  <c r="I379" i="62" s="1"/>
  <c r="I356" i="62"/>
  <c r="I178" i="62"/>
  <c r="I332" i="62" s="1"/>
  <c r="I153" i="62"/>
  <c r="I307" i="62" s="1"/>
  <c r="I146" i="62"/>
  <c r="I300" i="62" s="1"/>
  <c r="I142" i="62"/>
  <c r="I296" i="62" s="1"/>
  <c r="I159" i="62"/>
  <c r="I313" i="62" s="1"/>
  <c r="I130" i="62"/>
  <c r="I291" i="62" s="1"/>
  <c r="I266" i="62"/>
  <c r="I262" i="62"/>
  <c r="I119" i="62"/>
  <c r="I280" i="62" s="1"/>
  <c r="I115" i="62"/>
  <c r="I276" i="62" s="1"/>
  <c r="I111" i="62"/>
  <c r="I272" i="62" s="1"/>
  <c r="I125" i="62"/>
  <c r="I286" i="62" s="1"/>
  <c r="I245" i="62"/>
  <c r="H134" i="62"/>
  <c r="H281" i="62"/>
  <c r="G278" i="62"/>
  <c r="G329" i="62"/>
  <c r="G362" i="62"/>
  <c r="G355" i="62"/>
  <c r="G378" i="62"/>
  <c r="G338" i="62"/>
  <c r="G132" i="62"/>
  <c r="G21" i="62" s="1"/>
  <c r="F59" i="61" s="1"/>
  <c r="G284" i="62"/>
  <c r="G326" i="62"/>
  <c r="G368" i="62"/>
  <c r="G341" i="62"/>
  <c r="G318" i="62"/>
  <c r="G243" i="62"/>
  <c r="G300" i="62"/>
  <c r="G264" i="62"/>
  <c r="I7" i="46"/>
  <c r="I62" i="46" s="1"/>
  <c r="J9" i="62"/>
  <c r="J50" i="62" s="1"/>
  <c r="G296" i="62"/>
  <c r="G364" i="62"/>
  <c r="G379" i="62"/>
  <c r="G291" i="62"/>
  <c r="G317" i="62"/>
  <c r="G387" i="62"/>
  <c r="G332" i="62"/>
  <c r="G244" i="62"/>
  <c r="G376" i="62"/>
  <c r="G358" i="62"/>
  <c r="G337" i="62"/>
  <c r="G311" i="62"/>
  <c r="G274" i="62"/>
  <c r="G349" i="62"/>
  <c r="G325" i="62"/>
  <c r="G312" i="62"/>
  <c r="G367" i="62"/>
  <c r="G344" i="62"/>
  <c r="G321" i="62"/>
  <c r="G308" i="62"/>
  <c r="G277" i="62"/>
  <c r="G307" i="62"/>
  <c r="G303" i="62"/>
  <c r="G299" i="62"/>
  <c r="G285" i="62"/>
  <c r="G267" i="62"/>
  <c r="G263" i="62"/>
  <c r="G386" i="62"/>
  <c r="G330" i="62"/>
  <c r="G356" i="62"/>
  <c r="G374" i="62"/>
  <c r="G384" i="62"/>
  <c r="G315" i="62"/>
  <c r="G385" i="62"/>
  <c r="G297" i="62"/>
  <c r="G382" i="62"/>
  <c r="G372" i="62"/>
  <c r="G354" i="62"/>
  <c r="G336" i="62"/>
  <c r="G290" i="62"/>
  <c r="G352" i="62"/>
  <c r="G348" i="62"/>
  <c r="G324" i="62"/>
  <c r="G370" i="62"/>
  <c r="G366" i="62"/>
  <c r="G343" i="62"/>
  <c r="G320" i="62"/>
  <c r="G292" i="62"/>
  <c r="G275" i="62"/>
  <c r="G306" i="62"/>
  <c r="G302" i="62"/>
  <c r="G236" i="62"/>
  <c r="G295" i="62"/>
  <c r="G246" i="62"/>
  <c r="G251" i="62"/>
  <c r="G266" i="62"/>
  <c r="G262" i="62"/>
  <c r="G309" i="62"/>
  <c r="G360" i="62"/>
  <c r="G276" i="62"/>
  <c r="G272" i="62"/>
  <c r="G120" i="62"/>
  <c r="G361" i="62"/>
  <c r="G331" i="62"/>
  <c r="G350" i="62"/>
  <c r="G314" i="62"/>
  <c r="G345" i="62"/>
  <c r="G279" i="62"/>
  <c r="G245" i="62"/>
  <c r="G287" i="62"/>
  <c r="G268" i="62"/>
  <c r="G106" i="62"/>
  <c r="G260" i="62"/>
  <c r="G388" i="62"/>
  <c r="G357" i="62"/>
  <c r="G333" i="62"/>
  <c r="G373" i="62"/>
  <c r="G381" i="62"/>
  <c r="G313" i="62"/>
  <c r="G375" i="62"/>
  <c r="G280" i="62"/>
  <c r="G380" i="62"/>
  <c r="G363" i="62"/>
  <c r="G339" i="62"/>
  <c r="G335" i="62"/>
  <c r="G288" i="62"/>
  <c r="G351" i="62"/>
  <c r="G327" i="62"/>
  <c r="G323" i="62"/>
  <c r="G369" i="62"/>
  <c r="G346" i="62"/>
  <c r="G342" i="62"/>
  <c r="G319" i="62"/>
  <c r="G286" i="62"/>
  <c r="G273" i="62"/>
  <c r="G305" i="62"/>
  <c r="G301" i="62"/>
  <c r="G289" i="62"/>
  <c r="G242" i="62"/>
  <c r="G250" i="62"/>
  <c r="G265" i="62"/>
  <c r="G261" i="62"/>
  <c r="H43" i="18"/>
  <c r="H77" i="46"/>
  <c r="I7" i="34"/>
  <c r="I58" i="34" s="1"/>
  <c r="F8" i="63"/>
  <c r="I81" i="46" s="1"/>
  <c r="G57" i="61" l="1"/>
  <c r="H31" i="62"/>
  <c r="G26" i="67"/>
  <c r="G31" i="67" s="1"/>
  <c r="G22" i="62"/>
  <c r="F60" i="61" s="1"/>
  <c r="F25" i="67"/>
  <c r="H18" i="62"/>
  <c r="G56" i="61" s="1"/>
  <c r="G32" i="67"/>
  <c r="G17" i="62"/>
  <c r="F55" i="61" s="1"/>
  <c r="F29" i="67"/>
  <c r="F30" i="67" s="1"/>
  <c r="H82" i="61"/>
  <c r="G38" i="67"/>
  <c r="G35" i="67"/>
  <c r="G30" i="67"/>
  <c r="G39" i="67"/>
  <c r="G19" i="62"/>
  <c r="F23" i="67"/>
  <c r="G20" i="62"/>
  <c r="F58" i="61" s="1"/>
  <c r="F24" i="67"/>
  <c r="G37" i="67"/>
  <c r="H113" i="67"/>
  <c r="I293" i="62"/>
  <c r="I106" i="62"/>
  <c r="I108" i="62" s="1"/>
  <c r="H237" i="62"/>
  <c r="I132" i="62"/>
  <c r="I21" i="62" s="1"/>
  <c r="H59" i="61" s="1"/>
  <c r="H135" i="62"/>
  <c r="I236" i="62"/>
  <c r="H256" i="62"/>
  <c r="H394" i="62" s="1"/>
  <c r="I120" i="62"/>
  <c r="I86" i="62"/>
  <c r="I63" i="46"/>
  <c r="I76" i="46" s="1"/>
  <c r="G247" i="62"/>
  <c r="G134" i="62"/>
  <c r="G237" i="62" s="1"/>
  <c r="I254" i="62"/>
  <c r="I8" i="34"/>
  <c r="I59" i="34" s="1"/>
  <c r="J10" i="62"/>
  <c r="J16" i="62" s="1"/>
  <c r="G269" i="62"/>
  <c r="G94" i="62"/>
  <c r="G254" i="62"/>
  <c r="G281" i="62"/>
  <c r="G390" i="62"/>
  <c r="G293" i="62"/>
  <c r="I8" i="46"/>
  <c r="I8" i="18"/>
  <c r="I8" i="47"/>
  <c r="G7" i="63"/>
  <c r="J80" i="46" s="1"/>
  <c r="G34" i="67" l="1"/>
  <c r="G27" i="67"/>
  <c r="G61" i="61"/>
  <c r="F57" i="61"/>
  <c r="G31" i="62"/>
  <c r="G32" i="62" s="1"/>
  <c r="H23" i="62"/>
  <c r="G92" i="61" s="1"/>
  <c r="I17" i="62"/>
  <c r="H55" i="61" s="1"/>
  <c r="H29" i="67"/>
  <c r="G82" i="61"/>
  <c r="G18" i="62"/>
  <c r="G23" i="62" s="1"/>
  <c r="F32" i="67"/>
  <c r="I20" i="62"/>
  <c r="H58" i="61" s="1"/>
  <c r="H24" i="67"/>
  <c r="F26" i="67"/>
  <c r="F31" i="67" s="1"/>
  <c r="I22" i="62"/>
  <c r="H60" i="61" s="1"/>
  <c r="H25" i="67"/>
  <c r="I19" i="62"/>
  <c r="H23" i="67"/>
  <c r="G33" i="67"/>
  <c r="G36" i="67"/>
  <c r="J242" i="62"/>
  <c r="J252" i="62"/>
  <c r="J51" i="62"/>
  <c r="J141" i="62"/>
  <c r="J295" i="62" s="1"/>
  <c r="I390" i="62"/>
  <c r="H396" i="62"/>
  <c r="I43" i="18"/>
  <c r="F20" i="63"/>
  <c r="I71" i="46"/>
  <c r="I74" i="46" s="1"/>
  <c r="I77" i="46" s="1"/>
  <c r="I281" i="62"/>
  <c r="I269" i="62"/>
  <c r="I247" i="62"/>
  <c r="I94" i="62"/>
  <c r="I134" i="62"/>
  <c r="I237" i="62" s="1"/>
  <c r="J250" i="62"/>
  <c r="J251" i="62"/>
  <c r="J92" i="62"/>
  <c r="J253" i="62" s="1"/>
  <c r="J243" i="62"/>
  <c r="J244" i="62"/>
  <c r="J245" i="62"/>
  <c r="J246" i="62"/>
  <c r="J123" i="62"/>
  <c r="J284" i="62" s="1"/>
  <c r="J111" i="62"/>
  <c r="J272" i="62" s="1"/>
  <c r="J112" i="62"/>
  <c r="J273" i="62" s="1"/>
  <c r="J113" i="62"/>
  <c r="J274" i="62" s="1"/>
  <c r="J114" i="62"/>
  <c r="J275" i="62" s="1"/>
  <c r="J115" i="62"/>
  <c r="J276" i="62" s="1"/>
  <c r="J116" i="62"/>
  <c r="J277" i="62" s="1"/>
  <c r="J117" i="62"/>
  <c r="J278" i="62" s="1"/>
  <c r="J118" i="62"/>
  <c r="J279" i="62" s="1"/>
  <c r="J119" i="62"/>
  <c r="J280" i="62" s="1"/>
  <c r="J125" i="62"/>
  <c r="J286" i="62" s="1"/>
  <c r="J127" i="62"/>
  <c r="J288" i="62" s="1"/>
  <c r="J151" i="62"/>
  <c r="J305" i="62" s="1"/>
  <c r="J152" i="62"/>
  <c r="J306" i="62" s="1"/>
  <c r="J153" i="62"/>
  <c r="J307" i="62" s="1"/>
  <c r="J154" i="62"/>
  <c r="J308" i="62" s="1"/>
  <c r="J155" i="62"/>
  <c r="J309" i="62" s="1"/>
  <c r="J260" i="62"/>
  <c r="J261" i="62"/>
  <c r="J262" i="62"/>
  <c r="J263" i="62"/>
  <c r="J264" i="62"/>
  <c r="J265" i="62"/>
  <c r="J266" i="62"/>
  <c r="J267" i="62"/>
  <c r="J105" i="62"/>
  <c r="J268" i="62" s="1"/>
  <c r="J129" i="62"/>
  <c r="J290" i="62" s="1"/>
  <c r="J130" i="62"/>
  <c r="J291" i="62" s="1"/>
  <c r="J131" i="62"/>
  <c r="J292" i="62" s="1"/>
  <c r="J126" i="62"/>
  <c r="J287" i="62" s="1"/>
  <c r="J142" i="62"/>
  <c r="J296" i="62" s="1"/>
  <c r="J143" i="62"/>
  <c r="J297" i="62" s="1"/>
  <c r="J163" i="62"/>
  <c r="J317" i="62" s="1"/>
  <c r="J169" i="62"/>
  <c r="J323" i="62" s="1"/>
  <c r="J170" i="62"/>
  <c r="J324" i="62" s="1"/>
  <c r="J171" i="62"/>
  <c r="J325" i="62" s="1"/>
  <c r="J172" i="62"/>
  <c r="J326" i="62" s="1"/>
  <c r="J173" i="62"/>
  <c r="J327" i="62" s="1"/>
  <c r="J194" i="62"/>
  <c r="J348" i="62" s="1"/>
  <c r="J195" i="62"/>
  <c r="J349" i="62" s="1"/>
  <c r="J196" i="62"/>
  <c r="J350" i="62" s="1"/>
  <c r="J197" i="62"/>
  <c r="J351" i="62" s="1"/>
  <c r="J198" i="62"/>
  <c r="J352" i="62" s="1"/>
  <c r="J218" i="62"/>
  <c r="J372" i="62" s="1"/>
  <c r="J219" i="62"/>
  <c r="J373" i="62" s="1"/>
  <c r="J220" i="62"/>
  <c r="J374" i="62" s="1"/>
  <c r="J221" i="62"/>
  <c r="J375" i="62" s="1"/>
  <c r="J222" i="62"/>
  <c r="J376" i="62" s="1"/>
  <c r="J124" i="62"/>
  <c r="J285" i="62" s="1"/>
  <c r="J145" i="62"/>
  <c r="J299" i="62" s="1"/>
  <c r="J146" i="62"/>
  <c r="J300" i="62" s="1"/>
  <c r="J147" i="62"/>
  <c r="J301" i="62" s="1"/>
  <c r="J148" i="62"/>
  <c r="J302" i="62" s="1"/>
  <c r="J149" i="62"/>
  <c r="J303" i="62" s="1"/>
  <c r="J157" i="62"/>
  <c r="J311" i="62" s="1"/>
  <c r="J159" i="62"/>
  <c r="J313" i="62" s="1"/>
  <c r="J161" i="62"/>
  <c r="J315" i="62" s="1"/>
  <c r="J175" i="62"/>
  <c r="J329" i="62" s="1"/>
  <c r="J176" i="62"/>
  <c r="J330" i="62" s="1"/>
  <c r="J177" i="62"/>
  <c r="J331" i="62" s="1"/>
  <c r="J178" i="62"/>
  <c r="J332" i="62" s="1"/>
  <c r="J179" i="62"/>
  <c r="J333" i="62" s="1"/>
  <c r="J354" i="62"/>
  <c r="J355" i="62"/>
  <c r="J356" i="62"/>
  <c r="J357" i="62"/>
  <c r="J358" i="62"/>
  <c r="J160" i="62"/>
  <c r="J314" i="62" s="1"/>
  <c r="J164" i="62"/>
  <c r="J318" i="62" s="1"/>
  <c r="J165" i="62"/>
  <c r="J319" i="62" s="1"/>
  <c r="J166" i="62"/>
  <c r="J320" i="62" s="1"/>
  <c r="J167" i="62"/>
  <c r="J321" i="62" s="1"/>
  <c r="J360" i="62"/>
  <c r="J362" i="62"/>
  <c r="J364" i="62"/>
  <c r="J225" i="62"/>
  <c r="J379" i="62" s="1"/>
  <c r="J227" i="62"/>
  <c r="J381" i="62" s="1"/>
  <c r="J158" i="62"/>
  <c r="J312" i="62" s="1"/>
  <c r="J181" i="62"/>
  <c r="J335" i="62" s="1"/>
  <c r="J182" i="62"/>
  <c r="J336" i="62" s="1"/>
  <c r="J183" i="62"/>
  <c r="J337" i="62" s="1"/>
  <c r="J184" i="62"/>
  <c r="J338" i="62" s="1"/>
  <c r="J185" i="62"/>
  <c r="J339" i="62" s="1"/>
  <c r="J213" i="62"/>
  <c r="J367" i="62" s="1"/>
  <c r="J215" i="62"/>
  <c r="J369" i="62" s="1"/>
  <c r="J230" i="62"/>
  <c r="J384" i="62" s="1"/>
  <c r="J232" i="62"/>
  <c r="J386" i="62" s="1"/>
  <c r="J234" i="62"/>
  <c r="J388" i="62" s="1"/>
  <c r="J189" i="62"/>
  <c r="J343" i="62" s="1"/>
  <c r="J363" i="62"/>
  <c r="J214" i="62"/>
  <c r="J368" i="62" s="1"/>
  <c r="J228" i="62"/>
  <c r="J382" i="62" s="1"/>
  <c r="J233" i="62"/>
  <c r="J387" i="62" s="1"/>
  <c r="J188" i="62"/>
  <c r="J342" i="62" s="1"/>
  <c r="J192" i="62"/>
  <c r="J346" i="62" s="1"/>
  <c r="J361" i="62"/>
  <c r="J212" i="62"/>
  <c r="J366" i="62" s="1"/>
  <c r="J226" i="62"/>
  <c r="J380" i="62" s="1"/>
  <c r="J231" i="62"/>
  <c r="J385" i="62" s="1"/>
  <c r="J128" i="62"/>
  <c r="J289" i="62" s="1"/>
  <c r="J187" i="62"/>
  <c r="J341" i="62" s="1"/>
  <c r="J191" i="62"/>
  <c r="J345" i="62" s="1"/>
  <c r="J216" i="62"/>
  <c r="J370" i="62" s="1"/>
  <c r="J224" i="62"/>
  <c r="J378" i="62" s="1"/>
  <c r="J190" i="62"/>
  <c r="J344" i="62" s="1"/>
  <c r="G256" i="62"/>
  <c r="G394" i="62" s="1"/>
  <c r="J7" i="46"/>
  <c r="J62" i="46" s="1"/>
  <c r="K9" i="62"/>
  <c r="K50" i="62" s="1"/>
  <c r="G135" i="62"/>
  <c r="G8" i="63"/>
  <c r="J81" i="46" s="1"/>
  <c r="J7" i="34"/>
  <c r="J58" i="34" s="1"/>
  <c r="H27" i="62" l="1"/>
  <c r="H416" i="62"/>
  <c r="H419" i="62"/>
  <c r="G12" i="34"/>
  <c r="G38" i="34" s="1"/>
  <c r="H413" i="62"/>
  <c r="H57" i="61"/>
  <c r="I31" i="62"/>
  <c r="G65" i="61"/>
  <c r="G93" i="61"/>
  <c r="G23" i="34"/>
  <c r="H455" i="62"/>
  <c r="G94" i="61"/>
  <c r="G20" i="67"/>
  <c r="G21" i="67" s="1"/>
  <c r="G47" i="67" s="1"/>
  <c r="H401" i="62"/>
  <c r="H38" i="62" s="1"/>
  <c r="F56" i="61"/>
  <c r="F61" i="61" s="1"/>
  <c r="H37" i="67"/>
  <c r="I82" i="61"/>
  <c r="G401" i="62"/>
  <c r="G38" i="62" s="1"/>
  <c r="F20" i="67"/>
  <c r="H39" i="67"/>
  <c r="H38" i="67"/>
  <c r="H35" i="67"/>
  <c r="H30" i="67"/>
  <c r="I18" i="62"/>
  <c r="I23" i="62" s="1"/>
  <c r="H32" i="67"/>
  <c r="H26" i="67"/>
  <c r="I113" i="67"/>
  <c r="J293" i="62"/>
  <c r="I256" i="62"/>
  <c r="G95" i="61"/>
  <c r="G27" i="62"/>
  <c r="H95" i="61"/>
  <c r="G396" i="62"/>
  <c r="G410" i="62" s="1"/>
  <c r="G39" i="34"/>
  <c r="G419" i="62"/>
  <c r="I85" i="46"/>
  <c r="G37" i="34"/>
  <c r="G17" i="34"/>
  <c r="H410" i="62"/>
  <c r="H35" i="62"/>
  <c r="G22" i="34"/>
  <c r="J63" i="46"/>
  <c r="J71" i="46" s="1"/>
  <c r="J74" i="46" s="1"/>
  <c r="G413" i="62"/>
  <c r="G455" i="62"/>
  <c r="G416" i="62"/>
  <c r="H404" i="62"/>
  <c r="H407" i="62"/>
  <c r="I135" i="62"/>
  <c r="J236" i="62"/>
  <c r="J132" i="62"/>
  <c r="J21" i="62" s="1"/>
  <c r="I59" i="61" s="1"/>
  <c r="J86" i="62"/>
  <c r="J8" i="47"/>
  <c r="K10" i="62"/>
  <c r="K16" i="62" s="1"/>
  <c r="J106" i="62"/>
  <c r="J108" i="62" s="1"/>
  <c r="J120" i="62"/>
  <c r="J8" i="34"/>
  <c r="J59" i="34" s="1"/>
  <c r="H7" i="63"/>
  <c r="K80" i="46" s="1"/>
  <c r="J8" i="46"/>
  <c r="J8" i="18"/>
  <c r="J76" i="46"/>
  <c r="G20" i="63" s="1"/>
  <c r="E27" i="38"/>
  <c r="D27" i="38" s="1"/>
  <c r="G141" i="38" l="1"/>
  <c r="I141" i="38"/>
  <c r="O141" i="38"/>
  <c r="M141" i="38"/>
  <c r="F141" i="38"/>
  <c r="H141" i="38"/>
  <c r="N141" i="38"/>
  <c r="L141" i="38"/>
  <c r="J141" i="38"/>
  <c r="K141" i="38"/>
  <c r="P141" i="38"/>
  <c r="Q141" i="38"/>
  <c r="H56" i="61"/>
  <c r="H61" i="61" s="1"/>
  <c r="H27" i="67"/>
  <c r="H34" i="67"/>
  <c r="H31" i="67"/>
  <c r="J22" i="62"/>
  <c r="I60" i="61" s="1"/>
  <c r="I25" i="67"/>
  <c r="J19" i="62"/>
  <c r="I23" i="67"/>
  <c r="I401" i="62"/>
  <c r="I38" i="62" s="1"/>
  <c r="H20" i="67"/>
  <c r="H21" i="67" s="1"/>
  <c r="H47" i="67" s="1"/>
  <c r="H36" i="67"/>
  <c r="H33" i="67"/>
  <c r="J20" i="62"/>
  <c r="I58" i="61" s="1"/>
  <c r="I24" i="67"/>
  <c r="J17" i="62"/>
  <c r="I55" i="61" s="1"/>
  <c r="I29" i="67"/>
  <c r="F21" i="67"/>
  <c r="I394" i="62"/>
  <c r="I396" i="62" s="1"/>
  <c r="K242" i="62"/>
  <c r="K252" i="62"/>
  <c r="H12" i="34"/>
  <c r="H38" i="34" s="1"/>
  <c r="K51" i="62"/>
  <c r="K141" i="62"/>
  <c r="K295" i="62" s="1"/>
  <c r="G35" i="62"/>
  <c r="I95" i="61"/>
  <c r="I27" i="62"/>
  <c r="G407" i="62"/>
  <c r="G39" i="62" s="1"/>
  <c r="H94" i="61"/>
  <c r="H92" i="61"/>
  <c r="H93" i="61"/>
  <c r="G404" i="62"/>
  <c r="H421" i="62"/>
  <c r="I419" i="62"/>
  <c r="J85" i="46"/>
  <c r="H39" i="62"/>
  <c r="I413" i="62"/>
  <c r="H17" i="34"/>
  <c r="H37" i="34"/>
  <c r="I416" i="62"/>
  <c r="H65" i="61"/>
  <c r="H39" i="34"/>
  <c r="H23" i="34"/>
  <c r="H22" i="34"/>
  <c r="I455" i="62"/>
  <c r="J281" i="62"/>
  <c r="J269" i="62"/>
  <c r="K7" i="46"/>
  <c r="K63" i="46" s="1"/>
  <c r="L9" i="62"/>
  <c r="L50" i="62" s="1"/>
  <c r="J134" i="62"/>
  <c r="J237" i="62" s="1"/>
  <c r="J94" i="62"/>
  <c r="J254" i="62"/>
  <c r="J247" i="62"/>
  <c r="K260" i="62"/>
  <c r="K261" i="62"/>
  <c r="K262" i="62"/>
  <c r="K263" i="62"/>
  <c r="K264" i="62"/>
  <c r="K265" i="62"/>
  <c r="K266" i="62"/>
  <c r="K267" i="62"/>
  <c r="K105" i="62"/>
  <c r="K268" i="62" s="1"/>
  <c r="K250" i="62"/>
  <c r="K251" i="62"/>
  <c r="K92" i="62"/>
  <c r="K253" i="62" s="1"/>
  <c r="K243" i="62"/>
  <c r="K145" i="62"/>
  <c r="K299" i="62" s="1"/>
  <c r="K146" i="62"/>
  <c r="K300" i="62" s="1"/>
  <c r="K147" i="62"/>
  <c r="K301" i="62" s="1"/>
  <c r="K148" i="62"/>
  <c r="K302" i="62" s="1"/>
  <c r="K149" i="62"/>
  <c r="K303" i="62" s="1"/>
  <c r="K246" i="62"/>
  <c r="K111" i="62"/>
  <c r="K272" i="62" s="1"/>
  <c r="K112" i="62"/>
  <c r="K273" i="62" s="1"/>
  <c r="K113" i="62"/>
  <c r="K274" i="62" s="1"/>
  <c r="K114" i="62"/>
  <c r="K275" i="62" s="1"/>
  <c r="K115" i="62"/>
  <c r="K276" i="62" s="1"/>
  <c r="K116" i="62"/>
  <c r="K277" i="62" s="1"/>
  <c r="K117" i="62"/>
  <c r="K278" i="62" s="1"/>
  <c r="K118" i="62"/>
  <c r="K279" i="62" s="1"/>
  <c r="K119" i="62"/>
  <c r="K280" i="62" s="1"/>
  <c r="K123" i="62"/>
  <c r="K284" i="62" s="1"/>
  <c r="K125" i="62"/>
  <c r="K286" i="62" s="1"/>
  <c r="K127" i="62"/>
  <c r="K288" i="62" s="1"/>
  <c r="K151" i="62"/>
  <c r="K305" i="62" s="1"/>
  <c r="K152" i="62"/>
  <c r="K306" i="62" s="1"/>
  <c r="K153" i="62"/>
  <c r="K307" i="62" s="1"/>
  <c r="K128" i="62"/>
  <c r="K289" i="62" s="1"/>
  <c r="K129" i="62"/>
  <c r="K290" i="62" s="1"/>
  <c r="K158" i="62"/>
  <c r="K312" i="62" s="1"/>
  <c r="K160" i="62"/>
  <c r="K314" i="62" s="1"/>
  <c r="K164" i="62"/>
  <c r="K318" i="62" s="1"/>
  <c r="K165" i="62"/>
  <c r="K319" i="62" s="1"/>
  <c r="K166" i="62"/>
  <c r="K320" i="62" s="1"/>
  <c r="K167" i="62"/>
  <c r="K321" i="62" s="1"/>
  <c r="K187" i="62"/>
  <c r="K341" i="62" s="1"/>
  <c r="K188" i="62"/>
  <c r="K342" i="62" s="1"/>
  <c r="K189" i="62"/>
  <c r="K343" i="62" s="1"/>
  <c r="K190" i="62"/>
  <c r="K344" i="62" s="1"/>
  <c r="K191" i="62"/>
  <c r="K345" i="62" s="1"/>
  <c r="K192" i="62"/>
  <c r="K346" i="62" s="1"/>
  <c r="K212" i="62"/>
  <c r="K366" i="62" s="1"/>
  <c r="K213" i="62"/>
  <c r="K367" i="62" s="1"/>
  <c r="K214" i="62"/>
  <c r="K368" i="62" s="1"/>
  <c r="K215" i="62"/>
  <c r="K369" i="62" s="1"/>
  <c r="K216" i="62"/>
  <c r="K370" i="62" s="1"/>
  <c r="K245" i="62"/>
  <c r="K126" i="62"/>
  <c r="K287" i="62" s="1"/>
  <c r="K130" i="62"/>
  <c r="K291" i="62" s="1"/>
  <c r="K142" i="62"/>
  <c r="K296" i="62" s="1"/>
  <c r="K143" i="62"/>
  <c r="K297" i="62" s="1"/>
  <c r="K163" i="62"/>
  <c r="K317" i="62" s="1"/>
  <c r="K169" i="62"/>
  <c r="K323" i="62" s="1"/>
  <c r="K170" i="62"/>
  <c r="K324" i="62" s="1"/>
  <c r="K171" i="62"/>
  <c r="K325" i="62" s="1"/>
  <c r="K172" i="62"/>
  <c r="K326" i="62" s="1"/>
  <c r="K173" i="62"/>
  <c r="K327" i="62" s="1"/>
  <c r="K194" i="62"/>
  <c r="K348" i="62" s="1"/>
  <c r="K195" i="62"/>
  <c r="K349" i="62" s="1"/>
  <c r="K196" i="62"/>
  <c r="K350" i="62" s="1"/>
  <c r="K197" i="62"/>
  <c r="K351" i="62" s="1"/>
  <c r="K198" i="62"/>
  <c r="K352" i="62" s="1"/>
  <c r="K155" i="62"/>
  <c r="K309" i="62" s="1"/>
  <c r="K159" i="62"/>
  <c r="K313" i="62" s="1"/>
  <c r="K175" i="62"/>
  <c r="K329" i="62" s="1"/>
  <c r="K179" i="62"/>
  <c r="K333" i="62" s="1"/>
  <c r="K356" i="62"/>
  <c r="K221" i="62"/>
  <c r="K375" i="62" s="1"/>
  <c r="K231" i="62"/>
  <c r="K385" i="62" s="1"/>
  <c r="K233" i="62"/>
  <c r="K387" i="62" s="1"/>
  <c r="K154" i="62"/>
  <c r="K308" i="62" s="1"/>
  <c r="K157" i="62"/>
  <c r="K311" i="62" s="1"/>
  <c r="K176" i="62"/>
  <c r="K330" i="62" s="1"/>
  <c r="K357" i="62"/>
  <c r="K360" i="62"/>
  <c r="K362" i="62"/>
  <c r="K364" i="62"/>
  <c r="K220" i="62"/>
  <c r="K374" i="62" s="1"/>
  <c r="K225" i="62"/>
  <c r="K379" i="62" s="1"/>
  <c r="K227" i="62"/>
  <c r="K381" i="62" s="1"/>
  <c r="K244" i="62"/>
  <c r="K232" i="62"/>
  <c r="K386" i="62" s="1"/>
  <c r="K124" i="62"/>
  <c r="K285" i="62" s="1"/>
  <c r="K161" i="62"/>
  <c r="K315" i="62" s="1"/>
  <c r="K177" i="62"/>
  <c r="K331" i="62" s="1"/>
  <c r="K178" i="62"/>
  <c r="K332" i="62" s="1"/>
  <c r="K182" i="62"/>
  <c r="K336" i="62" s="1"/>
  <c r="K184" i="62"/>
  <c r="K338" i="62" s="1"/>
  <c r="K354" i="62"/>
  <c r="K355" i="62"/>
  <c r="K358" i="62"/>
  <c r="K363" i="62"/>
  <c r="K228" i="62"/>
  <c r="K382" i="62" s="1"/>
  <c r="K230" i="62"/>
  <c r="K384" i="62" s="1"/>
  <c r="K131" i="62"/>
  <c r="K292" i="62" s="1"/>
  <c r="K218" i="62"/>
  <c r="K372" i="62" s="1"/>
  <c r="K222" i="62"/>
  <c r="K376" i="62" s="1"/>
  <c r="K224" i="62"/>
  <c r="K378" i="62" s="1"/>
  <c r="K183" i="62"/>
  <c r="K337" i="62" s="1"/>
  <c r="K361" i="62"/>
  <c r="K181" i="62"/>
  <c r="K335" i="62" s="1"/>
  <c r="K185" i="62"/>
  <c r="K339" i="62" s="1"/>
  <c r="K219" i="62"/>
  <c r="K373" i="62" s="1"/>
  <c r="K226" i="62"/>
  <c r="K380" i="62" s="1"/>
  <c r="K234" i="62"/>
  <c r="K388" i="62" s="1"/>
  <c r="J390" i="62"/>
  <c r="J43" i="18"/>
  <c r="J77" i="46"/>
  <c r="K7" i="34"/>
  <c r="K58" i="34" s="1"/>
  <c r="H8" i="63"/>
  <c r="K81" i="46" s="1"/>
  <c r="K76" i="46"/>
  <c r="H20" i="63" s="1"/>
  <c r="I57" i="61" l="1"/>
  <c r="J31" i="62"/>
  <c r="J82" i="61"/>
  <c r="I38" i="67"/>
  <c r="I37" i="67"/>
  <c r="I26" i="67"/>
  <c r="I39" i="67"/>
  <c r="J18" i="62"/>
  <c r="I56" i="61" s="1"/>
  <c r="I32" i="67"/>
  <c r="I35" i="67"/>
  <c r="I30" i="67"/>
  <c r="J113" i="67"/>
  <c r="I407" i="62"/>
  <c r="I39" i="62" s="1"/>
  <c r="I410" i="62"/>
  <c r="I35" i="62"/>
  <c r="I404" i="62"/>
  <c r="K293" i="62"/>
  <c r="H457" i="62"/>
  <c r="C39" i="38" s="1"/>
  <c r="G421" i="62"/>
  <c r="G457" i="62" s="1"/>
  <c r="P142" i="38"/>
  <c r="L142" i="38"/>
  <c r="H142" i="38"/>
  <c r="O142" i="38"/>
  <c r="K142" i="38"/>
  <c r="G142" i="38"/>
  <c r="M142" i="38"/>
  <c r="N142" i="38"/>
  <c r="J142" i="38"/>
  <c r="F142" i="38"/>
  <c r="Q142" i="38"/>
  <c r="I142" i="38"/>
  <c r="K85" i="46"/>
  <c r="H422" i="62"/>
  <c r="H37" i="62"/>
  <c r="H40" i="62"/>
  <c r="K62" i="46"/>
  <c r="K71" i="46" s="1"/>
  <c r="K74" i="46" s="1"/>
  <c r="K77" i="46" s="1"/>
  <c r="I8" i="63"/>
  <c r="L81" i="46" s="1"/>
  <c r="L10" i="62"/>
  <c r="L16" i="62" s="1"/>
  <c r="K106" i="62"/>
  <c r="K108" i="62" s="1"/>
  <c r="J256" i="62"/>
  <c r="J394" i="62" s="1"/>
  <c r="K120" i="62"/>
  <c r="J135" i="62"/>
  <c r="K86" i="62"/>
  <c r="K236" i="62"/>
  <c r="K132" i="62"/>
  <c r="K21" i="62" s="1"/>
  <c r="J59" i="61" s="1"/>
  <c r="K8" i="34"/>
  <c r="K59" i="34" s="1"/>
  <c r="K43" i="18"/>
  <c r="K8" i="47"/>
  <c r="K8" i="18"/>
  <c r="K8" i="46"/>
  <c r="J23" i="62" l="1"/>
  <c r="I20" i="67" s="1"/>
  <c r="F39" i="38"/>
  <c r="O39" i="38"/>
  <c r="K39" i="38"/>
  <c r="P39" i="38"/>
  <c r="G39" i="38"/>
  <c r="N39" i="38"/>
  <c r="J39" i="38"/>
  <c r="I39" i="38"/>
  <c r="H39" i="38"/>
  <c r="Q39" i="38"/>
  <c r="M39" i="38"/>
  <c r="L39" i="38"/>
  <c r="I61" i="61"/>
  <c r="K17" i="62"/>
  <c r="J55" i="61" s="1"/>
  <c r="J29" i="67"/>
  <c r="K19" i="62"/>
  <c r="J23" i="67"/>
  <c r="J401" i="62"/>
  <c r="J38" i="62" s="1"/>
  <c r="K20" i="62"/>
  <c r="J58" i="61" s="1"/>
  <c r="J24" i="67"/>
  <c r="I36" i="67"/>
  <c r="I33" i="67"/>
  <c r="K22" i="62"/>
  <c r="J60" i="61" s="1"/>
  <c r="J25" i="67"/>
  <c r="I27" i="67"/>
  <c r="I31" i="67"/>
  <c r="I34" i="67"/>
  <c r="K113" i="67"/>
  <c r="I421" i="62"/>
  <c r="I457" i="62" s="1"/>
  <c r="G37" i="62"/>
  <c r="G40" i="62"/>
  <c r="G422" i="62"/>
  <c r="L242" i="62"/>
  <c r="L252" i="62"/>
  <c r="I12" i="34"/>
  <c r="I38" i="34" s="1"/>
  <c r="L51" i="62"/>
  <c r="L141" i="62"/>
  <c r="L295" i="62" s="1"/>
  <c r="J95" i="61"/>
  <c r="J27" i="62"/>
  <c r="I93" i="61"/>
  <c r="I94" i="61"/>
  <c r="I92" i="61"/>
  <c r="J396" i="62"/>
  <c r="J35" i="62" s="1"/>
  <c r="I65" i="61"/>
  <c r="J419" i="62"/>
  <c r="L7" i="18"/>
  <c r="I7" i="63"/>
  <c r="L80" i="46" s="1"/>
  <c r="F42" i="18"/>
  <c r="F75" i="67" s="1"/>
  <c r="G42" i="62"/>
  <c r="C12" i="63" s="1"/>
  <c r="G42" i="18"/>
  <c r="H42" i="62"/>
  <c r="I23" i="34"/>
  <c r="I37" i="34"/>
  <c r="I39" i="34"/>
  <c r="I22" i="34"/>
  <c r="J455" i="62"/>
  <c r="I17" i="34"/>
  <c r="J416" i="62"/>
  <c r="J413" i="62"/>
  <c r="L7" i="34"/>
  <c r="L58" i="34" s="1"/>
  <c r="M10" i="62"/>
  <c r="M16" i="62" s="1"/>
  <c r="K269" i="62"/>
  <c r="K281" i="62"/>
  <c r="K134" i="62"/>
  <c r="K237" i="62" s="1"/>
  <c r="K390" i="62"/>
  <c r="L243" i="62"/>
  <c r="L244" i="62"/>
  <c r="L245" i="62"/>
  <c r="L246" i="62"/>
  <c r="L111" i="62"/>
  <c r="L272" i="62" s="1"/>
  <c r="L112" i="62"/>
  <c r="L273" i="62" s="1"/>
  <c r="L113" i="62"/>
  <c r="L274" i="62" s="1"/>
  <c r="L114" i="62"/>
  <c r="L275" i="62" s="1"/>
  <c r="L115" i="62"/>
  <c r="L276" i="62" s="1"/>
  <c r="L116" i="62"/>
  <c r="L277" i="62" s="1"/>
  <c r="L117" i="62"/>
  <c r="L278" i="62" s="1"/>
  <c r="L118" i="62"/>
  <c r="L279" i="62" s="1"/>
  <c r="L119" i="62"/>
  <c r="L280" i="62" s="1"/>
  <c r="L260" i="62"/>
  <c r="L261" i="62"/>
  <c r="L262" i="62"/>
  <c r="L263" i="62"/>
  <c r="L264" i="62"/>
  <c r="L265" i="62"/>
  <c r="L266" i="62"/>
  <c r="L267" i="62"/>
  <c r="L105" i="62"/>
  <c r="L268" i="62" s="1"/>
  <c r="L251" i="62"/>
  <c r="L124" i="62"/>
  <c r="L285" i="62" s="1"/>
  <c r="L126" i="62"/>
  <c r="L287" i="62" s="1"/>
  <c r="L128" i="62"/>
  <c r="L289" i="62" s="1"/>
  <c r="L142" i="62"/>
  <c r="L296" i="62" s="1"/>
  <c r="L143" i="62"/>
  <c r="L297" i="62" s="1"/>
  <c r="L163" i="62"/>
  <c r="L317" i="62" s="1"/>
  <c r="L250" i="62"/>
  <c r="L92" i="62"/>
  <c r="L253" i="62" s="1"/>
  <c r="L145" i="62"/>
  <c r="L299" i="62" s="1"/>
  <c r="L146" i="62"/>
  <c r="L300" i="62" s="1"/>
  <c r="L147" i="62"/>
  <c r="L301" i="62" s="1"/>
  <c r="L148" i="62"/>
  <c r="L302" i="62" s="1"/>
  <c r="L149" i="62"/>
  <c r="L303" i="62" s="1"/>
  <c r="L152" i="62"/>
  <c r="L306" i="62" s="1"/>
  <c r="L154" i="62"/>
  <c r="L308" i="62" s="1"/>
  <c r="L181" i="62"/>
  <c r="L335" i="62" s="1"/>
  <c r="L182" i="62"/>
  <c r="L336" i="62" s="1"/>
  <c r="L183" i="62"/>
  <c r="L337" i="62" s="1"/>
  <c r="L184" i="62"/>
  <c r="L338" i="62" s="1"/>
  <c r="L185" i="62"/>
  <c r="L339" i="62" s="1"/>
  <c r="L360" i="62"/>
  <c r="L361" i="62"/>
  <c r="L362" i="62"/>
  <c r="L363" i="62"/>
  <c r="L364" i="62"/>
  <c r="L230" i="62"/>
  <c r="L384" i="62" s="1"/>
  <c r="L231" i="62"/>
  <c r="L385" i="62" s="1"/>
  <c r="L232" i="62"/>
  <c r="L386" i="62" s="1"/>
  <c r="L233" i="62"/>
  <c r="L387" i="62" s="1"/>
  <c r="L234" i="62"/>
  <c r="L388" i="62" s="1"/>
  <c r="L127" i="62"/>
  <c r="L288" i="62" s="1"/>
  <c r="L129" i="62"/>
  <c r="L290" i="62" s="1"/>
  <c r="L153" i="62"/>
  <c r="L307" i="62" s="1"/>
  <c r="L158" i="62"/>
  <c r="L312" i="62" s="1"/>
  <c r="L160" i="62"/>
  <c r="L314" i="62" s="1"/>
  <c r="L164" i="62"/>
  <c r="L318" i="62" s="1"/>
  <c r="L165" i="62"/>
  <c r="L319" i="62" s="1"/>
  <c r="L166" i="62"/>
  <c r="L320" i="62" s="1"/>
  <c r="L167" i="62"/>
  <c r="L321" i="62" s="1"/>
  <c r="L187" i="62"/>
  <c r="L341" i="62" s="1"/>
  <c r="L188" i="62"/>
  <c r="L342" i="62" s="1"/>
  <c r="L189" i="62"/>
  <c r="L343" i="62" s="1"/>
  <c r="L190" i="62"/>
  <c r="L344" i="62" s="1"/>
  <c r="L191" i="62"/>
  <c r="L345" i="62" s="1"/>
  <c r="L192" i="62"/>
  <c r="L346" i="62" s="1"/>
  <c r="L130" i="62"/>
  <c r="L291" i="62" s="1"/>
  <c r="L151" i="62"/>
  <c r="L305" i="62" s="1"/>
  <c r="L161" i="62"/>
  <c r="L315" i="62" s="1"/>
  <c r="L171" i="62"/>
  <c r="L325" i="62" s="1"/>
  <c r="L178" i="62"/>
  <c r="L332" i="62" s="1"/>
  <c r="L194" i="62"/>
  <c r="L348" i="62" s="1"/>
  <c r="L198" i="62"/>
  <c r="L352" i="62" s="1"/>
  <c r="L355" i="62"/>
  <c r="L212" i="62"/>
  <c r="L366" i="62" s="1"/>
  <c r="L214" i="62"/>
  <c r="L368" i="62" s="1"/>
  <c r="L216" i="62"/>
  <c r="L370" i="62" s="1"/>
  <c r="L218" i="62"/>
  <c r="L372" i="62" s="1"/>
  <c r="L222" i="62"/>
  <c r="L376" i="62" s="1"/>
  <c r="L224" i="62"/>
  <c r="L378" i="62" s="1"/>
  <c r="L226" i="62"/>
  <c r="L380" i="62" s="1"/>
  <c r="L228" i="62"/>
  <c r="L382" i="62" s="1"/>
  <c r="L123" i="62"/>
  <c r="L284" i="62" s="1"/>
  <c r="L125" i="62"/>
  <c r="L286" i="62" s="1"/>
  <c r="L155" i="62"/>
  <c r="L309" i="62" s="1"/>
  <c r="L159" i="62"/>
  <c r="L313" i="62" s="1"/>
  <c r="L172" i="62"/>
  <c r="L326" i="62" s="1"/>
  <c r="L175" i="62"/>
  <c r="L329" i="62" s="1"/>
  <c r="L179" i="62"/>
  <c r="L333" i="62" s="1"/>
  <c r="L195" i="62"/>
  <c r="L349" i="62" s="1"/>
  <c r="L356" i="62"/>
  <c r="L221" i="62"/>
  <c r="L375" i="62" s="1"/>
  <c r="L131" i="62"/>
  <c r="L292" i="62" s="1"/>
  <c r="L213" i="62"/>
  <c r="L367" i="62" s="1"/>
  <c r="L157" i="62"/>
  <c r="L311" i="62" s="1"/>
  <c r="L170" i="62"/>
  <c r="L324" i="62" s="1"/>
  <c r="L197" i="62"/>
  <c r="L351" i="62" s="1"/>
  <c r="L177" i="62"/>
  <c r="L331" i="62" s="1"/>
  <c r="L354" i="62"/>
  <c r="L225" i="62"/>
  <c r="L379" i="62" s="1"/>
  <c r="L227" i="62"/>
  <c r="L381" i="62" s="1"/>
  <c r="L173" i="62"/>
  <c r="L327" i="62" s="1"/>
  <c r="L196" i="62"/>
  <c r="L350" i="62" s="1"/>
  <c r="L357" i="62"/>
  <c r="L169" i="62"/>
  <c r="L323" i="62" s="1"/>
  <c r="L358" i="62"/>
  <c r="L219" i="62"/>
  <c r="L373" i="62" s="1"/>
  <c r="L176" i="62"/>
  <c r="L330" i="62" s="1"/>
  <c r="L215" i="62"/>
  <c r="L369" i="62" s="1"/>
  <c r="L220" i="62"/>
  <c r="L374" i="62" s="1"/>
  <c r="K94" i="62"/>
  <c r="K247" i="62"/>
  <c r="K254" i="62"/>
  <c r="L7" i="46"/>
  <c r="M9" i="62"/>
  <c r="M50" i="62" s="1"/>
  <c r="L76" i="46"/>
  <c r="L8" i="46"/>
  <c r="L8" i="47"/>
  <c r="L8" i="18"/>
  <c r="L8" i="34"/>
  <c r="L59" i="34" s="1"/>
  <c r="K10" i="46"/>
  <c r="L140" i="38" l="1"/>
  <c r="L143" i="38"/>
  <c r="M140" i="38"/>
  <c r="M143" i="38"/>
  <c r="J140" i="38"/>
  <c r="J143" i="38"/>
  <c r="K140" i="38"/>
  <c r="K143" i="38"/>
  <c r="P140" i="38"/>
  <c r="P143" i="38"/>
  <c r="Q140" i="38"/>
  <c r="Q143" i="38"/>
  <c r="N140" i="38"/>
  <c r="N143" i="38"/>
  <c r="O140" i="38"/>
  <c r="O143" i="38"/>
  <c r="I140" i="38"/>
  <c r="I143" i="38"/>
  <c r="H140" i="38"/>
  <c r="H143" i="38"/>
  <c r="G140" i="38"/>
  <c r="G143" i="38"/>
  <c r="F140" i="38"/>
  <c r="F143" i="38"/>
  <c r="J57" i="61"/>
  <c r="K31" i="62"/>
  <c r="K82" i="61"/>
  <c r="J37" i="67"/>
  <c r="J38" i="67"/>
  <c r="I21" i="67"/>
  <c r="J26" i="67"/>
  <c r="J35" i="67"/>
  <c r="J30" i="67"/>
  <c r="K18" i="62"/>
  <c r="K23" i="62" s="1"/>
  <c r="J32" i="67"/>
  <c r="J36" i="67" s="1"/>
  <c r="J39" i="67"/>
  <c r="G112" i="67"/>
  <c r="I422" i="62"/>
  <c r="I37" i="62"/>
  <c r="I40" i="62"/>
  <c r="L293" i="62"/>
  <c r="M252" i="62"/>
  <c r="C252" i="62" s="1"/>
  <c r="M242" i="62"/>
  <c r="E14" i="45"/>
  <c r="M354" i="62"/>
  <c r="M141" i="62"/>
  <c r="M295" i="62" s="1"/>
  <c r="K18" i="13"/>
  <c r="K16" i="61" s="1"/>
  <c r="K32" i="61" s="1"/>
  <c r="K20" i="13"/>
  <c r="K28" i="67" s="1"/>
  <c r="L40" i="34"/>
  <c r="J410" i="62"/>
  <c r="J404" i="62"/>
  <c r="J407" i="62"/>
  <c r="J39" i="62" s="1"/>
  <c r="D12" i="63"/>
  <c r="K170" i="61"/>
  <c r="K171" i="61" s="1"/>
  <c r="K174" i="61" s="1"/>
  <c r="H9" i="63"/>
  <c r="E76" i="46"/>
  <c r="I20" i="63"/>
  <c r="I21" i="63" s="1"/>
  <c r="C38" i="63"/>
  <c r="C14" i="63"/>
  <c r="G44" i="62" s="1"/>
  <c r="H42" i="18"/>
  <c r="I42" i="62"/>
  <c r="E12" i="63" s="1"/>
  <c r="M250" i="62"/>
  <c r="M51" i="62"/>
  <c r="M214" i="62"/>
  <c r="M368" i="62" s="1"/>
  <c r="M157" i="62"/>
  <c r="M311" i="62" s="1"/>
  <c r="M362" i="62"/>
  <c r="M115" i="62"/>
  <c r="M276" i="62" s="1"/>
  <c r="M164" i="62"/>
  <c r="M318" i="62" s="1"/>
  <c r="M188" i="62"/>
  <c r="M342" i="62" s="1"/>
  <c r="M181" i="62"/>
  <c r="M335" i="62" s="1"/>
  <c r="M169" i="62"/>
  <c r="M323" i="62" s="1"/>
  <c r="M227" i="62"/>
  <c r="M381" i="62" s="1"/>
  <c r="M125" i="62"/>
  <c r="M286" i="62" s="1"/>
  <c r="M172" i="62"/>
  <c r="M326" i="62" s="1"/>
  <c r="M149" i="62"/>
  <c r="M303" i="62" s="1"/>
  <c r="M143" i="62"/>
  <c r="M297" i="62" s="1"/>
  <c r="M251" i="62"/>
  <c r="M153" i="62"/>
  <c r="M307" i="62" s="1"/>
  <c r="M221" i="62"/>
  <c r="M375" i="62" s="1"/>
  <c r="M198" i="62"/>
  <c r="M352" i="62" s="1"/>
  <c r="M145" i="62"/>
  <c r="M299" i="62" s="1"/>
  <c r="M152" i="62"/>
  <c r="M306" i="62" s="1"/>
  <c r="M225" i="62"/>
  <c r="M379" i="62" s="1"/>
  <c r="M178" i="62"/>
  <c r="M332" i="62" s="1"/>
  <c r="M130" i="62"/>
  <c r="M291" i="62" s="1"/>
  <c r="M113" i="62"/>
  <c r="M274" i="62" s="1"/>
  <c r="M123" i="62"/>
  <c r="M284" i="62" s="1"/>
  <c r="M192" i="62"/>
  <c r="M346" i="62" s="1"/>
  <c r="M264" i="62"/>
  <c r="M105" i="62"/>
  <c r="M268" i="62" s="1"/>
  <c r="M213" i="62"/>
  <c r="M367" i="62" s="1"/>
  <c r="M215" i="62"/>
  <c r="M369" i="62" s="1"/>
  <c r="M231" i="62"/>
  <c r="M385" i="62" s="1"/>
  <c r="M171" i="62"/>
  <c r="M325" i="62" s="1"/>
  <c r="M363" i="62"/>
  <c r="M185" i="62"/>
  <c r="M339" i="62" s="1"/>
  <c r="M265" i="62"/>
  <c r="M358" i="62"/>
  <c r="M176" i="62"/>
  <c r="M330" i="62" s="1"/>
  <c r="M161" i="62"/>
  <c r="M315" i="62" s="1"/>
  <c r="M119" i="62"/>
  <c r="M280" i="62" s="1"/>
  <c r="M111" i="62"/>
  <c r="M272" i="62" s="1"/>
  <c r="M245" i="62"/>
  <c r="M92" i="62"/>
  <c r="M253" i="62" s="1"/>
  <c r="M191" i="62"/>
  <c r="M345" i="62" s="1"/>
  <c r="M195" i="62"/>
  <c r="M349" i="62" s="1"/>
  <c r="M190" i="62"/>
  <c r="M344" i="62" s="1"/>
  <c r="M218" i="62"/>
  <c r="M372" i="62" s="1"/>
  <c r="M166" i="62"/>
  <c r="M320" i="62" s="1"/>
  <c r="M197" i="62"/>
  <c r="M351" i="62" s="1"/>
  <c r="M183" i="62"/>
  <c r="M337" i="62" s="1"/>
  <c r="M261" i="62"/>
  <c r="M356" i="62"/>
  <c r="M155" i="62"/>
  <c r="M309" i="62" s="1"/>
  <c r="M159" i="62"/>
  <c r="M313" i="62" s="1"/>
  <c r="M117" i="62"/>
  <c r="M278" i="62" s="1"/>
  <c r="M127" i="62"/>
  <c r="M288" i="62" s="1"/>
  <c r="M243" i="62"/>
  <c r="M187" i="62"/>
  <c r="M341" i="62" s="1"/>
  <c r="M262" i="62"/>
  <c r="M230" i="62"/>
  <c r="M384" i="62" s="1"/>
  <c r="M232" i="62"/>
  <c r="M386" i="62" s="1"/>
  <c r="M189" i="62"/>
  <c r="M343" i="62" s="1"/>
  <c r="M220" i="62"/>
  <c r="M374" i="62" s="1"/>
  <c r="M173" i="62"/>
  <c r="M327" i="62" s="1"/>
  <c r="M233" i="62"/>
  <c r="M387" i="62" s="1"/>
  <c r="M216" i="62"/>
  <c r="M370" i="62" s="1"/>
  <c r="M194" i="62"/>
  <c r="M348" i="62" s="1"/>
  <c r="M165" i="62"/>
  <c r="M319" i="62" s="1"/>
  <c r="M219" i="62"/>
  <c r="M373" i="62" s="1"/>
  <c r="M170" i="62"/>
  <c r="M324" i="62" s="1"/>
  <c r="M266" i="62"/>
  <c r="M182" i="62"/>
  <c r="M336" i="62" s="1"/>
  <c r="M267" i="62"/>
  <c r="M228" i="62"/>
  <c r="M382" i="62" s="1"/>
  <c r="M224" i="62"/>
  <c r="M378" i="62" s="1"/>
  <c r="M355" i="62"/>
  <c r="M177" i="62"/>
  <c r="M331" i="62" s="1"/>
  <c r="M151" i="62"/>
  <c r="M305" i="62" s="1"/>
  <c r="M158" i="62"/>
  <c r="M312" i="62" s="1"/>
  <c r="M129" i="62"/>
  <c r="M290" i="62" s="1"/>
  <c r="M116" i="62"/>
  <c r="M277" i="62" s="1"/>
  <c r="M112" i="62"/>
  <c r="M273" i="62" s="1"/>
  <c r="M126" i="62"/>
  <c r="M287" i="62" s="1"/>
  <c r="M246" i="62"/>
  <c r="K76" i="61"/>
  <c r="K80" i="61"/>
  <c r="K90" i="61"/>
  <c r="K147" i="61"/>
  <c r="K73" i="61"/>
  <c r="K79" i="61"/>
  <c r="K146" i="61"/>
  <c r="K77" i="61"/>
  <c r="K81" i="61"/>
  <c r="K87" i="61"/>
  <c r="K91" i="61"/>
  <c r="K72" i="61"/>
  <c r="K71" i="61"/>
  <c r="L84" i="61"/>
  <c r="M148" i="62"/>
  <c r="M302" i="62" s="1"/>
  <c r="M360" i="62"/>
  <c r="M146" i="62"/>
  <c r="M300" i="62" s="1"/>
  <c r="M364" i="62"/>
  <c r="M234" i="62"/>
  <c r="M388" i="62" s="1"/>
  <c r="M196" i="62"/>
  <c r="M350" i="62" s="1"/>
  <c r="M260" i="62"/>
  <c r="M222" i="62"/>
  <c r="M376" i="62" s="1"/>
  <c r="M212" i="62"/>
  <c r="M366" i="62" s="1"/>
  <c r="M167" i="62"/>
  <c r="M321" i="62" s="1"/>
  <c r="M163" i="62"/>
  <c r="M317" i="62" s="1"/>
  <c r="M361" i="62"/>
  <c r="M147" i="62"/>
  <c r="M301" i="62" s="1"/>
  <c r="M184" i="62"/>
  <c r="M338" i="62" s="1"/>
  <c r="M154" i="62"/>
  <c r="M308" i="62" s="1"/>
  <c r="M263" i="62"/>
  <c r="M226" i="62"/>
  <c r="M380" i="62" s="1"/>
  <c r="M357" i="62"/>
  <c r="M179" i="62"/>
  <c r="M333" i="62" s="1"/>
  <c r="M175" i="62"/>
  <c r="M329" i="62" s="1"/>
  <c r="M142" i="62"/>
  <c r="M296" i="62" s="1"/>
  <c r="M160" i="62"/>
  <c r="M314" i="62" s="1"/>
  <c r="M131" i="62"/>
  <c r="M292" i="62" s="1"/>
  <c r="M118" i="62"/>
  <c r="M279" i="62" s="1"/>
  <c r="M114" i="62"/>
  <c r="M275" i="62" s="1"/>
  <c r="M128" i="62"/>
  <c r="M289" i="62" s="1"/>
  <c r="M124" i="62"/>
  <c r="M285" i="62" s="1"/>
  <c r="M244" i="62"/>
  <c r="L63" i="46"/>
  <c r="L62" i="46"/>
  <c r="K256" i="62"/>
  <c r="K394" i="62" s="1"/>
  <c r="L106" i="62"/>
  <c r="L108" i="62" s="1"/>
  <c r="L120" i="62"/>
  <c r="L132" i="62"/>
  <c r="L21" i="62" s="1"/>
  <c r="K59" i="61" s="1"/>
  <c r="K135" i="62"/>
  <c r="L236" i="62"/>
  <c r="L86" i="62"/>
  <c r="K9" i="46"/>
  <c r="L4" i="53"/>
  <c r="L43" i="18"/>
  <c r="K88" i="13"/>
  <c r="K38" i="13"/>
  <c r="K11" i="34"/>
  <c r="J56" i="61" l="1"/>
  <c r="J61" i="61" s="1"/>
  <c r="L20" i="62"/>
  <c r="K58" i="61" s="1"/>
  <c r="K24" i="67"/>
  <c r="I47" i="67"/>
  <c r="J33" i="67"/>
  <c r="K401" i="62"/>
  <c r="K38" i="62" s="1"/>
  <c r="J20" i="67"/>
  <c r="J31" i="67"/>
  <c r="J34" i="67"/>
  <c r="J27" i="67"/>
  <c r="L17" i="62"/>
  <c r="K55" i="61" s="1"/>
  <c r="K29" i="67"/>
  <c r="L22" i="62"/>
  <c r="K60" i="61" s="1"/>
  <c r="K25" i="67"/>
  <c r="L19" i="62"/>
  <c r="K23" i="67"/>
  <c r="L113" i="67"/>
  <c r="C113" i="67" s="1"/>
  <c r="H112" i="67"/>
  <c r="K30" i="34"/>
  <c r="K28" i="34"/>
  <c r="K31" i="34"/>
  <c r="K29" i="34"/>
  <c r="K27" i="34"/>
  <c r="M293" i="62"/>
  <c r="J12" i="34"/>
  <c r="J38" i="34" s="1"/>
  <c r="D43" i="18"/>
  <c r="H33" i="63"/>
  <c r="H31" i="63"/>
  <c r="H21" i="63"/>
  <c r="K86" i="46" s="1"/>
  <c r="K95" i="61"/>
  <c r="K27" i="62"/>
  <c r="J421" i="62"/>
  <c r="J457" i="62" s="1"/>
  <c r="J93" i="61"/>
  <c r="J94" i="61"/>
  <c r="J92" i="61"/>
  <c r="K396" i="62"/>
  <c r="K35" i="62" s="1"/>
  <c r="K173" i="61"/>
  <c r="K419" i="62"/>
  <c r="K175" i="61"/>
  <c r="L172" i="61"/>
  <c r="L177" i="61" s="1"/>
  <c r="L179" i="61" s="1"/>
  <c r="L30" i="62"/>
  <c r="K60" i="34"/>
  <c r="K82" i="46"/>
  <c r="F67" i="34"/>
  <c r="G46" i="62"/>
  <c r="F89" i="46"/>
  <c r="F51" i="61"/>
  <c r="L85" i="46"/>
  <c r="L86" i="46"/>
  <c r="B20" i="63"/>
  <c r="J22" i="34"/>
  <c r="J65" i="61"/>
  <c r="J39" i="34"/>
  <c r="K455" i="62"/>
  <c r="J17" i="34"/>
  <c r="J37" i="34"/>
  <c r="J23" i="34"/>
  <c r="K416" i="62"/>
  <c r="K413" i="62"/>
  <c r="C330" i="62"/>
  <c r="C367" i="62"/>
  <c r="C332" i="62"/>
  <c r="C375" i="62"/>
  <c r="C296" i="62"/>
  <c r="C302" i="62"/>
  <c r="C301" i="62"/>
  <c r="C325" i="62"/>
  <c r="C387" i="62"/>
  <c r="C303" i="62"/>
  <c r="C267" i="62"/>
  <c r="C352" i="62"/>
  <c r="C341" i="62"/>
  <c r="C314" i="62"/>
  <c r="C357" i="62"/>
  <c r="C338" i="62"/>
  <c r="C321" i="62"/>
  <c r="C292" i="62"/>
  <c r="C260" i="62"/>
  <c r="C295" i="62"/>
  <c r="C308" i="62"/>
  <c r="K151" i="61"/>
  <c r="C244" i="62"/>
  <c r="C356" i="62"/>
  <c r="C291" i="62"/>
  <c r="M120" i="62"/>
  <c r="C261" i="62"/>
  <c r="M86" i="62"/>
  <c r="C331" i="62"/>
  <c r="C350" i="62"/>
  <c r="C360" i="62"/>
  <c r="M236" i="62"/>
  <c r="M132" i="62"/>
  <c r="M21" i="62" s="1"/>
  <c r="L59" i="61" s="1"/>
  <c r="M106" i="62"/>
  <c r="M108" i="62" s="1"/>
  <c r="L71" i="46"/>
  <c r="L74" i="46" s="1"/>
  <c r="C275" i="62"/>
  <c r="L390" i="62"/>
  <c r="C366" i="62"/>
  <c r="C263" i="62"/>
  <c r="C363" i="62"/>
  <c r="C348" i="62"/>
  <c r="C339" i="62"/>
  <c r="C333" i="62"/>
  <c r="C337" i="62"/>
  <c r="C364" i="62"/>
  <c r="C342" i="62"/>
  <c r="C300" i="62"/>
  <c r="C373" i="62"/>
  <c r="C382" i="62"/>
  <c r="C274" i="62"/>
  <c r="C376" i="62"/>
  <c r="C280" i="62"/>
  <c r="C285" i="62"/>
  <c r="C318" i="62"/>
  <c r="C369" i="62"/>
  <c r="L94" i="62"/>
  <c r="C262" i="62"/>
  <c r="C305" i="62"/>
  <c r="C286" i="62"/>
  <c r="C379" i="62"/>
  <c r="C265" i="62"/>
  <c r="C312" i="62"/>
  <c r="C284" i="62"/>
  <c r="C311" i="62"/>
  <c r="L281" i="62"/>
  <c r="C272" i="62"/>
  <c r="C276" i="62"/>
  <c r="C335" i="62"/>
  <c r="C315" i="62"/>
  <c r="C309" i="62"/>
  <c r="C323" i="62"/>
  <c r="C251" i="62"/>
  <c r="C277" i="62"/>
  <c r="L269" i="62"/>
  <c r="C264" i="62"/>
  <c r="C297" i="62"/>
  <c r="C355" i="62"/>
  <c r="C349" i="62"/>
  <c r="C358" i="62"/>
  <c r="C289" i="62"/>
  <c r="C343" i="62"/>
  <c r="C354" i="62"/>
  <c r="C253" i="62"/>
  <c r="C362" i="62"/>
  <c r="C368" i="62"/>
  <c r="C370" i="62"/>
  <c r="C351" i="62"/>
  <c r="M254" i="62"/>
  <c r="C268" i="62"/>
  <c r="C346" i="62"/>
  <c r="C361" i="62"/>
  <c r="L247" i="62"/>
  <c r="C242" i="62"/>
  <c r="C266" i="62"/>
  <c r="C329" i="62"/>
  <c r="C279" i="62"/>
  <c r="L254" i="62"/>
  <c r="C250" i="62"/>
  <c r="C344" i="62"/>
  <c r="C378" i="62"/>
  <c r="C324" i="62"/>
  <c r="C384" i="62"/>
  <c r="C243" i="62"/>
  <c r="C386" i="62"/>
  <c r="C380" i="62"/>
  <c r="C381" i="62"/>
  <c r="C245" i="62"/>
  <c r="C326" i="62"/>
  <c r="L134" i="62"/>
  <c r="L237" i="62" s="1"/>
  <c r="C287" i="62"/>
  <c r="C336" i="62"/>
  <c r="C313" i="62"/>
  <c r="C327" i="62"/>
  <c r="C388" i="62"/>
  <c r="L5" i="53"/>
  <c r="L6" i="53" s="1"/>
  <c r="M16" i="48"/>
  <c r="M32" i="48" s="1"/>
  <c r="I12" i="41"/>
  <c r="I28" i="41" s="1"/>
  <c r="C43" i="18"/>
  <c r="K37" i="67" l="1"/>
  <c r="K57" i="61"/>
  <c r="L31" i="62"/>
  <c r="L32" i="62" s="1"/>
  <c r="L82" i="61"/>
  <c r="M19" i="62"/>
  <c r="L23" i="67"/>
  <c r="M20" i="62"/>
  <c r="L58" i="61" s="1"/>
  <c r="L24" i="67"/>
  <c r="K39" i="67"/>
  <c r="J21" i="67"/>
  <c r="L18" i="62"/>
  <c r="K56" i="61" s="1"/>
  <c r="K32" i="67"/>
  <c r="M22" i="62"/>
  <c r="L60" i="61" s="1"/>
  <c r="L25" i="67"/>
  <c r="M17" i="62"/>
  <c r="L55" i="61" s="1"/>
  <c r="L29" i="67"/>
  <c r="C29" i="67" s="1"/>
  <c r="K26" i="67"/>
  <c r="C23" i="67"/>
  <c r="K35" i="67"/>
  <c r="K30" i="67"/>
  <c r="K38" i="67"/>
  <c r="K407" i="62"/>
  <c r="K39" i="62" s="1"/>
  <c r="K410" i="62"/>
  <c r="K404" i="62"/>
  <c r="I28" i="63"/>
  <c r="L48" i="18"/>
  <c r="E85" i="46"/>
  <c r="M94" i="62"/>
  <c r="J40" i="62"/>
  <c r="J37" i="62"/>
  <c r="L23" i="62"/>
  <c r="C290" i="62"/>
  <c r="C317" i="62"/>
  <c r="M281" i="62"/>
  <c r="C281" i="62" s="1"/>
  <c r="C307" i="62"/>
  <c r="M269" i="62"/>
  <c r="C278" i="62"/>
  <c r="C273" i="62"/>
  <c r="C306" i="62"/>
  <c r="C320" i="62"/>
  <c r="C385" i="62"/>
  <c r="C374" i="62"/>
  <c r="C372" i="62"/>
  <c r="C299" i="62"/>
  <c r="C319" i="62"/>
  <c r="C293" i="62"/>
  <c r="C288" i="62"/>
  <c r="M247" i="62"/>
  <c r="C345" i="62"/>
  <c r="M390" i="62"/>
  <c r="M134" i="62"/>
  <c r="M237" i="62" s="1"/>
  <c r="C246" i="62"/>
  <c r="E74" i="46"/>
  <c r="L77" i="46"/>
  <c r="J422" i="62"/>
  <c r="L256" i="62"/>
  <c r="L394" i="62" s="1"/>
  <c r="L135" i="62"/>
  <c r="C254" i="62"/>
  <c r="K32" i="18"/>
  <c r="K70" i="67" s="1"/>
  <c r="K30" i="18"/>
  <c r="K68" i="67" s="1"/>
  <c r="K26" i="18"/>
  <c r="K64" i="67" s="1"/>
  <c r="K24" i="18"/>
  <c r="K7" i="18"/>
  <c r="K6" i="18"/>
  <c r="K13" i="67" s="1"/>
  <c r="J32" i="18"/>
  <c r="J70" i="67" s="1"/>
  <c r="J30" i="18"/>
  <c r="J68" i="67" s="1"/>
  <c r="J26" i="18"/>
  <c r="J64" i="67" s="1"/>
  <c r="J24" i="18"/>
  <c r="J7" i="18"/>
  <c r="J6" i="18"/>
  <c r="J13" i="67" s="1"/>
  <c r="L36" i="34"/>
  <c r="K36" i="34"/>
  <c r="J10" i="46"/>
  <c r="K61" i="61" l="1"/>
  <c r="L57" i="61"/>
  <c r="M31" i="62"/>
  <c r="M32" i="62" s="1"/>
  <c r="L37" i="67"/>
  <c r="C37" i="67" s="1"/>
  <c r="L39" i="67"/>
  <c r="C39" i="67" s="1"/>
  <c r="C25" i="67"/>
  <c r="L38" i="67"/>
  <c r="C38" i="67" s="1"/>
  <c r="C24" i="67"/>
  <c r="M18" i="62"/>
  <c r="L56" i="61" s="1"/>
  <c r="L32" i="67"/>
  <c r="C32" i="67" s="1"/>
  <c r="K31" i="67"/>
  <c r="K34" i="67"/>
  <c r="K27" i="67"/>
  <c r="L401" i="62"/>
  <c r="L38" i="62" s="1"/>
  <c r="K20" i="67"/>
  <c r="L35" i="67"/>
  <c r="C35" i="67" s="1"/>
  <c r="L30" i="67"/>
  <c r="C30" i="67" s="1"/>
  <c r="K36" i="67"/>
  <c r="K33" i="67"/>
  <c r="J47" i="67"/>
  <c r="L26" i="67"/>
  <c r="J107" i="67"/>
  <c r="K103" i="67"/>
  <c r="L118" i="67"/>
  <c r="K105" i="67"/>
  <c r="J103" i="67"/>
  <c r="K107" i="67"/>
  <c r="J102" i="67"/>
  <c r="J62" i="67"/>
  <c r="K13" i="18"/>
  <c r="K90" i="67"/>
  <c r="K50" i="67"/>
  <c r="J13" i="18"/>
  <c r="J90" i="67"/>
  <c r="J50" i="67"/>
  <c r="J105" i="67"/>
  <c r="K102" i="67"/>
  <c r="K62" i="67"/>
  <c r="K12" i="34"/>
  <c r="K38" i="34" s="1"/>
  <c r="C269" i="62"/>
  <c r="M256" i="62"/>
  <c r="I34" i="63"/>
  <c r="I35" i="63" s="1"/>
  <c r="I29" i="63"/>
  <c r="K40" i="34"/>
  <c r="J18" i="13"/>
  <c r="J16" i="61" s="1"/>
  <c r="J32" i="61" s="1"/>
  <c r="J20" i="13"/>
  <c r="J28" i="67" s="1"/>
  <c r="K421" i="62"/>
  <c r="K457" i="62" s="1"/>
  <c r="L95" i="61"/>
  <c r="L27" i="62"/>
  <c r="K92" i="61"/>
  <c r="K93" i="61"/>
  <c r="K94" i="61"/>
  <c r="C390" i="62"/>
  <c r="L396" i="62"/>
  <c r="L413" i="62"/>
  <c r="L419" i="62"/>
  <c r="K41" i="18"/>
  <c r="J41" i="18"/>
  <c r="J170" i="61"/>
  <c r="J171" i="61" s="1"/>
  <c r="J175" i="61" s="1"/>
  <c r="G9" i="63"/>
  <c r="M23" i="62"/>
  <c r="I42" i="18"/>
  <c r="J42" i="62"/>
  <c r="L416" i="62"/>
  <c r="K37" i="34"/>
  <c r="K65" i="61"/>
  <c r="K17" i="34"/>
  <c r="L455" i="62"/>
  <c r="K39" i="34"/>
  <c r="L39" i="34" s="1"/>
  <c r="K22" i="34"/>
  <c r="K23" i="34"/>
  <c r="C247" i="62"/>
  <c r="M135" i="62"/>
  <c r="J73" i="61"/>
  <c r="J79" i="61"/>
  <c r="J146" i="61"/>
  <c r="J147" i="61"/>
  <c r="J72" i="61"/>
  <c r="J76" i="61"/>
  <c r="J80" i="61"/>
  <c r="J71" i="61"/>
  <c r="J77" i="61"/>
  <c r="J81" i="61"/>
  <c r="J87" i="61"/>
  <c r="J91" i="61"/>
  <c r="J90" i="61"/>
  <c r="K84" i="61"/>
  <c r="J9" i="46"/>
  <c r="K4" i="53"/>
  <c r="J88" i="13"/>
  <c r="J38" i="13"/>
  <c r="J11" i="34"/>
  <c r="J127" i="13"/>
  <c r="J125" i="13"/>
  <c r="J18" i="18" s="1"/>
  <c r="K128" i="13"/>
  <c r="K21" i="18" s="1"/>
  <c r="K125" i="13"/>
  <c r="K18" i="18" s="1"/>
  <c r="K122" i="13"/>
  <c r="K16" i="18" s="1"/>
  <c r="J123" i="13"/>
  <c r="J17" i="18" s="1"/>
  <c r="J122" i="13"/>
  <c r="J16" i="18" s="1"/>
  <c r="K123" i="13"/>
  <c r="K17" i="18" s="1"/>
  <c r="K127" i="13"/>
  <c r="K129" i="13"/>
  <c r="K22" i="18" s="1"/>
  <c r="K133" i="13"/>
  <c r="J128" i="13"/>
  <c r="J21" i="18" s="1"/>
  <c r="J133" i="13"/>
  <c r="J129" i="13"/>
  <c r="J22" i="18" s="1"/>
  <c r="L61" i="61" l="1"/>
  <c r="L27" i="67"/>
  <c r="C27" i="67" s="1"/>
  <c r="L31" i="67"/>
  <c r="C31" i="67" s="1"/>
  <c r="L34" i="67"/>
  <c r="C34" i="67" s="1"/>
  <c r="L40" i="67"/>
  <c r="K21" i="67"/>
  <c r="M401" i="62"/>
  <c r="M38" i="62" s="1"/>
  <c r="L20" i="67"/>
  <c r="L21" i="67" s="1"/>
  <c r="L47" i="67" s="1"/>
  <c r="C26" i="67"/>
  <c r="L36" i="67"/>
  <c r="C36" i="67" s="1"/>
  <c r="L33" i="67"/>
  <c r="C33" i="67" s="1"/>
  <c r="J100" i="67"/>
  <c r="K95" i="67"/>
  <c r="J99" i="67"/>
  <c r="K96" i="67"/>
  <c r="K40" i="67"/>
  <c r="K97" i="67"/>
  <c r="I112" i="67"/>
  <c r="J95" i="67"/>
  <c r="K99" i="67"/>
  <c r="K100" i="67"/>
  <c r="J96" i="67"/>
  <c r="J40" i="67"/>
  <c r="J97" i="67"/>
  <c r="K20" i="18"/>
  <c r="K140" i="13"/>
  <c r="K141" i="13" s="1"/>
  <c r="J20" i="18"/>
  <c r="J140" i="13"/>
  <c r="J141" i="13" s="1"/>
  <c r="J30" i="34"/>
  <c r="J28" i="34"/>
  <c r="J31" i="34"/>
  <c r="J29" i="34"/>
  <c r="J27" i="34"/>
  <c r="M394" i="62"/>
  <c r="M396" i="62" s="1"/>
  <c r="M27" i="62"/>
  <c r="L12" i="34"/>
  <c r="L38" i="34" s="1"/>
  <c r="C256" i="62"/>
  <c r="G33" i="63"/>
  <c r="G31" i="63"/>
  <c r="G21" i="63"/>
  <c r="J86" i="46" s="1"/>
  <c r="L94" i="61"/>
  <c r="L92" i="61"/>
  <c r="L93" i="61"/>
  <c r="K172" i="61"/>
  <c r="K177" i="61" s="1"/>
  <c r="K179" i="61" s="1"/>
  <c r="J174" i="61"/>
  <c r="J173" i="61"/>
  <c r="F12" i="63"/>
  <c r="L37" i="34"/>
  <c r="M419" i="62"/>
  <c r="M455" i="62"/>
  <c r="L23" i="34"/>
  <c r="M416" i="62"/>
  <c r="J9" i="18"/>
  <c r="K9" i="18"/>
  <c r="L65" i="61"/>
  <c r="M413" i="62"/>
  <c r="L17" i="34"/>
  <c r="L22" i="34"/>
  <c r="J60" i="34"/>
  <c r="J82" i="46"/>
  <c r="K30" i="62"/>
  <c r="K32" i="62" s="1"/>
  <c r="K422" i="62"/>
  <c r="K37" i="62"/>
  <c r="K40" i="62"/>
  <c r="L410" i="62"/>
  <c r="L35" i="62"/>
  <c r="L404" i="62"/>
  <c r="L407" i="62"/>
  <c r="L39" i="62" s="1"/>
  <c r="J151" i="61"/>
  <c r="J31" i="18"/>
  <c r="J69" i="67" s="1"/>
  <c r="K31" i="18"/>
  <c r="K69" i="67" s="1"/>
  <c r="L9" i="53"/>
  <c r="K5" i="53"/>
  <c r="L16" i="48"/>
  <c r="L32" i="48" s="1"/>
  <c r="H12" i="41"/>
  <c r="H28" i="41" s="1"/>
  <c r="K26" i="34"/>
  <c r="K27" i="18"/>
  <c r="J27" i="18"/>
  <c r="K16" i="34"/>
  <c r="L16" i="34"/>
  <c r="C20" i="67" l="1"/>
  <c r="K47" i="67"/>
  <c r="C47" i="67" s="1"/>
  <c r="C21" i="67"/>
  <c r="K106" i="67"/>
  <c r="J98" i="67"/>
  <c r="J104" i="67"/>
  <c r="J48" i="67"/>
  <c r="J106" i="67"/>
  <c r="K104" i="67"/>
  <c r="K48" i="67"/>
  <c r="K98" i="67"/>
  <c r="C396" i="62"/>
  <c r="M35" i="62"/>
  <c r="M410" i="62"/>
  <c r="M404" i="62"/>
  <c r="M407" i="62"/>
  <c r="M39" i="62" s="1"/>
  <c r="C35" i="62"/>
  <c r="K48" i="18"/>
  <c r="H28" i="63"/>
  <c r="L421" i="62"/>
  <c r="L457" i="62" s="1"/>
  <c r="K6" i="53"/>
  <c r="L11" i="53" s="1"/>
  <c r="L15" i="53" s="1"/>
  <c r="M15" i="53" s="1"/>
  <c r="M29" i="53"/>
  <c r="J42" i="18"/>
  <c r="K42" i="62"/>
  <c r="C455" i="62"/>
  <c r="H30" i="18"/>
  <c r="H68" i="67" s="1"/>
  <c r="I30" i="18"/>
  <c r="I68" i="67" s="1"/>
  <c r="J112" i="67" l="1"/>
  <c r="K118" i="67"/>
  <c r="I105" i="67"/>
  <c r="H105" i="67"/>
  <c r="M421" i="62"/>
  <c r="M457" i="62" s="1"/>
  <c r="M42" i="62" s="1"/>
  <c r="I12" i="63" s="1"/>
  <c r="H34" i="63"/>
  <c r="H35" i="63" s="1"/>
  <c r="H29" i="63"/>
  <c r="D30" i="18"/>
  <c r="G12" i="63"/>
  <c r="M35" i="53"/>
  <c r="M36" i="53" s="1"/>
  <c r="M37" i="53" s="1"/>
  <c r="M38" i="53" s="1"/>
  <c r="L37" i="62"/>
  <c r="L40" i="62"/>
  <c r="L422" i="62"/>
  <c r="C30" i="18"/>
  <c r="C105" i="67" l="1"/>
  <c r="M37" i="62"/>
  <c r="C37" i="62" s="1"/>
  <c r="M40" i="62"/>
  <c r="M422" i="62"/>
  <c r="G13" i="63"/>
  <c r="K43" i="62" s="1"/>
  <c r="I13" i="63"/>
  <c r="M43" i="62" s="1"/>
  <c r="M39" i="53"/>
  <c r="M40" i="53"/>
  <c r="K42" i="18"/>
  <c r="L42" i="62"/>
  <c r="C457" i="62"/>
  <c r="L42" i="18"/>
  <c r="R17" i="35"/>
  <c r="G33" i="35" s="1"/>
  <c r="R28" i="35"/>
  <c r="R29" i="35"/>
  <c r="R31" i="35"/>
  <c r="G35" i="35" s="1"/>
  <c r="R32" i="35"/>
  <c r="R33" i="35"/>
  <c r="R34" i="35"/>
  <c r="R35" i="35"/>
  <c r="R36" i="35"/>
  <c r="R37" i="35"/>
  <c r="R38" i="35"/>
  <c r="R39" i="35"/>
  <c r="R40" i="35"/>
  <c r="R41" i="35"/>
  <c r="R42" i="35"/>
  <c r="G36" i="35" s="1"/>
  <c r="R43" i="35"/>
  <c r="R15" i="35"/>
  <c r="L112" i="67" l="1"/>
  <c r="K112" i="67"/>
  <c r="J33" i="35"/>
  <c r="H33" i="35"/>
  <c r="I33" i="35" s="1"/>
  <c r="J35" i="35"/>
  <c r="H35" i="35"/>
  <c r="I35" i="35" s="1"/>
  <c r="J36" i="35"/>
  <c r="H36" i="35"/>
  <c r="I36" i="35" s="1"/>
  <c r="S43" i="35"/>
  <c r="G37" i="35"/>
  <c r="S28" i="35"/>
  <c r="AB28" i="35" s="1"/>
  <c r="U28" i="35" s="1"/>
  <c r="W28" i="35" s="1"/>
  <c r="G34" i="35"/>
  <c r="C90" i="13"/>
  <c r="P409" i="35"/>
  <c r="Q409" i="35" s="1"/>
  <c r="S38" i="35"/>
  <c r="AB38" i="35" s="1"/>
  <c r="P401" i="35"/>
  <c r="Q401" i="35" s="1"/>
  <c r="S29" i="35"/>
  <c r="AB29" i="35" s="1"/>
  <c r="P412" i="35"/>
  <c r="Q412" i="35" s="1"/>
  <c r="S41" i="35"/>
  <c r="AB41" i="35" s="1"/>
  <c r="P404" i="35"/>
  <c r="Q404" i="35" s="1"/>
  <c r="S33" i="35"/>
  <c r="AB33" i="35" s="1"/>
  <c r="U33" i="35" s="1"/>
  <c r="V33" i="35" s="1"/>
  <c r="P411" i="35"/>
  <c r="Q411" i="35" s="1"/>
  <c r="S40" i="35"/>
  <c r="AB40" i="35" s="1"/>
  <c r="P403" i="35"/>
  <c r="Q403" i="35" s="1"/>
  <c r="S32" i="35"/>
  <c r="AB32" i="35" s="1"/>
  <c r="U32" i="35" s="1"/>
  <c r="W32" i="35" s="1"/>
  <c r="P399" i="35"/>
  <c r="Q399" i="35" s="1"/>
  <c r="S17" i="35"/>
  <c r="P413" i="35"/>
  <c r="Q413" i="35" s="1"/>
  <c r="S42" i="35"/>
  <c r="AB42" i="35" s="1"/>
  <c r="U42" i="35" s="1"/>
  <c r="P405" i="35"/>
  <c r="Q405" i="35" s="1"/>
  <c r="S34" i="35"/>
  <c r="AB34" i="35" s="1"/>
  <c r="P408" i="35"/>
  <c r="Q408" i="35" s="1"/>
  <c r="S37" i="35"/>
  <c r="AB37" i="35" s="1"/>
  <c r="S15" i="35"/>
  <c r="AB15" i="35" s="1"/>
  <c r="P398" i="35"/>
  <c r="Q398" i="35" s="1"/>
  <c r="P407" i="35"/>
  <c r="Q407" i="35" s="1"/>
  <c r="S36" i="35"/>
  <c r="AB36" i="35" s="1"/>
  <c r="P410" i="35"/>
  <c r="Q410" i="35" s="1"/>
  <c r="S39" i="35"/>
  <c r="AB39" i="35" s="1"/>
  <c r="P406" i="35"/>
  <c r="Q406" i="35" s="1"/>
  <c r="S35" i="35"/>
  <c r="AB35" i="35" s="1"/>
  <c r="U35" i="35" s="1"/>
  <c r="P402" i="35"/>
  <c r="Q402" i="35" s="1"/>
  <c r="S31" i="35"/>
  <c r="AB31" i="35" s="1"/>
  <c r="P400" i="35"/>
  <c r="Q400" i="35" s="1"/>
  <c r="P414" i="35"/>
  <c r="Q414" i="35" s="1"/>
  <c r="AB43" i="35"/>
  <c r="D42" i="18"/>
  <c r="H12" i="63"/>
  <c r="C42" i="62"/>
  <c r="AA15" i="35"/>
  <c r="AA42" i="35"/>
  <c r="AA38" i="35"/>
  <c r="AA36" i="35"/>
  <c r="AA34" i="35"/>
  <c r="AA32" i="35"/>
  <c r="AA29" i="35"/>
  <c r="AA43" i="35"/>
  <c r="AA41" i="35"/>
  <c r="AA39" i="35"/>
  <c r="AA37" i="35"/>
  <c r="AA35" i="35"/>
  <c r="AA33" i="35"/>
  <c r="AA31" i="35"/>
  <c r="AA28" i="35"/>
  <c r="AA40" i="35"/>
  <c r="AA17" i="35"/>
  <c r="X42" i="35"/>
  <c r="Y42" i="35"/>
  <c r="X38" i="35"/>
  <c r="Y38" i="35"/>
  <c r="X34" i="35"/>
  <c r="Y34" i="35"/>
  <c r="X29" i="35"/>
  <c r="Y29" i="35"/>
  <c r="Y43" i="35"/>
  <c r="X43" i="35"/>
  <c r="Y39" i="35"/>
  <c r="X39" i="35"/>
  <c r="Y35" i="35"/>
  <c r="X35" i="35"/>
  <c r="Y31" i="35"/>
  <c r="X31" i="35"/>
  <c r="Y41" i="35"/>
  <c r="X41" i="35"/>
  <c r="Y37" i="35"/>
  <c r="X37" i="35"/>
  <c r="Y33" i="35"/>
  <c r="X33" i="35"/>
  <c r="X28" i="35"/>
  <c r="Y28" i="35"/>
  <c r="Y15" i="35"/>
  <c r="X15" i="35"/>
  <c r="Y40" i="35"/>
  <c r="X40" i="35"/>
  <c r="Y36" i="35"/>
  <c r="X36" i="35"/>
  <c r="Y32" i="35"/>
  <c r="X32" i="35"/>
  <c r="Y17" i="35"/>
  <c r="X17" i="35"/>
  <c r="E45" i="38"/>
  <c r="E50" i="38"/>
  <c r="D50" i="38" s="1"/>
  <c r="E25" i="38"/>
  <c r="E26" i="38"/>
  <c r="G34" i="38"/>
  <c r="T44" i="35"/>
  <c r="C112" i="67" l="1"/>
  <c r="J37" i="35"/>
  <c r="H37" i="35"/>
  <c r="I37" i="35" s="1"/>
  <c r="J34" i="35"/>
  <c r="H34" i="35"/>
  <c r="I34" i="35" s="1"/>
  <c r="W35" i="35"/>
  <c r="V35" i="35"/>
  <c r="W42" i="35"/>
  <c r="V42" i="35"/>
  <c r="H13" i="63"/>
  <c r="L43" i="62" s="1"/>
  <c r="B12" i="63"/>
  <c r="V32" i="35"/>
  <c r="W33" i="35"/>
  <c r="G100" i="38"/>
  <c r="G124" i="38"/>
  <c r="G129" i="38"/>
  <c r="G121" i="38"/>
  <c r="G119" i="38"/>
  <c r="G109" i="38"/>
  <c r="G125" i="38"/>
  <c r="G123" i="38"/>
  <c r="G122" i="38"/>
  <c r="G120" i="38"/>
  <c r="G118" i="38"/>
  <c r="G115" i="38"/>
  <c r="G112" i="38"/>
  <c r="G108" i="38"/>
  <c r="G127" i="38"/>
  <c r="G117" i="38"/>
  <c r="G111" i="38"/>
  <c r="G110" i="38"/>
  <c r="D45" i="38"/>
  <c r="AB17" i="35"/>
  <c r="AB44" i="35" s="1"/>
  <c r="AA44" i="35"/>
  <c r="V15" i="35"/>
  <c r="W15" i="35"/>
  <c r="G97" i="38"/>
  <c r="G101" i="38"/>
  <c r="G99" i="38"/>
  <c r="G98" i="38"/>
  <c r="G96" i="38"/>
  <c r="V28" i="35"/>
  <c r="G95" i="38"/>
  <c r="G94" i="38"/>
  <c r="G93" i="38"/>
  <c r="G92" i="38"/>
  <c r="G91" i="38"/>
  <c r="G90" i="38"/>
  <c r="G89" i="38"/>
  <c r="G88" i="38"/>
  <c r="G87" i="38"/>
  <c r="G86" i="38"/>
  <c r="G102" i="38" l="1"/>
  <c r="R44" i="35"/>
  <c r="H120" i="13" l="1"/>
  <c r="I120" i="13"/>
  <c r="K39" i="45"/>
  <c r="H7" i="18"/>
  <c r="I7" i="18"/>
  <c r="H24" i="18"/>
  <c r="I24" i="18"/>
  <c r="H26" i="18"/>
  <c r="H64" i="67" s="1"/>
  <c r="I26" i="18"/>
  <c r="I64" i="67" s="1"/>
  <c r="H32" i="18"/>
  <c r="H70" i="67" s="1"/>
  <c r="I32" i="18"/>
  <c r="I70" i="67" s="1"/>
  <c r="H6" i="18"/>
  <c r="H13" i="67" s="1"/>
  <c r="I6" i="18"/>
  <c r="I13" i="67" s="1"/>
  <c r="H36" i="34"/>
  <c r="I36" i="34"/>
  <c r="J36" i="34"/>
  <c r="H10" i="46"/>
  <c r="I10" i="46"/>
  <c r="I107" i="67" l="1"/>
  <c r="H107" i="67"/>
  <c r="H13" i="18"/>
  <c r="H90" i="67"/>
  <c r="H50" i="67"/>
  <c r="H103" i="67"/>
  <c r="I102" i="67"/>
  <c r="I62" i="67"/>
  <c r="H102" i="67"/>
  <c r="H62" i="67"/>
  <c r="I13" i="18"/>
  <c r="I90" i="67"/>
  <c r="I50" i="67"/>
  <c r="I103" i="67"/>
  <c r="J120" i="13"/>
  <c r="L120" i="13"/>
  <c r="K120" i="13"/>
  <c r="G10" i="46"/>
  <c r="H18" i="13"/>
  <c r="H16" i="61" s="1"/>
  <c r="H32" i="61" s="1"/>
  <c r="H40" i="34"/>
  <c r="H20" i="13"/>
  <c r="H28" i="67" s="1"/>
  <c r="G20" i="13"/>
  <c r="G28" i="67" s="1"/>
  <c r="G16" i="61"/>
  <c r="G32" i="61" s="1"/>
  <c r="I18" i="13"/>
  <c r="I16" i="61" s="1"/>
  <c r="I32" i="61" s="1"/>
  <c r="I40" i="34"/>
  <c r="I20" i="13"/>
  <c r="I28" i="67" s="1"/>
  <c r="J40" i="34"/>
  <c r="D32" i="18"/>
  <c r="D24" i="18"/>
  <c r="D26" i="18"/>
  <c r="D9" i="63"/>
  <c r="H41" i="18"/>
  <c r="I41" i="18"/>
  <c r="H170" i="61"/>
  <c r="H171" i="61" s="1"/>
  <c r="H173" i="61" s="1"/>
  <c r="E9" i="63"/>
  <c r="I170" i="61"/>
  <c r="I171" i="61" s="1"/>
  <c r="I173" i="61" s="1"/>
  <c r="F9" i="63"/>
  <c r="G147" i="61"/>
  <c r="G170" i="61"/>
  <c r="G171" i="61" s="1"/>
  <c r="H71" i="61"/>
  <c r="H77" i="61"/>
  <c r="H81" i="61"/>
  <c r="H87" i="61"/>
  <c r="H91" i="61"/>
  <c r="H76" i="61"/>
  <c r="H80" i="61"/>
  <c r="H90" i="61"/>
  <c r="H147" i="61"/>
  <c r="H73" i="61"/>
  <c r="H79" i="61"/>
  <c r="H146" i="61"/>
  <c r="H72" i="61"/>
  <c r="H84" i="61"/>
  <c r="G76" i="61"/>
  <c r="G80" i="61"/>
  <c r="G90" i="61"/>
  <c r="G73" i="61"/>
  <c r="G79" i="61"/>
  <c r="G146" i="61"/>
  <c r="G71" i="61"/>
  <c r="G91" i="61"/>
  <c r="G72" i="61"/>
  <c r="G84" i="61"/>
  <c r="G69" i="61"/>
  <c r="G77" i="61"/>
  <c r="G81" i="61"/>
  <c r="G87" i="61"/>
  <c r="I72" i="61"/>
  <c r="I84" i="61"/>
  <c r="I71" i="61"/>
  <c r="I77" i="61"/>
  <c r="I81" i="61"/>
  <c r="I87" i="61"/>
  <c r="I91" i="61"/>
  <c r="I146" i="61"/>
  <c r="I76" i="61"/>
  <c r="I80" i="61"/>
  <c r="I90" i="61"/>
  <c r="I147" i="61"/>
  <c r="I73" i="61"/>
  <c r="I79" i="61"/>
  <c r="J84" i="61"/>
  <c r="C26" i="18"/>
  <c r="C32" i="18"/>
  <c r="C24" i="18"/>
  <c r="H9" i="46"/>
  <c r="I4" i="53"/>
  <c r="G9" i="46"/>
  <c r="H4" i="53"/>
  <c r="I9" i="46"/>
  <c r="J4" i="53"/>
  <c r="I39" i="45"/>
  <c r="J39" i="45"/>
  <c r="I38" i="13"/>
  <c r="I88" i="13"/>
  <c r="G88" i="13"/>
  <c r="G38" i="13"/>
  <c r="H38" i="13"/>
  <c r="H88" i="13"/>
  <c r="H11" i="34"/>
  <c r="G11" i="34"/>
  <c r="G40" i="34"/>
  <c r="I11" i="34"/>
  <c r="H125" i="13"/>
  <c r="H18" i="18" s="1"/>
  <c r="H128" i="13"/>
  <c r="H21" i="18" s="1"/>
  <c r="H129" i="13"/>
  <c r="I125" i="13"/>
  <c r="I18" i="18" s="1"/>
  <c r="G120" i="13"/>
  <c r="I127" i="13"/>
  <c r="H127" i="13"/>
  <c r="I123" i="13"/>
  <c r="I17" i="18" s="1"/>
  <c r="I122" i="13"/>
  <c r="H122" i="13"/>
  <c r="H123" i="13"/>
  <c r="H17" i="18" s="1"/>
  <c r="C19" i="38"/>
  <c r="I19" i="38" s="1"/>
  <c r="I129" i="13"/>
  <c r="I22" i="18" s="1"/>
  <c r="C25" i="38"/>
  <c r="D25" i="38" s="1"/>
  <c r="I133" i="13"/>
  <c r="C41" i="38"/>
  <c r="G133" i="13"/>
  <c r="G140" i="13" s="1"/>
  <c r="H133" i="13"/>
  <c r="I128" i="13"/>
  <c r="J19" i="38" l="1"/>
  <c r="K19" i="38" s="1"/>
  <c r="L19" i="38" s="1"/>
  <c r="M19" i="38" s="1"/>
  <c r="N19" i="38" s="1"/>
  <c r="O19" i="38" s="1"/>
  <c r="P19" i="38" s="1"/>
  <c r="Q19" i="38" s="1"/>
  <c r="O41" i="38"/>
  <c r="K41" i="38"/>
  <c r="G41" i="38"/>
  <c r="G114" i="38" s="1"/>
  <c r="M41" i="38"/>
  <c r="L41" i="38"/>
  <c r="N41" i="38"/>
  <c r="J41" i="38"/>
  <c r="Q41" i="38"/>
  <c r="I41" i="38"/>
  <c r="P41" i="38"/>
  <c r="H41" i="38"/>
  <c r="G142" i="13"/>
  <c r="G141" i="13"/>
  <c r="C107" i="67"/>
  <c r="I100" i="67"/>
  <c r="H97" i="67"/>
  <c r="C103" i="67"/>
  <c r="H96" i="67"/>
  <c r="H40" i="67"/>
  <c r="H99" i="67"/>
  <c r="I96" i="67"/>
  <c r="I40" i="67"/>
  <c r="I97" i="67"/>
  <c r="C102" i="67"/>
  <c r="H140" i="13"/>
  <c r="H141" i="13" s="1"/>
  <c r="I20" i="18"/>
  <c r="I140" i="13"/>
  <c r="I141" i="13" s="1"/>
  <c r="H31" i="34"/>
  <c r="H29" i="34"/>
  <c r="H27" i="34"/>
  <c r="H30" i="34"/>
  <c r="H28" i="34"/>
  <c r="I31" i="34"/>
  <c r="I29" i="34"/>
  <c r="I27" i="34"/>
  <c r="I30" i="34"/>
  <c r="I28" i="34"/>
  <c r="G30" i="34"/>
  <c r="G28" i="34"/>
  <c r="G31" i="34"/>
  <c r="G29" i="34"/>
  <c r="G27" i="34"/>
  <c r="C120" i="13"/>
  <c r="E33" i="63"/>
  <c r="E31" i="63"/>
  <c r="E21" i="63"/>
  <c r="H86" i="46" s="1"/>
  <c r="E13" i="63"/>
  <c r="I43" i="62" s="1"/>
  <c r="F33" i="63"/>
  <c r="F31" i="63"/>
  <c r="F21" i="63"/>
  <c r="I86" i="46" s="1"/>
  <c r="F13" i="63"/>
  <c r="J43" i="62" s="1"/>
  <c r="G60" i="34"/>
  <c r="D33" i="63"/>
  <c r="D31" i="63"/>
  <c r="D21" i="63"/>
  <c r="G86" i="46" s="1"/>
  <c r="D13" i="63"/>
  <c r="H43" i="62" s="1"/>
  <c r="H30" i="62"/>
  <c r="H32" i="62" s="1"/>
  <c r="H22" i="18"/>
  <c r="C129" i="13"/>
  <c r="H16" i="18"/>
  <c r="C122" i="13"/>
  <c r="G82" i="46"/>
  <c r="C133" i="13"/>
  <c r="C24" i="38"/>
  <c r="C128" i="13"/>
  <c r="C23" i="38"/>
  <c r="C127" i="13"/>
  <c r="C20" i="38"/>
  <c r="C123" i="13"/>
  <c r="C22" i="38"/>
  <c r="C125" i="13"/>
  <c r="H175" i="61"/>
  <c r="H172" i="61"/>
  <c r="H174" i="61"/>
  <c r="I172" i="61"/>
  <c r="H9" i="18"/>
  <c r="I9" i="18"/>
  <c r="J172" i="61"/>
  <c r="J177" i="61" s="1"/>
  <c r="J179" i="61" s="1"/>
  <c r="I175" i="61"/>
  <c r="B9" i="63"/>
  <c r="I174" i="61"/>
  <c r="I30" i="62"/>
  <c r="I32" i="62" s="1"/>
  <c r="H60" i="34"/>
  <c r="H82" i="46"/>
  <c r="J30" i="62"/>
  <c r="J32" i="62" s="1"/>
  <c r="I60" i="34"/>
  <c r="I82" i="46"/>
  <c r="G151" i="61"/>
  <c r="G173" i="61"/>
  <c r="G175" i="61"/>
  <c r="G172" i="61"/>
  <c r="G174" i="61"/>
  <c r="H151" i="61"/>
  <c r="I151" i="61"/>
  <c r="C29" i="38"/>
  <c r="D29" i="38" s="1"/>
  <c r="C30" i="38"/>
  <c r="D30" i="38" s="1"/>
  <c r="H31" i="18"/>
  <c r="H69" i="67" s="1"/>
  <c r="I31" i="18"/>
  <c r="I69" i="67" s="1"/>
  <c r="G9" i="18"/>
  <c r="D26" i="38"/>
  <c r="J9" i="53"/>
  <c r="I5" i="53"/>
  <c r="I6" i="53" s="1"/>
  <c r="J16" i="48"/>
  <c r="J32" i="48" s="1"/>
  <c r="F12" i="41"/>
  <c r="F28" i="41" s="1"/>
  <c r="H26" i="34"/>
  <c r="H5" i="53"/>
  <c r="H6" i="53" s="1"/>
  <c r="I16" i="48"/>
  <c r="I32" i="48" s="1"/>
  <c r="E12" i="41"/>
  <c r="E28" i="41" s="1"/>
  <c r="G26" i="34"/>
  <c r="J5" i="53"/>
  <c r="J6" i="53" s="1"/>
  <c r="K16" i="48"/>
  <c r="K32" i="48" s="1"/>
  <c r="G12" i="41"/>
  <c r="G28" i="41" s="1"/>
  <c r="I26" i="34"/>
  <c r="J26" i="34"/>
  <c r="G27" i="18"/>
  <c r="H27" i="18"/>
  <c r="G16" i="34"/>
  <c r="G18" i="18"/>
  <c r="G20" i="18"/>
  <c r="G31" i="18"/>
  <c r="G21" i="18"/>
  <c r="G22" i="18"/>
  <c r="G16" i="18"/>
  <c r="E43" i="38"/>
  <c r="H20" i="18"/>
  <c r="I27" i="18"/>
  <c r="I16" i="34"/>
  <c r="C119" i="13"/>
  <c r="I16" i="18"/>
  <c r="H16" i="34"/>
  <c r="J16" i="34"/>
  <c r="I21" i="18"/>
  <c r="I20" i="38" l="1"/>
  <c r="D24" i="38"/>
  <c r="J24" i="38"/>
  <c r="K24" i="38" s="1"/>
  <c r="L24" i="38" s="1"/>
  <c r="M24" i="38" s="1"/>
  <c r="N24" i="38" s="1"/>
  <c r="O24" i="38" s="1"/>
  <c r="P24" i="38" s="1"/>
  <c r="I24" i="38"/>
  <c r="E24" i="38" s="1"/>
  <c r="J23" i="38"/>
  <c r="K23" i="38" s="1"/>
  <c r="L23" i="38" s="1"/>
  <c r="M23" i="38" s="1"/>
  <c r="N23" i="38" s="1"/>
  <c r="O23" i="38" s="1"/>
  <c r="P23" i="38" s="1"/>
  <c r="I23" i="38"/>
  <c r="I22" i="38"/>
  <c r="J22" i="38"/>
  <c r="E19" i="38"/>
  <c r="D19" i="38" s="1"/>
  <c r="E41" i="38"/>
  <c r="D41" i="38" s="1"/>
  <c r="D10" i="63"/>
  <c r="D11" i="63" s="1"/>
  <c r="G35" i="18"/>
  <c r="G69" i="67"/>
  <c r="C31" i="18"/>
  <c r="I95" i="67"/>
  <c r="H98" i="67"/>
  <c r="G106" i="67"/>
  <c r="H106" i="67"/>
  <c r="I98" i="67"/>
  <c r="G95" i="67"/>
  <c r="G98" i="67"/>
  <c r="H104" i="67"/>
  <c r="H48" i="67"/>
  <c r="H95" i="67"/>
  <c r="I99" i="67"/>
  <c r="G100" i="67"/>
  <c r="G97" i="67"/>
  <c r="C97" i="67" s="1"/>
  <c r="G104" i="67"/>
  <c r="G48" i="67"/>
  <c r="I104" i="67"/>
  <c r="I48" i="67"/>
  <c r="G99" i="67"/>
  <c r="D17" i="18"/>
  <c r="G96" i="67"/>
  <c r="C96" i="67" s="1"/>
  <c r="G40" i="67"/>
  <c r="C40" i="67" s="1"/>
  <c r="I106" i="67"/>
  <c r="H100" i="67"/>
  <c r="D18" i="18"/>
  <c r="D60" i="34"/>
  <c r="B33" i="63"/>
  <c r="B31" i="63"/>
  <c r="B21" i="63"/>
  <c r="E86" i="46" s="1"/>
  <c r="B13" i="63"/>
  <c r="C30" i="62"/>
  <c r="D22" i="18"/>
  <c r="D27" i="18"/>
  <c r="D21" i="18"/>
  <c r="D20" i="18"/>
  <c r="D31" i="18"/>
  <c r="D16" i="18"/>
  <c r="G28" i="63"/>
  <c r="H177" i="61"/>
  <c r="H179" i="61" s="1"/>
  <c r="C43" i="62"/>
  <c r="I177" i="61"/>
  <c r="I179" i="61" s="1"/>
  <c r="E82" i="46"/>
  <c r="J48" i="18"/>
  <c r="C9" i="18"/>
  <c r="K29" i="53"/>
  <c r="J15" i="53"/>
  <c r="K15" i="53" s="1"/>
  <c r="G177" i="61"/>
  <c r="G179" i="61" s="1"/>
  <c r="C42" i="38" s="1"/>
  <c r="G105" i="61"/>
  <c r="G45" i="61"/>
  <c r="D43" i="38"/>
  <c r="F18" i="38"/>
  <c r="C16" i="18"/>
  <c r="C27" i="18"/>
  <c r="C20" i="18"/>
  <c r="C21" i="18"/>
  <c r="C22" i="18"/>
  <c r="C18" i="18"/>
  <c r="C17" i="18"/>
  <c r="G143" i="13"/>
  <c r="G38" i="18" s="1"/>
  <c r="F13" i="45"/>
  <c r="C34" i="38"/>
  <c r="H34" i="38"/>
  <c r="E46" i="38"/>
  <c r="J20" i="38" l="1"/>
  <c r="K20" i="38" s="1"/>
  <c r="L20" i="38" s="1"/>
  <c r="M20" i="38" s="1"/>
  <c r="N20" i="38" s="1"/>
  <c r="O20" i="38" s="1"/>
  <c r="P20" i="38" s="1"/>
  <c r="Q20" i="38" s="1"/>
  <c r="E20" i="38"/>
  <c r="D20" i="38" s="1"/>
  <c r="E23" i="38"/>
  <c r="D23" i="38" s="1"/>
  <c r="K22" i="38"/>
  <c r="J34" i="38"/>
  <c r="O42" i="38"/>
  <c r="K42" i="38"/>
  <c r="G116" i="38"/>
  <c r="M42" i="38"/>
  <c r="L42" i="38"/>
  <c r="N42" i="38"/>
  <c r="J42" i="38"/>
  <c r="Q42" i="38"/>
  <c r="I42" i="38"/>
  <c r="P42" i="38"/>
  <c r="H42" i="38"/>
  <c r="H116" i="38" s="1"/>
  <c r="G83" i="46"/>
  <c r="D14" i="63"/>
  <c r="D15" i="63" s="1"/>
  <c r="H45" i="62" s="1"/>
  <c r="D22" i="63"/>
  <c r="D23" i="63" s="1"/>
  <c r="G88" i="46" s="1"/>
  <c r="H34" i="62"/>
  <c r="G61" i="34"/>
  <c r="C99" i="67"/>
  <c r="C98" i="67"/>
  <c r="C48" i="67"/>
  <c r="C95" i="67"/>
  <c r="G109" i="67"/>
  <c r="J118" i="67"/>
  <c r="C104" i="67"/>
  <c r="C100" i="67"/>
  <c r="C106" i="67"/>
  <c r="G194" i="61"/>
  <c r="G106" i="61"/>
  <c r="G34" i="63"/>
  <c r="G29" i="63"/>
  <c r="D23" i="18"/>
  <c r="C23" i="18"/>
  <c r="C179" i="61"/>
  <c r="E28" i="63"/>
  <c r="E29" i="63" s="1"/>
  <c r="D28" i="63"/>
  <c r="D29" i="63" s="1"/>
  <c r="F28" i="63"/>
  <c r="F29" i="63" s="1"/>
  <c r="H48" i="18"/>
  <c r="I48" i="18"/>
  <c r="K35" i="53"/>
  <c r="K36" i="53" s="1"/>
  <c r="K37" i="53" s="1"/>
  <c r="K40" i="53" s="1"/>
  <c r="C177" i="61"/>
  <c r="G48" i="18"/>
  <c r="G62" i="34"/>
  <c r="G84" i="46"/>
  <c r="G46" i="61"/>
  <c r="G34" i="18"/>
  <c r="H100" i="38"/>
  <c r="H125" i="38"/>
  <c r="H124" i="38"/>
  <c r="H123" i="38"/>
  <c r="H127" i="38"/>
  <c r="H129" i="38"/>
  <c r="H122" i="38"/>
  <c r="H121" i="38"/>
  <c r="H120" i="38"/>
  <c r="H119" i="38"/>
  <c r="H118" i="38"/>
  <c r="H117" i="38"/>
  <c r="H115" i="38"/>
  <c r="H114" i="38"/>
  <c r="H112" i="38"/>
  <c r="H111" i="38"/>
  <c r="H110" i="38"/>
  <c r="H109" i="38"/>
  <c r="H108" i="38"/>
  <c r="I18" i="38"/>
  <c r="I34" i="38" s="1"/>
  <c r="D46" i="38"/>
  <c r="F39" i="45"/>
  <c r="G39" i="45"/>
  <c r="H97" i="38"/>
  <c r="H99" i="38"/>
  <c r="H101" i="38"/>
  <c r="H98" i="38"/>
  <c r="H96" i="38"/>
  <c r="H95" i="38"/>
  <c r="H94" i="38"/>
  <c r="H93" i="38"/>
  <c r="H92" i="38"/>
  <c r="H91" i="38"/>
  <c r="H90" i="38"/>
  <c r="H89" i="38"/>
  <c r="H88" i="38"/>
  <c r="H87" i="38"/>
  <c r="H86" i="38"/>
  <c r="J116" i="38" l="1"/>
  <c r="G65" i="67"/>
  <c r="G71" i="67"/>
  <c r="J100" i="38"/>
  <c r="J122" i="38"/>
  <c r="J118" i="38"/>
  <c r="J112" i="38"/>
  <c r="J108" i="38"/>
  <c r="J99" i="38"/>
  <c r="J94" i="38"/>
  <c r="J89" i="38"/>
  <c r="J87" i="38"/>
  <c r="J111" i="38"/>
  <c r="J124" i="38"/>
  <c r="J101" i="38"/>
  <c r="J93" i="38"/>
  <c r="J86" i="38"/>
  <c r="J127" i="38"/>
  <c r="J121" i="38"/>
  <c r="J117" i="38"/>
  <c r="J125" i="38"/>
  <c r="J120" i="38"/>
  <c r="J115" i="38"/>
  <c r="J110" i="38"/>
  <c r="J123" i="38"/>
  <c r="J98" i="38"/>
  <c r="J92" i="38"/>
  <c r="J90" i="38"/>
  <c r="J114" i="38"/>
  <c r="J95" i="38"/>
  <c r="J109" i="38"/>
  <c r="J97" i="38"/>
  <c r="J96" i="38"/>
  <c r="J91" i="38"/>
  <c r="J119" i="38"/>
  <c r="J129" i="38"/>
  <c r="J88" i="38"/>
  <c r="L22" i="38"/>
  <c r="K34" i="38"/>
  <c r="K90" i="38" s="1"/>
  <c r="E42" i="38"/>
  <c r="D42" i="38" s="1"/>
  <c r="G87" i="46"/>
  <c r="H44" i="62"/>
  <c r="G72" i="67"/>
  <c r="G36" i="18"/>
  <c r="G57" i="67"/>
  <c r="G37" i="18"/>
  <c r="G39" i="18" s="1"/>
  <c r="G144" i="13"/>
  <c r="G145" i="13" s="1"/>
  <c r="I118" i="67"/>
  <c r="G83" i="67"/>
  <c r="G42" i="67"/>
  <c r="G52" i="67"/>
  <c r="G79" i="67"/>
  <c r="G82" i="67"/>
  <c r="G76" i="67"/>
  <c r="G75" i="67"/>
  <c r="G56" i="67"/>
  <c r="G59" i="67"/>
  <c r="G55" i="67"/>
  <c r="G58" i="67"/>
  <c r="G60" i="67"/>
  <c r="G54" i="67"/>
  <c r="G118" i="67"/>
  <c r="G81" i="67"/>
  <c r="H118" i="67"/>
  <c r="G196" i="61"/>
  <c r="G198" i="61" s="1"/>
  <c r="C44" i="38"/>
  <c r="G35" i="63"/>
  <c r="K38" i="53"/>
  <c r="K39" i="53"/>
  <c r="D48" i="18"/>
  <c r="B28" i="63"/>
  <c r="D34" i="63"/>
  <c r="D35" i="63" s="1"/>
  <c r="E34" i="63"/>
  <c r="E35" i="63" s="1"/>
  <c r="F34" i="63"/>
  <c r="F35" i="63" s="1"/>
  <c r="L18" i="38"/>
  <c r="I124" i="38"/>
  <c r="I123" i="38"/>
  <c r="I127" i="38"/>
  <c r="I125" i="38"/>
  <c r="I100" i="38"/>
  <c r="I129" i="38"/>
  <c r="I122" i="38"/>
  <c r="I118" i="38"/>
  <c r="I114" i="38"/>
  <c r="I110" i="38"/>
  <c r="I120" i="38"/>
  <c r="I116" i="38"/>
  <c r="I112" i="38"/>
  <c r="I108" i="38"/>
  <c r="I119" i="38"/>
  <c r="I121" i="38"/>
  <c r="I117" i="38"/>
  <c r="I109" i="38"/>
  <c r="I115" i="38"/>
  <c r="I111" i="38"/>
  <c r="F10" i="18"/>
  <c r="K10" i="18"/>
  <c r="H39" i="45"/>
  <c r="D39" i="45" s="1"/>
  <c r="I99" i="38"/>
  <c r="I97" i="38"/>
  <c r="I98" i="38"/>
  <c r="I101" i="38"/>
  <c r="I96" i="38"/>
  <c r="H102" i="38"/>
  <c r="I95" i="38"/>
  <c r="I94" i="38"/>
  <c r="I93" i="38"/>
  <c r="I92" i="38"/>
  <c r="I91" i="38"/>
  <c r="I90" i="38"/>
  <c r="I89" i="38"/>
  <c r="I88" i="38"/>
  <c r="I87" i="38"/>
  <c r="I86" i="38"/>
  <c r="F34" i="38"/>
  <c r="K116" i="38" l="1"/>
  <c r="M22" i="38"/>
  <c r="J102" i="38"/>
  <c r="L34" i="38"/>
  <c r="L92" i="38" s="1"/>
  <c r="K129" i="38"/>
  <c r="K119" i="38"/>
  <c r="K114" i="38"/>
  <c r="K109" i="38"/>
  <c r="K127" i="38"/>
  <c r="K97" i="38"/>
  <c r="K94" i="38"/>
  <c r="K86" i="38"/>
  <c r="K99" i="38"/>
  <c r="K93" i="38"/>
  <c r="K89" i="38"/>
  <c r="K125" i="38"/>
  <c r="K115" i="38"/>
  <c r="K123" i="38"/>
  <c r="K122" i="38"/>
  <c r="K118" i="38"/>
  <c r="K112" i="38"/>
  <c r="K108" i="38"/>
  <c r="K100" i="38"/>
  <c r="K121" i="38"/>
  <c r="K117" i="38"/>
  <c r="K111" i="38"/>
  <c r="K124" i="38"/>
  <c r="K101" i="38"/>
  <c r="K96" i="38"/>
  <c r="K92" i="38"/>
  <c r="K88" i="38"/>
  <c r="K120" i="38"/>
  <c r="K110" i="38"/>
  <c r="K87" i="38"/>
  <c r="K95" i="38"/>
  <c r="K91" i="38"/>
  <c r="K98" i="38"/>
  <c r="O44" i="38"/>
  <c r="K44" i="38"/>
  <c r="G44" i="38"/>
  <c r="L44" i="38"/>
  <c r="N44" i="38"/>
  <c r="J44" i="38"/>
  <c r="F44" i="38"/>
  <c r="H44" i="38"/>
  <c r="Q44" i="38"/>
  <c r="M44" i="38"/>
  <c r="I44" i="38"/>
  <c r="P44" i="38"/>
  <c r="C118" i="67"/>
  <c r="G44" i="18"/>
  <c r="G114" i="67" s="1"/>
  <c r="D16" i="63"/>
  <c r="G47" i="61" s="1"/>
  <c r="B34" i="63"/>
  <c r="B35" i="63" s="1"/>
  <c r="B29" i="63"/>
  <c r="D36" i="63"/>
  <c r="D37" i="63" s="1"/>
  <c r="O18" i="38"/>
  <c r="F123" i="38"/>
  <c r="F127" i="38"/>
  <c r="F125" i="38"/>
  <c r="F124" i="38"/>
  <c r="F100" i="38"/>
  <c r="F121" i="38"/>
  <c r="F117" i="38"/>
  <c r="F109" i="38"/>
  <c r="F119" i="38"/>
  <c r="F115" i="38"/>
  <c r="F111" i="38"/>
  <c r="F122" i="38"/>
  <c r="F120" i="38"/>
  <c r="F116" i="38"/>
  <c r="F112" i="38"/>
  <c r="F108" i="38"/>
  <c r="F129" i="38"/>
  <c r="F114" i="38"/>
  <c r="F118" i="38"/>
  <c r="F110" i="38"/>
  <c r="L10" i="18"/>
  <c r="C48" i="18"/>
  <c r="F97" i="38"/>
  <c r="F101" i="38"/>
  <c r="F98" i="38"/>
  <c r="F99" i="38"/>
  <c r="F96" i="38"/>
  <c r="I102" i="38"/>
  <c r="F35" i="38"/>
  <c r="F95" i="38"/>
  <c r="F94" i="38"/>
  <c r="F93" i="38"/>
  <c r="F92" i="38"/>
  <c r="F91" i="38"/>
  <c r="F90" i="38"/>
  <c r="F88" i="38"/>
  <c r="F87" i="38"/>
  <c r="F89" i="38"/>
  <c r="F86" i="38"/>
  <c r="E39" i="38"/>
  <c r="L91" i="38" l="1"/>
  <c r="L122" i="38"/>
  <c r="L90" i="38"/>
  <c r="L109" i="38"/>
  <c r="L93" i="38"/>
  <c r="L119" i="38"/>
  <c r="L117" i="38"/>
  <c r="L123" i="38"/>
  <c r="K102" i="38"/>
  <c r="L86" i="38"/>
  <c r="L89" i="38"/>
  <c r="L110" i="38"/>
  <c r="L129" i="38"/>
  <c r="L121" i="38"/>
  <c r="L100" i="38"/>
  <c r="L124" i="38"/>
  <c r="L97" i="38"/>
  <c r="L99" i="38"/>
  <c r="L101" i="38"/>
  <c r="L120" i="38"/>
  <c r="L114" i="38"/>
  <c r="L112" i="38"/>
  <c r="L111" i="38"/>
  <c r="L88" i="38"/>
  <c r="L125" i="38"/>
  <c r="L87" i="38"/>
  <c r="L95" i="38"/>
  <c r="L94" i="38"/>
  <c r="L96" i="38"/>
  <c r="L108" i="38"/>
  <c r="L118" i="38"/>
  <c r="L116" i="38"/>
  <c r="L115" i="38"/>
  <c r="L127" i="38"/>
  <c r="L98" i="38"/>
  <c r="N22" i="38"/>
  <c r="M34" i="38"/>
  <c r="M90" i="38" s="1"/>
  <c r="E44" i="38"/>
  <c r="D44" i="38" s="1"/>
  <c r="G77" i="67"/>
  <c r="D18" i="63"/>
  <c r="D19" i="63" s="1"/>
  <c r="G50" i="61" s="1"/>
  <c r="D17" i="63"/>
  <c r="G48" i="61" s="1"/>
  <c r="G35" i="38"/>
  <c r="E17" i="38"/>
  <c r="D17" i="38" s="1"/>
  <c r="E18" i="38"/>
  <c r="D18" i="38" s="1"/>
  <c r="D39" i="38"/>
  <c r="F102" i="38"/>
  <c r="L102" i="38" l="1"/>
  <c r="O22" i="38"/>
  <c r="N34" i="38"/>
  <c r="N90" i="38"/>
  <c r="M124" i="38"/>
  <c r="M120" i="38"/>
  <c r="M127" i="38"/>
  <c r="M122" i="38"/>
  <c r="M112" i="38"/>
  <c r="M99" i="38"/>
  <c r="M96" i="38"/>
  <c r="M92" i="38"/>
  <c r="M88" i="38"/>
  <c r="M101" i="38"/>
  <c r="M91" i="38"/>
  <c r="M87" i="38"/>
  <c r="M100" i="38"/>
  <c r="M125" i="38"/>
  <c r="M123" i="38"/>
  <c r="M117" i="38"/>
  <c r="M110" i="38"/>
  <c r="M119" i="38"/>
  <c r="M108" i="38"/>
  <c r="M129" i="38"/>
  <c r="M114" i="38"/>
  <c r="M109" i="38"/>
  <c r="M118" i="38"/>
  <c r="M97" i="38"/>
  <c r="M94" i="38"/>
  <c r="M86" i="38"/>
  <c r="M121" i="38"/>
  <c r="M111" i="38"/>
  <c r="M115" i="38"/>
  <c r="M93" i="38"/>
  <c r="M89" i="38"/>
  <c r="M98" i="38"/>
  <c r="M95" i="38"/>
  <c r="M116" i="38"/>
  <c r="G49" i="61"/>
  <c r="H35" i="38"/>
  <c r="I10" i="18"/>
  <c r="H10" i="18"/>
  <c r="M102" i="38" l="1"/>
  <c r="N124" i="38"/>
  <c r="N121" i="38"/>
  <c r="N117" i="38"/>
  <c r="N111" i="38"/>
  <c r="N99" i="38"/>
  <c r="N96" i="38"/>
  <c r="N94" i="38"/>
  <c r="N86" i="38"/>
  <c r="N101" i="38"/>
  <c r="N93" i="38"/>
  <c r="N88" i="38"/>
  <c r="N122" i="38"/>
  <c r="N100" i="38"/>
  <c r="N123" i="38"/>
  <c r="N120" i="38"/>
  <c r="N115" i="38"/>
  <c r="N110" i="38"/>
  <c r="N127" i="38"/>
  <c r="N129" i="38"/>
  <c r="N119" i="38"/>
  <c r="N114" i="38"/>
  <c r="N109" i="38"/>
  <c r="N98" i="38"/>
  <c r="N92" i="38"/>
  <c r="N89" i="38"/>
  <c r="N125" i="38"/>
  <c r="N118" i="38"/>
  <c r="N112" i="38"/>
  <c r="N91" i="38"/>
  <c r="N108" i="38"/>
  <c r="N87" i="38"/>
  <c r="N97" i="38"/>
  <c r="N95" i="38"/>
  <c r="N116" i="38"/>
  <c r="P22" i="38"/>
  <c r="O34" i="38"/>
  <c r="I35" i="38"/>
  <c r="J10" i="18"/>
  <c r="P34" i="38" l="1"/>
  <c r="P90" i="38"/>
  <c r="E22" i="38"/>
  <c r="O127" i="38"/>
  <c r="O100" i="38"/>
  <c r="O108" i="38"/>
  <c r="O111" i="38"/>
  <c r="O110" i="38"/>
  <c r="O99" i="38"/>
  <c r="O90" i="38"/>
  <c r="O101" i="38"/>
  <c r="O94" i="38"/>
  <c r="O124" i="38"/>
  <c r="O116" i="38"/>
  <c r="O119" i="38"/>
  <c r="O117" i="38"/>
  <c r="O89" i="38"/>
  <c r="O91" i="38"/>
  <c r="O115" i="38"/>
  <c r="O129" i="38"/>
  <c r="O88" i="38"/>
  <c r="O125" i="38"/>
  <c r="O120" i="38"/>
  <c r="O109" i="38"/>
  <c r="O122" i="38"/>
  <c r="O121" i="38"/>
  <c r="O93" i="38"/>
  <c r="O97" i="38"/>
  <c r="O95" i="38"/>
  <c r="O86" i="38"/>
  <c r="O118" i="38"/>
  <c r="O92" i="38"/>
  <c r="O87" i="38"/>
  <c r="O123" i="38"/>
  <c r="O112" i="38"/>
  <c r="O114" i="38"/>
  <c r="O98" i="38"/>
  <c r="O96" i="38"/>
  <c r="N102" i="38"/>
  <c r="J35" i="38"/>
  <c r="O102" i="38" l="1"/>
  <c r="P100" i="38"/>
  <c r="P121" i="38"/>
  <c r="P111" i="38"/>
  <c r="P114" i="38"/>
  <c r="P120" i="38"/>
  <c r="P97" i="38"/>
  <c r="P92" i="38"/>
  <c r="P88" i="38"/>
  <c r="P99" i="38"/>
  <c r="P95" i="38"/>
  <c r="P91" i="38"/>
  <c r="P87" i="38"/>
  <c r="P115" i="38"/>
  <c r="P129" i="38"/>
  <c r="P127" i="38"/>
  <c r="P119" i="38"/>
  <c r="P109" i="38"/>
  <c r="P110" i="38"/>
  <c r="P112" i="38"/>
  <c r="P96" i="38"/>
  <c r="P125" i="38"/>
  <c r="P117" i="38"/>
  <c r="P122" i="38"/>
  <c r="P124" i="38"/>
  <c r="P108" i="38"/>
  <c r="P101" i="38"/>
  <c r="P94" i="38"/>
  <c r="P86" i="38"/>
  <c r="P123" i="38"/>
  <c r="P118" i="38"/>
  <c r="P98" i="38"/>
  <c r="P89" i="38"/>
  <c r="P93" i="38"/>
  <c r="P116" i="38"/>
  <c r="D22" i="38"/>
  <c r="E34" i="38"/>
  <c r="E90" i="38" s="1"/>
  <c r="Q34" i="38"/>
  <c r="Q90" i="38" s="1"/>
  <c r="K35" i="38"/>
  <c r="J103" i="38" l="1"/>
  <c r="J36" i="38"/>
  <c r="Q127" i="38"/>
  <c r="Q109" i="38"/>
  <c r="Q120" i="38"/>
  <c r="Q110" i="38"/>
  <c r="Q121" i="38"/>
  <c r="Q98" i="38"/>
  <c r="Q92" i="38"/>
  <c r="Q88" i="38"/>
  <c r="Q99" i="38"/>
  <c r="Q95" i="38"/>
  <c r="Q91" i="38"/>
  <c r="Q87" i="38"/>
  <c r="Q111" i="38"/>
  <c r="Q112" i="38"/>
  <c r="Q119" i="38"/>
  <c r="Q124" i="38"/>
  <c r="Q118" i="38"/>
  <c r="Q108" i="38"/>
  <c r="Q117" i="38"/>
  <c r="Q115" i="38"/>
  <c r="Q129" i="38"/>
  <c r="Q114" i="38"/>
  <c r="Q125" i="38"/>
  <c r="Q101" i="38"/>
  <c r="Q94" i="38"/>
  <c r="Q86" i="38"/>
  <c r="Q100" i="38"/>
  <c r="Q122" i="38"/>
  <c r="Q123" i="38"/>
  <c r="Q96" i="38"/>
  <c r="Q93" i="38"/>
  <c r="Q97" i="38"/>
  <c r="Q89" i="38"/>
  <c r="Q116" i="38"/>
  <c r="G103" i="38"/>
  <c r="E124" i="38"/>
  <c r="E111" i="38"/>
  <c r="E121" i="38"/>
  <c r="E119" i="38"/>
  <c r="E98" i="38"/>
  <c r="E95" i="38"/>
  <c r="E101" i="38"/>
  <c r="E88" i="38"/>
  <c r="E109" i="38"/>
  <c r="E100" i="38"/>
  <c r="E125" i="38"/>
  <c r="E117" i="38"/>
  <c r="E89" i="38"/>
  <c r="F103" i="38"/>
  <c r="E123" i="38"/>
  <c r="E96" i="38"/>
  <c r="E115" i="38"/>
  <c r="E122" i="38"/>
  <c r="E93" i="38"/>
  <c r="E120" i="38"/>
  <c r="D34" i="38"/>
  <c r="D35" i="38" s="1"/>
  <c r="G36" i="38"/>
  <c r="E112" i="38"/>
  <c r="E86" i="38"/>
  <c r="E94" i="38"/>
  <c r="F36" i="38"/>
  <c r="H103" i="38"/>
  <c r="E127" i="38"/>
  <c r="E110" i="38"/>
  <c r="E114" i="38"/>
  <c r="E116" i="38"/>
  <c r="E92" i="38"/>
  <c r="E108" i="38"/>
  <c r="E99" i="38"/>
  <c r="E91" i="38"/>
  <c r="E87" i="38"/>
  <c r="H36" i="38"/>
  <c r="E118" i="38"/>
  <c r="E97" i="38"/>
  <c r="I103" i="38"/>
  <c r="I36" i="38"/>
  <c r="P102" i="38"/>
  <c r="L35" i="38"/>
  <c r="K103" i="38"/>
  <c r="K36" i="38"/>
  <c r="E102" i="38" l="1"/>
  <c r="Q102" i="38"/>
  <c r="M35" i="38"/>
  <c r="L103" i="38"/>
  <c r="L36" i="38"/>
  <c r="N35" i="38" l="1"/>
  <c r="M103" i="38"/>
  <c r="M36" i="38"/>
  <c r="N103" i="38" l="1"/>
  <c r="N36" i="38"/>
  <c r="O35" i="38"/>
  <c r="P35" i="38" l="1"/>
  <c r="O103" i="38"/>
  <c r="O36" i="38"/>
  <c r="Q35" i="38" l="1"/>
  <c r="P103" i="38"/>
  <c r="P36" i="38"/>
  <c r="Q103" i="38" l="1"/>
  <c r="Q36" i="38"/>
  <c r="L45" i="18" l="1"/>
  <c r="I45" i="18"/>
  <c r="J45" i="18"/>
  <c r="K45" i="18"/>
  <c r="G45" i="18"/>
  <c r="H45" i="18"/>
  <c r="K115" i="67" l="1"/>
  <c r="H115" i="67"/>
  <c r="I115" i="67"/>
  <c r="J115" i="67"/>
  <c r="G78" i="67"/>
  <c r="G115" i="67"/>
  <c r="L115" i="67"/>
  <c r="D45" i="18"/>
  <c r="C45" i="18"/>
  <c r="C115" i="67" l="1"/>
  <c r="G10" i="18"/>
  <c r="C10" i="18" s="1"/>
  <c r="G42" i="34"/>
  <c r="H42" i="34"/>
  <c r="E24" i="63" s="1"/>
  <c r="L42" i="34"/>
  <c r="I24" i="63" s="1"/>
  <c r="I42" i="34"/>
  <c r="F24" i="63" s="1"/>
  <c r="J42" i="34"/>
  <c r="G24" i="63" s="1"/>
  <c r="K42" i="34"/>
  <c r="H24" i="63" s="1"/>
  <c r="K63" i="34" l="1"/>
  <c r="H25" i="63"/>
  <c r="K64" i="34" s="1"/>
  <c r="J63" i="34"/>
  <c r="G25" i="63"/>
  <c r="J64" i="34" s="1"/>
  <c r="I63" i="34"/>
  <c r="F25" i="63"/>
  <c r="I64" i="34" s="1"/>
  <c r="L63" i="34"/>
  <c r="I25" i="63"/>
  <c r="L64" i="34" s="1"/>
  <c r="H63" i="34"/>
  <c r="E25" i="63"/>
  <c r="H64" i="34" s="1"/>
  <c r="C48" i="38"/>
  <c r="D24" i="63"/>
  <c r="C40" i="38"/>
  <c r="O48" i="38" l="1"/>
  <c r="K48" i="38"/>
  <c r="G48" i="38"/>
  <c r="L48" i="38"/>
  <c r="N48" i="38"/>
  <c r="J48" i="38"/>
  <c r="F48" i="38"/>
  <c r="H48" i="38"/>
  <c r="Q48" i="38"/>
  <c r="M48" i="38"/>
  <c r="I48" i="38"/>
  <c r="P48" i="38"/>
  <c r="O40" i="38"/>
  <c r="K40" i="38"/>
  <c r="G40" i="38"/>
  <c r="P40" i="38"/>
  <c r="N40" i="38"/>
  <c r="J40" i="38"/>
  <c r="F40" i="38"/>
  <c r="H40" i="38"/>
  <c r="Q40" i="38"/>
  <c r="M40" i="38"/>
  <c r="I40" i="38"/>
  <c r="L40" i="38"/>
  <c r="G63" i="34"/>
  <c r="D25" i="63"/>
  <c r="G64" i="34" s="1"/>
  <c r="B24" i="63"/>
  <c r="B25" i="63" s="1"/>
  <c r="D26" i="63"/>
  <c r="D27" i="63" s="1"/>
  <c r="D38" i="63"/>
  <c r="D39" i="63" s="1"/>
  <c r="G47" i="18"/>
  <c r="H47" i="18"/>
  <c r="I113" i="38" l="1"/>
  <c r="I51" i="38"/>
  <c r="G113" i="38"/>
  <c r="G51" i="38"/>
  <c r="J113" i="38"/>
  <c r="J51" i="38"/>
  <c r="K113" i="38"/>
  <c r="K51" i="38"/>
  <c r="I128" i="38"/>
  <c r="I126" i="38"/>
  <c r="G128" i="38"/>
  <c r="G126" i="38"/>
  <c r="E40" i="38"/>
  <c r="F113" i="38"/>
  <c r="F51" i="38"/>
  <c r="H128" i="38"/>
  <c r="H126" i="38"/>
  <c r="L126" i="38"/>
  <c r="L128" i="38"/>
  <c r="Q113" i="38"/>
  <c r="Q51" i="38"/>
  <c r="N113" i="38"/>
  <c r="N51" i="38"/>
  <c r="O113" i="38"/>
  <c r="O51" i="38"/>
  <c r="M126" i="38"/>
  <c r="M128" i="38"/>
  <c r="J128" i="38"/>
  <c r="J126" i="38"/>
  <c r="K128" i="38"/>
  <c r="K126" i="38"/>
  <c r="P128" i="38"/>
  <c r="P126" i="38"/>
  <c r="M113" i="38"/>
  <c r="M51" i="38"/>
  <c r="E48" i="38"/>
  <c r="F126" i="38"/>
  <c r="F128" i="38"/>
  <c r="L113" i="38"/>
  <c r="L51" i="38"/>
  <c r="H113" i="38"/>
  <c r="H51" i="38"/>
  <c r="P113" i="38"/>
  <c r="P51" i="38"/>
  <c r="Q128" i="38"/>
  <c r="Q126" i="38"/>
  <c r="N126" i="38"/>
  <c r="N128" i="38"/>
  <c r="O128" i="38"/>
  <c r="O126" i="38"/>
  <c r="H117" i="67"/>
  <c r="G117" i="67"/>
  <c r="G80" i="67"/>
  <c r="F14" i="45"/>
  <c r="D63" i="34"/>
  <c r="D64" i="34"/>
  <c r="H46" i="62"/>
  <c r="G51" i="61"/>
  <c r="G89" i="46"/>
  <c r="G67" i="34"/>
  <c r="G66" i="34"/>
  <c r="G65" i="34"/>
  <c r="G50" i="18"/>
  <c r="G51" i="18" s="1"/>
  <c r="D48" i="38"/>
  <c r="C51" i="38"/>
  <c r="C53" i="38" s="1"/>
  <c r="I47" i="18"/>
  <c r="L53" i="38" l="1"/>
  <c r="L52" i="38"/>
  <c r="L75" i="38" s="1"/>
  <c r="L134" i="38" s="1"/>
  <c r="M53" i="38"/>
  <c r="M52" i="38"/>
  <c r="M75" i="38" s="1"/>
  <c r="M134" i="38" s="1"/>
  <c r="N53" i="38"/>
  <c r="N52" i="38"/>
  <c r="F53" i="38"/>
  <c r="F54" i="38" s="1"/>
  <c r="F57" i="38"/>
  <c r="F52" i="38"/>
  <c r="E128" i="38"/>
  <c r="E134" i="38" s="1"/>
  <c r="E138" i="38" s="1"/>
  <c r="E126" i="38"/>
  <c r="G53" i="38"/>
  <c r="G52" i="38"/>
  <c r="G75" i="38" s="1"/>
  <c r="G134" i="38" s="1"/>
  <c r="H53" i="38"/>
  <c r="H52" i="38"/>
  <c r="J53" i="38"/>
  <c r="J52" i="38"/>
  <c r="J75" i="38" s="1"/>
  <c r="J134" i="38" s="1"/>
  <c r="I53" i="38"/>
  <c r="I52" i="38"/>
  <c r="I75" i="38" s="1"/>
  <c r="I134" i="38" s="1"/>
  <c r="P53" i="38"/>
  <c r="P52" i="38"/>
  <c r="P75" i="38" s="1"/>
  <c r="P134" i="38" s="1"/>
  <c r="K53" i="38"/>
  <c r="K52" i="38"/>
  <c r="O53" i="38"/>
  <c r="O52" i="38"/>
  <c r="O75" i="38" s="1"/>
  <c r="O134" i="38" s="1"/>
  <c r="Q53" i="38"/>
  <c r="Q52" i="38"/>
  <c r="E113" i="38"/>
  <c r="E51" i="38"/>
  <c r="E75" i="38" s="1"/>
  <c r="D40" i="38"/>
  <c r="D51" i="38" s="1"/>
  <c r="D53" i="38" s="1"/>
  <c r="I117" i="67"/>
  <c r="G121" i="67"/>
  <c r="G84" i="67"/>
  <c r="G43" i="67"/>
  <c r="C52" i="38"/>
  <c r="G68" i="34"/>
  <c r="G52" i="61"/>
  <c r="G90" i="46"/>
  <c r="H47" i="62"/>
  <c r="G53" i="18"/>
  <c r="J47" i="18"/>
  <c r="G54" i="38" l="1"/>
  <c r="H54" i="38" s="1"/>
  <c r="I54" i="38" s="1"/>
  <c r="J54" i="38" s="1"/>
  <c r="K54" i="38" s="1"/>
  <c r="L54" i="38" s="1"/>
  <c r="M54" i="38" s="1"/>
  <c r="N54" i="38" s="1"/>
  <c r="O54" i="38" s="1"/>
  <c r="P54" i="38" s="1"/>
  <c r="Q54" i="38" s="1"/>
  <c r="F75" i="38"/>
  <c r="E52" i="38"/>
  <c r="G57" i="38"/>
  <c r="F58" i="38"/>
  <c r="F59" i="38" s="1"/>
  <c r="E53" i="38"/>
  <c r="G62" i="18"/>
  <c r="G123" i="67"/>
  <c r="G124" i="67" s="1"/>
  <c r="G44" i="67"/>
  <c r="G85" i="67"/>
  <c r="G14" i="67"/>
  <c r="G15" i="67" s="1"/>
  <c r="J117" i="67"/>
  <c r="G77" i="18"/>
  <c r="G54" i="18"/>
  <c r="G86" i="67" s="1"/>
  <c r="G79" i="18"/>
  <c r="G80" i="18" s="1"/>
  <c r="C42" i="34"/>
  <c r="K47" i="18"/>
  <c r="L47" i="18"/>
  <c r="G58" i="38" l="1"/>
  <c r="G59" i="38" s="1"/>
  <c r="H57" i="38"/>
  <c r="F134" i="38"/>
  <c r="K117" i="67"/>
  <c r="G125" i="67"/>
  <c r="L117" i="67"/>
  <c r="D47" i="18"/>
  <c r="C47" i="18"/>
  <c r="H58" i="38" l="1"/>
  <c r="H59" i="38" s="1"/>
  <c r="I57" i="38"/>
  <c r="C117" i="67"/>
  <c r="F50" i="18"/>
  <c r="C42" i="18"/>
  <c r="I58" i="38" l="1"/>
  <c r="I59" i="38" s="1"/>
  <c r="J57" i="38"/>
  <c r="F84" i="67"/>
  <c r="F51" i="18"/>
  <c r="F53" i="18"/>
  <c r="E77" i="38" s="1"/>
  <c r="F136" i="38" l="1"/>
  <c r="F138" i="38" s="1"/>
  <c r="G136" i="38" s="1"/>
  <c r="G138" i="38" s="1"/>
  <c r="H136" i="38" s="1"/>
  <c r="F77" i="38"/>
  <c r="E79" i="38"/>
  <c r="J58" i="38"/>
  <c r="J59" i="38" s="1"/>
  <c r="K57" i="38"/>
  <c r="F62" i="18"/>
  <c r="F66" i="18" s="1"/>
  <c r="F85" i="67"/>
  <c r="F16" i="67"/>
  <c r="F77" i="18"/>
  <c r="F79" i="18"/>
  <c r="F55" i="18"/>
  <c r="G55" i="18" s="1"/>
  <c r="F130" i="38" l="1"/>
  <c r="F79" i="38"/>
  <c r="F68" i="18"/>
  <c r="F71" i="18" s="1"/>
  <c r="F72" i="18" s="1"/>
  <c r="K58" i="38"/>
  <c r="K59" i="38" s="1"/>
  <c r="L57" i="38"/>
  <c r="F67" i="18"/>
  <c r="F64" i="18"/>
  <c r="F88" i="67"/>
  <c r="G16" i="67"/>
  <c r="F131" i="38" l="1"/>
  <c r="G77" i="38"/>
  <c r="F69" i="18"/>
  <c r="G61" i="18" s="1"/>
  <c r="G63" i="18" s="1"/>
  <c r="L58" i="38"/>
  <c r="L59" i="38" s="1"/>
  <c r="M57" i="38"/>
  <c r="G66" i="18"/>
  <c r="G88" i="67"/>
  <c r="G17" i="67"/>
  <c r="G81" i="38" l="1"/>
  <c r="G130" i="38"/>
  <c r="G79" i="38"/>
  <c r="G68" i="18"/>
  <c r="G71" i="18" s="1"/>
  <c r="G72" i="18" s="1"/>
  <c r="M58" i="38"/>
  <c r="M59" i="38" s="1"/>
  <c r="N57" i="38"/>
  <c r="G64" i="18"/>
  <c r="G67" i="18"/>
  <c r="F287" i="35"/>
  <c r="H77" i="38" l="1"/>
  <c r="G131" i="38"/>
  <c r="G69" i="18"/>
  <c r="H61" i="18" s="1"/>
  <c r="H63" i="18" s="1"/>
  <c r="N58" i="38"/>
  <c r="N59" i="38" s="1"/>
  <c r="O57" i="38"/>
  <c r="F228" i="35"/>
  <c r="H130" i="38" l="1"/>
  <c r="H81" i="38"/>
  <c r="O58" i="38"/>
  <c r="O59" i="38" s="1"/>
  <c r="P57" i="38"/>
  <c r="F202" i="35"/>
  <c r="F286" i="35"/>
  <c r="I228" i="35"/>
  <c r="I287" i="35"/>
  <c r="H228" i="35"/>
  <c r="H287" i="35"/>
  <c r="G228" i="35"/>
  <c r="G287" i="35"/>
  <c r="P58" i="38" l="1"/>
  <c r="P59" i="38" s="1"/>
  <c r="Q57" i="38"/>
  <c r="Q58" i="38" s="1"/>
  <c r="Q59" i="38" s="1"/>
  <c r="J228" i="35"/>
  <c r="F294" i="35"/>
  <c r="F271" i="35" s="1"/>
  <c r="F203" i="35"/>
  <c r="I286" i="35"/>
  <c r="I202" i="35"/>
  <c r="G286" i="35"/>
  <c r="G202" i="35"/>
  <c r="J286" i="35"/>
  <c r="F290" i="35"/>
  <c r="J290" i="35" s="1"/>
  <c r="F273" i="35"/>
  <c r="H286" i="35"/>
  <c r="H202" i="35"/>
  <c r="J287" i="35"/>
  <c r="F295" i="35" l="1"/>
  <c r="F205" i="35"/>
  <c r="F297" i="35" s="1"/>
  <c r="I294" i="35"/>
  <c r="I271" i="35" s="1"/>
  <c r="I203" i="35"/>
  <c r="H294" i="35"/>
  <c r="H271" i="35" s="1"/>
  <c r="H203" i="35"/>
  <c r="G294" i="35"/>
  <c r="J294" i="35" s="1"/>
  <c r="G203" i="35"/>
  <c r="J202" i="35"/>
  <c r="G273" i="35"/>
  <c r="G290" i="35"/>
  <c r="H273" i="35"/>
  <c r="H290" i="35"/>
  <c r="I273" i="35"/>
  <c r="I290" i="35"/>
  <c r="G271" i="35" l="1"/>
  <c r="J271" i="35" s="1"/>
  <c r="G205" i="35"/>
  <c r="G297" i="35" s="1"/>
  <c r="G274" i="35" s="1"/>
  <c r="G295" i="35"/>
  <c r="G272" i="35" s="1"/>
  <c r="F274" i="35"/>
  <c r="H295" i="35"/>
  <c r="H205" i="35"/>
  <c r="H297" i="35" s="1"/>
  <c r="H274" i="35" s="1"/>
  <c r="J203" i="35"/>
  <c r="J205" i="35" s="1"/>
  <c r="I295" i="35"/>
  <c r="I205" i="35"/>
  <c r="I297" i="35" s="1"/>
  <c r="I274" i="35" s="1"/>
  <c r="F272" i="35"/>
  <c r="F300" i="35"/>
  <c r="F302" i="35" s="1"/>
  <c r="G277" i="35" l="1"/>
  <c r="G279" i="35" s="1"/>
  <c r="J295" i="35"/>
  <c r="G300" i="35"/>
  <c r="G302" i="35" s="1"/>
  <c r="F277" i="35"/>
  <c r="F279" i="35" s="1"/>
  <c r="H272" i="35"/>
  <c r="H277" i="35" s="1"/>
  <c r="H279" i="35" s="1"/>
  <c r="H300" i="35"/>
  <c r="H302" i="35" s="1"/>
  <c r="I272" i="35"/>
  <c r="I277" i="35" s="1"/>
  <c r="I279" i="35" s="1"/>
  <c r="I300" i="35"/>
  <c r="I302" i="35" s="1"/>
  <c r="J297" i="35"/>
  <c r="J274" i="35"/>
  <c r="J272" i="35" l="1"/>
  <c r="Q71" i="38" l="1"/>
  <c r="Q75" i="38" s="1"/>
  <c r="Q134" i="38" s="1"/>
  <c r="K71" i="38"/>
  <c r="K75" i="38" s="1"/>
  <c r="K134" i="38" s="1"/>
  <c r="N71" i="38"/>
  <c r="N75" i="38" s="1"/>
  <c r="N134" i="38" s="1"/>
  <c r="E66" i="38"/>
  <c r="H71" i="38"/>
  <c r="H75" i="38" s="1"/>
  <c r="E71" i="38" l="1"/>
  <c r="H134" i="38"/>
  <c r="H138" i="38" s="1"/>
  <c r="I136" i="38" s="1"/>
  <c r="I138" i="38" s="1"/>
  <c r="J136" i="38" s="1"/>
  <c r="J138" i="38" s="1"/>
  <c r="K136" i="38" s="1"/>
  <c r="K138" i="38" s="1"/>
  <c r="L136" i="38" s="1"/>
  <c r="L138" i="38" s="1"/>
  <c r="M136" i="38" s="1"/>
  <c r="M138" i="38" s="1"/>
  <c r="N136" i="38" s="1"/>
  <c r="N138" i="38" s="1"/>
  <c r="O136" i="38" s="1"/>
  <c r="O138" i="38" s="1"/>
  <c r="P136" i="38" s="1"/>
  <c r="P138" i="38" s="1"/>
  <c r="Q136" i="38" s="1"/>
  <c r="Q138" i="38" s="1"/>
  <c r="H79" i="38"/>
  <c r="H131" i="38" l="1"/>
  <c r="I77" i="38"/>
  <c r="I130" i="38" l="1"/>
  <c r="I79" i="38"/>
  <c r="I81" i="38"/>
  <c r="I131" i="38" l="1"/>
  <c r="J77" i="38"/>
  <c r="J79" i="38" l="1"/>
  <c r="J130" i="38"/>
  <c r="J81" i="38"/>
  <c r="K77" i="38" l="1"/>
  <c r="J131" i="38"/>
  <c r="K79" i="38" l="1"/>
  <c r="K81" i="38"/>
  <c r="K130" i="38"/>
  <c r="K131" i="38" l="1"/>
  <c r="L77" i="38"/>
  <c r="L81" i="38" l="1"/>
  <c r="L130" i="38"/>
  <c r="L79" i="38"/>
  <c r="L131" i="38" l="1"/>
  <c r="M77" i="38"/>
  <c r="M79" i="38" l="1"/>
  <c r="M81" i="38"/>
  <c r="M130" i="38"/>
  <c r="N77" i="38" l="1"/>
  <c r="M131" i="38"/>
  <c r="N79" i="38" l="1"/>
  <c r="N130" i="38"/>
  <c r="N81" i="38"/>
  <c r="N131" i="38" l="1"/>
  <c r="O77" i="38"/>
  <c r="O130" i="38" l="1"/>
  <c r="O79" i="38"/>
  <c r="O81" i="38"/>
  <c r="O131" i="38" l="1"/>
  <c r="P77" i="38"/>
  <c r="P81" i="38" l="1"/>
  <c r="P130" i="38"/>
  <c r="P79" i="38"/>
  <c r="Q77" i="38" l="1"/>
  <c r="P131" i="38"/>
  <c r="Q81" i="38" l="1"/>
  <c r="Q79" i="38"/>
  <c r="Q131" i="38" s="1"/>
  <c r="Q130" i="38"/>
  <c r="H62" i="13" l="1"/>
  <c r="I78" i="13" s="1"/>
  <c r="H78" i="13" l="1"/>
  <c r="I62" i="13"/>
  <c r="J78" i="13" s="1"/>
  <c r="L62" i="13"/>
  <c r="K62" i="13"/>
  <c r="L78" i="13" s="1"/>
  <c r="J62" i="13"/>
  <c r="K78" i="13" s="1"/>
  <c r="H79" i="13"/>
  <c r="K63" i="13" l="1"/>
  <c r="L79" i="13" s="1"/>
  <c r="H63" i="13"/>
  <c r="I79" i="13" s="1"/>
  <c r="I63" i="13"/>
  <c r="J79" i="13" s="1"/>
  <c r="L63" i="13"/>
  <c r="J63" i="13"/>
  <c r="K79" i="13" s="1"/>
  <c r="H64" i="13"/>
  <c r="H67" i="13" l="1"/>
  <c r="I80" i="13"/>
  <c r="I110" i="13" s="1"/>
  <c r="H65" i="13"/>
  <c r="H69" i="13" s="1"/>
  <c r="I64" i="13"/>
  <c r="J64" i="13"/>
  <c r="K64" i="13"/>
  <c r="L64" i="13"/>
  <c r="L67" i="13" s="1"/>
  <c r="I109" i="13" l="1"/>
  <c r="G67" i="13"/>
  <c r="H80" i="13"/>
  <c r="J67" i="13"/>
  <c r="K80" i="13"/>
  <c r="I67" i="13"/>
  <c r="J80" i="13"/>
  <c r="K67" i="13"/>
  <c r="L80" i="13"/>
  <c r="H66" i="13"/>
  <c r="H68" i="13" s="1"/>
  <c r="J65" i="13"/>
  <c r="J69" i="13" s="1"/>
  <c r="K65" i="13"/>
  <c r="K69" i="13" s="1"/>
  <c r="I65" i="13"/>
  <c r="I69" i="13" s="1"/>
  <c r="L65" i="13"/>
  <c r="L69" i="13" s="1"/>
  <c r="G65" i="13"/>
  <c r="G69" i="13" s="1"/>
  <c r="I113" i="13" l="1"/>
  <c r="I114" i="13" s="1"/>
  <c r="I14" i="18" s="1"/>
  <c r="I115" i="13"/>
  <c r="L110" i="13"/>
  <c r="L109" i="13"/>
  <c r="L115" i="13" s="1"/>
  <c r="K110" i="13"/>
  <c r="K109" i="13"/>
  <c r="K115" i="13" s="1"/>
  <c r="H109" i="13"/>
  <c r="H110" i="13"/>
  <c r="J110" i="13"/>
  <c r="J109" i="13"/>
  <c r="J115" i="13" s="1"/>
  <c r="G66" i="13"/>
  <c r="G68" i="13" s="1"/>
  <c r="J66" i="13"/>
  <c r="J68" i="13" s="1"/>
  <c r="K66" i="13"/>
  <c r="K68" i="13" s="1"/>
  <c r="L66" i="13"/>
  <c r="L68" i="13" s="1"/>
  <c r="I66" i="13"/>
  <c r="I68" i="13" s="1"/>
  <c r="H115" i="13" l="1"/>
  <c r="H113" i="13"/>
  <c r="H114" i="13" s="1"/>
  <c r="H14" i="18" s="1"/>
  <c r="I74" i="61"/>
  <c r="I75" i="61"/>
  <c r="I15" i="18"/>
  <c r="I53" i="67" s="1"/>
  <c r="J113" i="13"/>
  <c r="J114" i="13" s="1"/>
  <c r="J14" i="18" s="1"/>
  <c r="L113" i="13"/>
  <c r="L114" i="13" s="1"/>
  <c r="L14" i="18" s="1"/>
  <c r="K113" i="13"/>
  <c r="K114" i="13" s="1"/>
  <c r="K14" i="18" s="1"/>
  <c r="I105" i="61" l="1"/>
  <c r="I194" i="61" s="1"/>
  <c r="I196" i="61" s="1"/>
  <c r="I198" i="61" s="1"/>
  <c r="I44" i="18" s="1"/>
  <c r="I116" i="13"/>
  <c r="I142" i="13" s="1"/>
  <c r="I92" i="67"/>
  <c r="I93" i="67"/>
  <c r="I34" i="18"/>
  <c r="I65" i="67" s="1"/>
  <c r="J75" i="61"/>
  <c r="J15" i="18"/>
  <c r="J53" i="67" s="1"/>
  <c r="J74" i="61"/>
  <c r="L74" i="61"/>
  <c r="L15" i="18"/>
  <c r="L53" i="67" s="1"/>
  <c r="L75" i="61"/>
  <c r="H15" i="18"/>
  <c r="H53" i="67" s="1"/>
  <c r="H74" i="61"/>
  <c r="H75" i="61"/>
  <c r="K74" i="61"/>
  <c r="K15" i="18"/>
  <c r="K53" i="67" s="1"/>
  <c r="K75" i="61"/>
  <c r="I106" i="61" l="1"/>
  <c r="H13" i="45"/>
  <c r="I35" i="18"/>
  <c r="I36" i="18" s="1"/>
  <c r="I72" i="67"/>
  <c r="I57" i="67"/>
  <c r="I37" i="18"/>
  <c r="I144" i="13"/>
  <c r="I145" i="13" s="1"/>
  <c r="I117" i="13"/>
  <c r="I45" i="61"/>
  <c r="I46" i="61" s="1"/>
  <c r="L92" i="67"/>
  <c r="J92" i="67"/>
  <c r="H92" i="67"/>
  <c r="H93" i="67"/>
  <c r="L93" i="67"/>
  <c r="I109" i="67"/>
  <c r="K93" i="67"/>
  <c r="J93" i="67"/>
  <c r="K92" i="67"/>
  <c r="I83" i="67"/>
  <c r="I42" i="67"/>
  <c r="I61" i="67"/>
  <c r="I79" i="67"/>
  <c r="I82" i="67"/>
  <c r="I76" i="67"/>
  <c r="I75" i="67"/>
  <c r="I55" i="67"/>
  <c r="I60" i="67"/>
  <c r="I56" i="67"/>
  <c r="I59" i="67"/>
  <c r="I54" i="67"/>
  <c r="I58" i="67"/>
  <c r="I81" i="67"/>
  <c r="I78" i="67"/>
  <c r="I80" i="67"/>
  <c r="I52" i="67"/>
  <c r="F10" i="63"/>
  <c r="J34" i="62" s="1"/>
  <c r="I143" i="13"/>
  <c r="I38" i="18" s="1"/>
  <c r="K105" i="61"/>
  <c r="K106" i="61" s="1"/>
  <c r="K116" i="13"/>
  <c r="L105" i="61"/>
  <c r="L106" i="61" s="1"/>
  <c r="L116" i="13"/>
  <c r="F16" i="63"/>
  <c r="H116" i="13"/>
  <c r="D14" i="18"/>
  <c r="C14" i="18"/>
  <c r="H34" i="18"/>
  <c r="H65" i="67" s="1"/>
  <c r="L34" i="18"/>
  <c r="L65" i="67" s="1"/>
  <c r="K34" i="18"/>
  <c r="K65" i="67" s="1"/>
  <c r="J116" i="13"/>
  <c r="J34" i="18"/>
  <c r="J65" i="67" s="1"/>
  <c r="D15" i="18"/>
  <c r="C15" i="18"/>
  <c r="H105" i="61"/>
  <c r="J105" i="61"/>
  <c r="L72" i="67" l="1"/>
  <c r="H72" i="67"/>
  <c r="J72" i="67"/>
  <c r="K72" i="67"/>
  <c r="I39" i="18"/>
  <c r="K109" i="67"/>
  <c r="K57" i="67"/>
  <c r="K37" i="18"/>
  <c r="K144" i="13"/>
  <c r="L144" i="13"/>
  <c r="L37" i="18"/>
  <c r="J57" i="67"/>
  <c r="J37" i="18"/>
  <c r="J144" i="13"/>
  <c r="H57" i="67"/>
  <c r="H144" i="13"/>
  <c r="H37" i="18"/>
  <c r="L52" i="67"/>
  <c r="L57" i="67"/>
  <c r="K194" i="61"/>
  <c r="K196" i="61" s="1"/>
  <c r="K198" i="61" s="1"/>
  <c r="K44" i="18" s="1"/>
  <c r="F22" i="63"/>
  <c r="I87" i="46" s="1"/>
  <c r="F11" i="63"/>
  <c r="I84" i="46" s="1"/>
  <c r="F26" i="63"/>
  <c r="F27" i="63" s="1"/>
  <c r="I66" i="34" s="1"/>
  <c r="F36" i="63"/>
  <c r="F37" i="63" s="1"/>
  <c r="L194" i="61"/>
  <c r="L196" i="61" s="1"/>
  <c r="L198" i="61" s="1"/>
  <c r="L44" i="18" s="1"/>
  <c r="F14" i="63"/>
  <c r="F15" i="63" s="1"/>
  <c r="J45" i="62" s="1"/>
  <c r="F38" i="63"/>
  <c r="J46" i="62" s="1"/>
  <c r="H83" i="67"/>
  <c r="H42" i="67"/>
  <c r="H61" i="67"/>
  <c r="H79" i="67"/>
  <c r="H82" i="67"/>
  <c r="H76" i="67"/>
  <c r="H75" i="67"/>
  <c r="H56" i="67"/>
  <c r="H59" i="67"/>
  <c r="H55" i="67"/>
  <c r="H60" i="67"/>
  <c r="H54" i="67"/>
  <c r="H58" i="67"/>
  <c r="H81" i="67"/>
  <c r="H78" i="67"/>
  <c r="H80" i="67"/>
  <c r="C93" i="67"/>
  <c r="J109" i="67"/>
  <c r="J83" i="67"/>
  <c r="J42" i="67"/>
  <c r="J61" i="67"/>
  <c r="J79" i="67"/>
  <c r="J82" i="67"/>
  <c r="J76" i="67"/>
  <c r="J60" i="67"/>
  <c r="J59" i="67"/>
  <c r="J55" i="67"/>
  <c r="J54" i="67"/>
  <c r="J56" i="67"/>
  <c r="J58" i="67"/>
  <c r="J75" i="67"/>
  <c r="J81" i="67"/>
  <c r="J78" i="67"/>
  <c r="J80" i="67"/>
  <c r="K83" i="67"/>
  <c r="K42" i="67"/>
  <c r="K61" i="67"/>
  <c r="K79" i="67"/>
  <c r="K82" i="67"/>
  <c r="K76" i="67"/>
  <c r="K55" i="67"/>
  <c r="K59" i="67"/>
  <c r="K56" i="67"/>
  <c r="K60" i="67"/>
  <c r="K54" i="67"/>
  <c r="K58" i="67"/>
  <c r="K81" i="67"/>
  <c r="K75" i="67"/>
  <c r="K78" i="67"/>
  <c r="K80" i="67"/>
  <c r="I114" i="67"/>
  <c r="I121" i="67" s="1"/>
  <c r="I123" i="67" s="1"/>
  <c r="I124" i="67" s="1"/>
  <c r="I77" i="67"/>
  <c r="H52" i="67"/>
  <c r="J52" i="67"/>
  <c r="L83" i="67"/>
  <c r="L42" i="67"/>
  <c r="L61" i="67"/>
  <c r="L79" i="67"/>
  <c r="L82" i="67"/>
  <c r="L59" i="67"/>
  <c r="L60" i="67"/>
  <c r="L55" i="67"/>
  <c r="L54" i="67"/>
  <c r="L56" i="67"/>
  <c r="L58" i="67"/>
  <c r="L76" i="67"/>
  <c r="L81" i="67"/>
  <c r="L75" i="67"/>
  <c r="L78" i="67"/>
  <c r="L80" i="67"/>
  <c r="K52" i="67"/>
  <c r="H109" i="67"/>
  <c r="C92" i="67"/>
  <c r="L109" i="67"/>
  <c r="I61" i="34"/>
  <c r="I83" i="46"/>
  <c r="F18" i="63"/>
  <c r="F19" i="63" s="1"/>
  <c r="I50" i="61" s="1"/>
  <c r="L142" i="13"/>
  <c r="L35" i="18" s="1"/>
  <c r="L36" i="18" s="1"/>
  <c r="L117" i="13"/>
  <c r="H142" i="13"/>
  <c r="H117" i="13"/>
  <c r="J142" i="13"/>
  <c r="J117" i="13"/>
  <c r="K142" i="13"/>
  <c r="K35" i="18" s="1"/>
  <c r="K36" i="18" s="1"/>
  <c r="K117" i="13"/>
  <c r="J106" i="61"/>
  <c r="J194" i="61"/>
  <c r="J196" i="61" s="1"/>
  <c r="J198" i="61" s="1"/>
  <c r="J44" i="18" s="1"/>
  <c r="C34" i="18"/>
  <c r="C53" i="67" s="1"/>
  <c r="I50" i="18"/>
  <c r="I51" i="18" s="1"/>
  <c r="H14" i="45"/>
  <c r="H194" i="61"/>
  <c r="H196" i="61" s="1"/>
  <c r="H198" i="61" s="1"/>
  <c r="H106" i="61"/>
  <c r="D34" i="18"/>
  <c r="E15" i="18" s="1"/>
  <c r="I47" i="61"/>
  <c r="F17" i="63"/>
  <c r="I48" i="61" s="1"/>
  <c r="E10" i="63" l="1"/>
  <c r="H83" i="46" s="1"/>
  <c r="H35" i="18"/>
  <c r="H36" i="18" s="1"/>
  <c r="G10" i="63"/>
  <c r="G14" i="63" s="1"/>
  <c r="J35" i="18"/>
  <c r="J36" i="18" s="1"/>
  <c r="F23" i="63"/>
  <c r="I88" i="46" s="1"/>
  <c r="J145" i="13"/>
  <c r="L145" i="13"/>
  <c r="C52" i="67"/>
  <c r="C70" i="67"/>
  <c r="C68" i="67"/>
  <c r="C63" i="67"/>
  <c r="C67" i="67"/>
  <c r="C65" i="67"/>
  <c r="C71" i="67"/>
  <c r="C69" i="67"/>
  <c r="C66" i="67"/>
  <c r="C64" i="67"/>
  <c r="K145" i="13"/>
  <c r="H145" i="13"/>
  <c r="I62" i="34"/>
  <c r="I65" i="34"/>
  <c r="H16" i="63"/>
  <c r="K47" i="61" s="1"/>
  <c r="F39" i="63"/>
  <c r="I90" i="46" s="1"/>
  <c r="J44" i="62"/>
  <c r="I89" i="46"/>
  <c r="I67" i="34"/>
  <c r="I51" i="61"/>
  <c r="I49" i="61"/>
  <c r="I16" i="63"/>
  <c r="L47" i="61" s="1"/>
  <c r="I13" i="45"/>
  <c r="H44" i="18"/>
  <c r="C198" i="61"/>
  <c r="I125" i="67"/>
  <c r="L114" i="67"/>
  <c r="L121" i="67" s="1"/>
  <c r="L123" i="67" s="1"/>
  <c r="L77" i="67"/>
  <c r="C109" i="67"/>
  <c r="I84" i="67"/>
  <c r="I43" i="67"/>
  <c r="I44" i="67" s="1"/>
  <c r="K114" i="67"/>
  <c r="K121" i="67" s="1"/>
  <c r="K123" i="67" s="1"/>
  <c r="K124" i="67" s="1"/>
  <c r="K77" i="67"/>
  <c r="C42" i="67"/>
  <c r="C72" i="67"/>
  <c r="C57" i="67"/>
  <c r="C79" i="67"/>
  <c r="C82" i="67"/>
  <c r="C83" i="67"/>
  <c r="C76" i="67"/>
  <c r="C62" i="67"/>
  <c r="C59" i="67"/>
  <c r="C54" i="67"/>
  <c r="C55" i="67"/>
  <c r="C56" i="67"/>
  <c r="C58" i="67"/>
  <c r="C60" i="67"/>
  <c r="C61" i="67"/>
  <c r="C81" i="67"/>
  <c r="C78" i="67"/>
  <c r="C80" i="67"/>
  <c r="C75" i="67"/>
  <c r="J143" i="13"/>
  <c r="J38" i="18" s="1"/>
  <c r="J39" i="18" s="1"/>
  <c r="J45" i="61"/>
  <c r="J46" i="61" s="1"/>
  <c r="H143" i="13"/>
  <c r="H38" i="18" s="1"/>
  <c r="H39" i="18" s="1"/>
  <c r="G13" i="45"/>
  <c r="H45" i="61"/>
  <c r="H46" i="61" s="1"/>
  <c r="C142" i="13"/>
  <c r="K143" i="13"/>
  <c r="K38" i="18" s="1"/>
  <c r="K39" i="18" s="1"/>
  <c r="J13" i="45"/>
  <c r="K45" i="61"/>
  <c r="K46" i="61" s="1"/>
  <c r="H10" i="63"/>
  <c r="L45" i="61"/>
  <c r="L46" i="61" s="1"/>
  <c r="L143" i="13"/>
  <c r="L38" i="18" s="1"/>
  <c r="L39" i="18" s="1"/>
  <c r="I10" i="63"/>
  <c r="K13" i="45"/>
  <c r="E33" i="18"/>
  <c r="E48" i="18"/>
  <c r="E49" i="18"/>
  <c r="E32" i="18"/>
  <c r="E21" i="18"/>
  <c r="E18" i="18"/>
  <c r="E29" i="18"/>
  <c r="E43" i="18"/>
  <c r="E31" i="18"/>
  <c r="E25" i="18"/>
  <c r="E19" i="18"/>
  <c r="E46" i="18"/>
  <c r="E26" i="18"/>
  <c r="E22" i="18"/>
  <c r="E16" i="18"/>
  <c r="E17" i="18"/>
  <c r="E23" i="18"/>
  <c r="E42" i="18"/>
  <c r="E30" i="18"/>
  <c r="E27" i="18"/>
  <c r="E20" i="18"/>
  <c r="E28" i="18"/>
  <c r="E34" i="18"/>
  <c r="E24" i="18"/>
  <c r="E45" i="18"/>
  <c r="E47" i="18"/>
  <c r="C196" i="61"/>
  <c r="E16" i="63"/>
  <c r="E14" i="18"/>
  <c r="I34" i="62"/>
  <c r="E14" i="63"/>
  <c r="G16" i="63"/>
  <c r="I53" i="18"/>
  <c r="L50" i="18"/>
  <c r="L51" i="18" s="1"/>
  <c r="K14" i="45"/>
  <c r="J14" i="45"/>
  <c r="K50" i="18"/>
  <c r="K51" i="18" s="1"/>
  <c r="K34" i="62"/>
  <c r="J83" i="46" l="1"/>
  <c r="J61" i="34"/>
  <c r="G11" i="63"/>
  <c r="J62" i="34" s="1"/>
  <c r="G26" i="63"/>
  <c r="G27" i="63" s="1"/>
  <c r="J66" i="34" s="1"/>
  <c r="G22" i="63"/>
  <c r="J87" i="46" s="1"/>
  <c r="G36" i="63"/>
  <c r="G37" i="63" s="1"/>
  <c r="G38" i="63"/>
  <c r="G39" i="63" s="1"/>
  <c r="E11" i="63"/>
  <c r="H62" i="34" s="1"/>
  <c r="E26" i="63"/>
  <c r="E27" i="63" s="1"/>
  <c r="H66" i="34" s="1"/>
  <c r="H61" i="34"/>
  <c r="E22" i="63"/>
  <c r="E23" i="63" s="1"/>
  <c r="H88" i="46" s="1"/>
  <c r="E36" i="63"/>
  <c r="E37" i="63" s="1"/>
  <c r="E18" i="63"/>
  <c r="E19" i="63" s="1"/>
  <c r="H50" i="61" s="1"/>
  <c r="I62" i="18"/>
  <c r="J47" i="62"/>
  <c r="I52" i="61"/>
  <c r="H17" i="63"/>
  <c r="K48" i="61" s="1"/>
  <c r="I68" i="34"/>
  <c r="I17" i="63"/>
  <c r="L48" i="61" s="1"/>
  <c r="G18" i="63"/>
  <c r="G19" i="63" s="1"/>
  <c r="J50" i="61" s="1"/>
  <c r="I38" i="63"/>
  <c r="I39" i="63" s="1"/>
  <c r="M47" i="62" s="1"/>
  <c r="L125" i="67"/>
  <c r="L124" i="67"/>
  <c r="K84" i="67"/>
  <c r="K43" i="67"/>
  <c r="K44" i="67" s="1"/>
  <c r="J114" i="67"/>
  <c r="J121" i="67" s="1"/>
  <c r="J123" i="67" s="1"/>
  <c r="J124" i="67" s="1"/>
  <c r="J77" i="67"/>
  <c r="I85" i="67"/>
  <c r="I14" i="67"/>
  <c r="I15" i="67" s="1"/>
  <c r="H114" i="67"/>
  <c r="H77" i="67"/>
  <c r="L43" i="67"/>
  <c r="L44" i="67" s="1"/>
  <c r="L84" i="67"/>
  <c r="K125" i="67"/>
  <c r="D13" i="45"/>
  <c r="C45" i="61"/>
  <c r="H36" i="63"/>
  <c r="H37" i="63" s="1"/>
  <c r="K61" i="34"/>
  <c r="H22" i="63"/>
  <c r="K83" i="46"/>
  <c r="H26" i="63"/>
  <c r="L34" i="62"/>
  <c r="H11" i="63"/>
  <c r="H14" i="63"/>
  <c r="B10" i="63"/>
  <c r="H18" i="63"/>
  <c r="H19" i="63" s="1"/>
  <c r="K50" i="61" s="1"/>
  <c r="H38" i="63"/>
  <c r="M34" i="62"/>
  <c r="I14" i="63"/>
  <c r="L61" i="34"/>
  <c r="I36" i="63"/>
  <c r="I37" i="63" s="1"/>
  <c r="I11" i="63"/>
  <c r="I26" i="63"/>
  <c r="L83" i="46"/>
  <c r="I22" i="63"/>
  <c r="I18" i="63"/>
  <c r="J50" i="18"/>
  <c r="J51" i="18" s="1"/>
  <c r="I14" i="45"/>
  <c r="L53" i="18"/>
  <c r="D44" i="18"/>
  <c r="E44" i="18" s="1"/>
  <c r="G14" i="45"/>
  <c r="H50" i="18"/>
  <c r="H51" i="18" s="1"/>
  <c r="C44" i="18"/>
  <c r="C77" i="67" s="1"/>
  <c r="I77" i="18"/>
  <c r="I79" i="18"/>
  <c r="I54" i="18"/>
  <c r="I86" i="67" s="1"/>
  <c r="E17" i="63"/>
  <c r="H48" i="61" s="1"/>
  <c r="B16" i="63"/>
  <c r="H47" i="61"/>
  <c r="G15" i="63"/>
  <c r="K45" i="62" s="1"/>
  <c r="K44" i="62"/>
  <c r="K53" i="18"/>
  <c r="J47" i="61"/>
  <c r="G17" i="63"/>
  <c r="J48" i="61" s="1"/>
  <c r="E38" i="63"/>
  <c r="E15" i="63"/>
  <c r="I45" i="62" s="1"/>
  <c r="I44" i="62"/>
  <c r="J84" i="46" l="1"/>
  <c r="J67" i="34"/>
  <c r="J51" i="61"/>
  <c r="J89" i="46"/>
  <c r="J65" i="34"/>
  <c r="G23" i="63"/>
  <c r="J88" i="46" s="1"/>
  <c r="H65" i="34"/>
  <c r="H49" i="61"/>
  <c r="H84" i="46"/>
  <c r="K46" i="62"/>
  <c r="H87" i="46"/>
  <c r="M46" i="62"/>
  <c r="L62" i="18"/>
  <c r="K62" i="18"/>
  <c r="J49" i="61"/>
  <c r="L89" i="46"/>
  <c r="L51" i="61"/>
  <c r="L67" i="34"/>
  <c r="L52" i="61"/>
  <c r="C34" i="62"/>
  <c r="K49" i="61"/>
  <c r="J125" i="67"/>
  <c r="K85" i="67"/>
  <c r="K14" i="67"/>
  <c r="K15" i="67" s="1"/>
  <c r="J84" i="67"/>
  <c r="J43" i="67"/>
  <c r="J44" i="67" s="1"/>
  <c r="L85" i="67"/>
  <c r="L14" i="67"/>
  <c r="L15" i="67" s="1"/>
  <c r="H84" i="67"/>
  <c r="H43" i="67"/>
  <c r="H121" i="67"/>
  <c r="C114" i="67"/>
  <c r="I27" i="63"/>
  <c r="L66" i="34" s="1"/>
  <c r="L65" i="34"/>
  <c r="M44" i="62"/>
  <c r="I15" i="63"/>
  <c r="M45" i="62" s="1"/>
  <c r="L68" i="34"/>
  <c r="L49" i="61"/>
  <c r="I19" i="63"/>
  <c r="L50" i="61" s="1"/>
  <c r="L84" i="46"/>
  <c r="L62" i="34"/>
  <c r="K84" i="46"/>
  <c r="K62" i="34"/>
  <c r="K87" i="46"/>
  <c r="H23" i="63"/>
  <c r="K88" i="46" s="1"/>
  <c r="H15" i="63"/>
  <c r="L45" i="62" s="1"/>
  <c r="L44" i="62"/>
  <c r="C44" i="62" s="1"/>
  <c r="L90" i="46"/>
  <c r="L87" i="46"/>
  <c r="I23" i="63"/>
  <c r="L88" i="46" s="1"/>
  <c r="B11" i="63"/>
  <c r="B22" i="63"/>
  <c r="E83" i="46"/>
  <c r="B36" i="63"/>
  <c r="B37" i="63" s="1"/>
  <c r="B14" i="63"/>
  <c r="B15" i="63" s="1"/>
  <c r="B26" i="63"/>
  <c r="D61" i="34"/>
  <c r="K89" i="46"/>
  <c r="L46" i="62"/>
  <c r="H39" i="63"/>
  <c r="K67" i="34"/>
  <c r="K51" i="61"/>
  <c r="H27" i="63"/>
  <c r="K66" i="34" s="1"/>
  <c r="K65" i="34"/>
  <c r="D14" i="45"/>
  <c r="L54" i="18"/>
  <c r="L86" i="67" s="1"/>
  <c r="L79" i="18"/>
  <c r="L77" i="18"/>
  <c r="J53" i="18"/>
  <c r="C50" i="18"/>
  <c r="C84" i="67" s="1"/>
  <c r="K77" i="18"/>
  <c r="K54" i="18"/>
  <c r="K86" i="67" s="1"/>
  <c r="K79" i="18"/>
  <c r="B17" i="63"/>
  <c r="C48" i="61" s="1"/>
  <c r="B18" i="63"/>
  <c r="B19" i="63" s="1"/>
  <c r="C50" i="61" s="1"/>
  <c r="B38" i="63"/>
  <c r="E39" i="63"/>
  <c r="H89" i="46"/>
  <c r="H51" i="61"/>
  <c r="H67" i="34"/>
  <c r="I46" i="62"/>
  <c r="C47" i="61"/>
  <c r="D50" i="18"/>
  <c r="E50" i="18" s="1"/>
  <c r="H53" i="18"/>
  <c r="J52" i="61"/>
  <c r="K47" i="62"/>
  <c r="J68" i="34"/>
  <c r="J90" i="46"/>
  <c r="J62" i="18" l="1"/>
  <c r="H62" i="18"/>
  <c r="H64" i="18" s="1"/>
  <c r="H66" i="18"/>
  <c r="C49" i="61"/>
  <c r="C45" i="62"/>
  <c r="H85" i="67"/>
  <c r="H14" i="67"/>
  <c r="H15" i="67" s="1"/>
  <c r="H16" i="67"/>
  <c r="C43" i="67"/>
  <c r="H44" i="67"/>
  <c r="C44" i="67" s="1"/>
  <c r="J85" i="67"/>
  <c r="J14" i="67"/>
  <c r="J15" i="67" s="1"/>
  <c r="C121" i="67"/>
  <c r="C123" i="67" s="1"/>
  <c r="H123" i="67"/>
  <c r="H124" i="67" s="1"/>
  <c r="C46" i="62"/>
  <c r="E84" i="46"/>
  <c r="D62" i="34"/>
  <c r="K68" i="34"/>
  <c r="L47" i="62"/>
  <c r="K52" i="61"/>
  <c r="K90" i="46"/>
  <c r="D65" i="34"/>
  <c r="B27" i="63"/>
  <c r="D66" i="34" s="1"/>
  <c r="B23" i="63"/>
  <c r="E88" i="46" s="1"/>
  <c r="E87" i="46"/>
  <c r="B39" i="63"/>
  <c r="C51" i="61"/>
  <c r="D67" i="34"/>
  <c r="E89" i="46"/>
  <c r="H79" i="18"/>
  <c r="H80" i="18" s="1"/>
  <c r="I80" i="18" s="1"/>
  <c r="H77" i="18"/>
  <c r="H54" i="18"/>
  <c r="H86" i="67" s="1"/>
  <c r="D53" i="18"/>
  <c r="E53" i="18" s="1"/>
  <c r="H55" i="18"/>
  <c r="I55" i="18" s="1"/>
  <c r="J55" i="18" s="1"/>
  <c r="K55" i="18" s="1"/>
  <c r="L55" i="18" s="1"/>
  <c r="C53" i="18"/>
  <c r="C85" i="67" s="1"/>
  <c r="H90" i="46"/>
  <c r="H68" i="34"/>
  <c r="H52" i="61"/>
  <c r="I47" i="62"/>
  <c r="J77" i="18"/>
  <c r="J79" i="18"/>
  <c r="J54" i="18"/>
  <c r="J86" i="67" s="1"/>
  <c r="H68" i="18" l="1"/>
  <c r="H67" i="18"/>
  <c r="J80" i="18"/>
  <c r="K80" i="18" s="1"/>
  <c r="L80" i="18" s="1"/>
  <c r="H125" i="67"/>
  <c r="H88" i="67"/>
  <c r="I16" i="67"/>
  <c r="H17" i="67"/>
  <c r="C47" i="62"/>
  <c r="E90" i="46"/>
  <c r="C52" i="61"/>
  <c r="D68" i="34"/>
  <c r="H69" i="18" l="1"/>
  <c r="I61" i="18" s="1"/>
  <c r="H71" i="18"/>
  <c r="H72" i="18" s="1"/>
  <c r="I88" i="67"/>
  <c r="I17" i="67"/>
  <c r="J16" i="67"/>
  <c r="I63" i="18" l="1"/>
  <c r="I64" i="18" s="1"/>
  <c r="I66" i="18"/>
  <c r="I67" i="18" s="1"/>
  <c r="J88" i="67"/>
  <c r="J17" i="67"/>
  <c r="K16" i="67"/>
  <c r="I68" i="18" l="1"/>
  <c r="I71" i="18" s="1"/>
  <c r="I72" i="18" s="1"/>
  <c r="K88" i="67"/>
  <c r="L16" i="67"/>
  <c r="K17" i="67"/>
  <c r="I69" i="18" l="1"/>
  <c r="J61" i="18" s="1"/>
  <c r="L88" i="67"/>
  <c r="L17" i="67"/>
  <c r="J63" i="18" l="1"/>
  <c r="J66" i="18" l="1"/>
  <c r="J67" i="18" s="1"/>
  <c r="J64" i="18"/>
  <c r="J68" i="18" l="1"/>
  <c r="J69" i="18" l="1"/>
  <c r="K61" i="18" s="1"/>
  <c r="J71" i="18"/>
  <c r="J72" i="18" s="1"/>
  <c r="K63" i="18" l="1"/>
  <c r="K66" i="18" s="1"/>
  <c r="K67" i="18" s="1"/>
  <c r="K64" i="18" l="1"/>
  <c r="K68" i="18"/>
  <c r="K71" i="18" s="1"/>
  <c r="K72" i="18" s="1"/>
  <c r="K69" i="18" l="1"/>
  <c r="L61" i="18" s="1"/>
  <c r="L63" i="18" l="1"/>
  <c r="L66" i="18" l="1"/>
  <c r="L67" i="18" s="1"/>
  <c r="L64" i="18"/>
  <c r="L68" i="18" l="1"/>
  <c r="L71" i="18" l="1"/>
  <c r="L72" i="18" s="1"/>
  <c r="L6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tc={C9720B80-4DE7-4342-B7EE-57EDC974AF12}</author>
    <author>tc={9909DB41-4054-4051-8E9D-3A06A152DDC1}</author>
    <author>Michael Dang</author>
    <author>tc={AE8693CC-D799-40D8-BC0A-DDEFCADE3B8B}</author>
    <author>tc={14D4832A-A429-4B66-9D06-54B3C5043617}</author>
  </authors>
  <commentList>
    <comment ref="C9" authorId="0" shapeId="0" xr:uid="{C9720B80-4DE7-4342-B7EE-57EDC974AF12}">
      <text>
        <t>[Threaded comment]
Your version of Excel allows you to read this threaded comment; however, any edits to it will get removed if the file is opened in a newer version of Excel. Learn more: https://go.microsoft.com/fwlink/?linkid=870924
Comment:
    Freeze pane anchor cell.</t>
      </text>
    </comment>
    <comment ref="B14" authorId="1" shapeId="0" xr:uid="{9909DB41-4054-4051-8E9D-3A06A152DDC1}">
      <text>
        <t>[Threaded comment]
Your version of Excel allows you to read this threaded comment; however, any edits to it will get removed if the file is opened in a newer version of Excel. Learn more: https://go.microsoft.com/fwlink/?linkid=870924
Comment:
    Lines renamed to match profile</t>
      </text>
    </comment>
    <comment ref="B25" authorId="2" shapeId="0" xr:uid="{768C8515-1DB4-4E55-B6AB-EB9342627BA2}">
      <text>
        <r>
          <rPr>
            <b/>
            <sz val="9"/>
            <color indexed="81"/>
            <rFont val="Tahoma"/>
            <family val="2"/>
          </rPr>
          <t>Michael Dang:</t>
        </r>
        <r>
          <rPr>
            <sz val="9"/>
            <color indexed="81"/>
            <rFont val="Tahoma"/>
            <family val="2"/>
          </rPr>
          <t xml:space="preserve">
Great Schools for Nevada is a federal Charter School Program (CSP) Grant facilitated by Opportunity 180 to lead the launch and expansion of high-quality public charter schools across our state. As a public education champion and advocacy organization based in Southern Nevada, one key portion of our work is to seek out, vet, and support innovative leaders and high-performing school models. 
https://opportunity180.org/great-schools-for-nevada/ </t>
        </r>
      </text>
    </comment>
    <comment ref="B42" authorId="3" shapeId="0" xr:uid="{AE8693CC-D799-40D8-BC0A-DDEFCADE3B8B}">
      <text>
        <t>[Threaded comment]
Your version of Excel allows you to read this threaded comment; however, any edits to it will get removed if the file is opened in a newer version of Excel. Learn more: https://go.microsoft.com/fwlink/?linkid=870924
Comment:
    Lines renamed to match profile and other tabs</t>
      </text>
    </comment>
    <comment ref="C42" authorId="4" shapeId="0" xr:uid="{14D4832A-A429-4B66-9D06-54B3C5043617}">
      <text>
        <t>[Threaded comment]
Your version of Excel allows you to read this threaded comment; however, any edits to it will get removed if the file is opened in a newer version of Excel. Learn more: https://go.microsoft.com/fwlink/?linkid=870924
Comment:
    Numbers now pulling from depreciation based expenses instead of cash acquisition cost.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tc={3C354C26-ABAF-4990-B105-01215F15C21A}</author>
    <author>tc={B6F42B41-A78D-412D-AF3D-9126A5E0D606}</author>
    <author>tc={60129E67-CD70-46E7-91DA-906463589E3F}</author>
    <author>tc={E0B74DCF-2136-4060-977D-5542CAFEBFAB}</author>
  </authors>
  <commentList>
    <comment ref="C9" authorId="0" shapeId="0" xr:uid="{3C354C26-ABAF-4990-B105-01215F15C21A}">
      <text>
        <t>[Threaded comment]
Your version of Excel allows you to read this threaded comment; however, any edits to it will get removed if the file is opened in a newer version of Excel. Learn more: https://go.microsoft.com/fwlink/?linkid=870924
Comment:
    Freeze pane anchor cell.</t>
      </text>
    </comment>
    <comment ref="B75" authorId="1" shapeId="0" xr:uid="{B6F42B41-A78D-412D-AF3D-9126A5E0D606}">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92" authorId="2" shapeId="0" xr:uid="{60129E67-CD70-46E7-91DA-906463589E3F}">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112" authorId="3" shapeId="0" xr:uid="{E0B74DCF-2136-4060-977D-5542CAFEBFAB}">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tc={87EFE0C2-FEF2-455B-9DF6-67099F02ADE0}</author>
    <author>tc={F01B7D95-1612-4E39-9CC5-6D2B6DA04B58}</author>
    <author>tc={FC7B4D31-52E5-4D8E-9CFD-7E893C787CAE}</author>
    <author>tc={3148EB90-8AD1-426D-8608-1AB43F281B40}</author>
  </authors>
  <commentList>
    <comment ref="B34" authorId="0" shapeId="0" xr:uid="{87EFE0C2-FEF2-455B-9DF6-67099F02ADE0}">
      <text>
        <t>[Threaded comment]
Your version of Excel allows you to read this threaded comment; however, any edits to it will get removed if the file is opened in a newer version of Excel. Learn more: https://go.microsoft.com/fwlink/?linkid=870924
Comment:
    A five mile distance as the crow flies or by google maps travel distance.</t>
      </text>
    </comment>
    <comment ref="I34" authorId="1" shapeId="0" xr:uid="{F01B7D95-1612-4E39-9CC5-6D2B6DA04B58}">
      <text>
        <t>[Threaded comment]
Your version of Excel allows you to read this threaded comment; however, any edits to it will get removed if the file is opened in a newer version of Excel. Learn more: https://go.microsoft.com/fwlink/?linkid=870924
Comment:
    Based on Google Maps or another mapping program of your choice.
The distance from the school can be to your targeted location or to nearby cross-streets.</t>
      </text>
    </comment>
    <comment ref="B59" authorId="2" shapeId="0" xr:uid="{FC7B4D31-52E5-4D8E-9CFD-7E893C787CAE}">
      <text>
        <t>[Threaded comment]
Your version of Excel allows you to read this threaded comment; however, any edits to it will get removed if the file is opened in a newer version of Excel. Learn more: https://go.microsoft.com/fwlink/?linkid=870924
Comment:
    A five mile distance as the crow flies or by google maps travel distance.</t>
      </text>
    </comment>
    <comment ref="I59" authorId="3" shapeId="0" xr:uid="{3148EB90-8AD1-426D-8608-1AB43F281B40}">
      <text>
        <t>[Threaded comment]
Your version of Excel allows you to read this threaded comment; however, any edits to it will get removed if the file is opened in a newer version of Excel. Learn more: https://go.microsoft.com/fwlink/?linkid=870924
Comment:
    Based on Google Maps or another mapping program of your choice.
The distance from the school can be to your targeted location or to nearby cross-streets.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tc={44638AEC-F4AF-481B-B482-D02A8E76DFE4}</author>
    <author>tc={ACFF2C00-C68D-444F-A86C-AF37774166CB}</author>
    <author>Michael Dang</author>
    <author>tc={FAF9EAF0-2408-4BEA-AA7F-D3ED4C6366EF}</author>
  </authors>
  <commentList>
    <comment ref="D12" authorId="0" shapeId="0" xr:uid="{44638AEC-F4AF-481B-B482-D02A8E76DFE4}">
      <text>
        <t xml:space="preserve">[Threaded comment]
Your version of Excel allows you to read this threaded comment; however, any edits to it will get removed if the file is opened in a newer version of Excel. Learn more: https://go.microsoft.com/fwlink/?linkid=870924
Comment:
    Freeze Pane Anchor cell.
Place cursor here if you wish to freeze the panes so you can see which e so you can continue to see the years for the columns you want to review. </t>
      </text>
    </comment>
    <comment ref="B40" authorId="1" shapeId="0" xr:uid="{ACFF2C00-C68D-444F-A86C-AF37774166CB}">
      <text>
        <t>[Threaded comment]
Your version of Excel allows you to read this threaded comment; however, any edits to it will get removed if the file is opened in a newer version of Excel. Learn more: https://go.microsoft.com/fwlink/?linkid=870924
Comment:
    I would call this "ENROLLMENT BY STUDENT GROUP (Federally Fundable)
Reply:
    Thank you.  It's updated.</t>
      </text>
    </comment>
    <comment ref="B53" authorId="2" shapeId="0" xr:uid="{DC8AFC5D-048B-412F-BF44-DE017AB625CB}">
      <text>
        <r>
          <rPr>
            <b/>
            <sz val="9"/>
            <color indexed="81"/>
            <rFont val="Tahoma"/>
            <family val="2"/>
          </rPr>
          <t>Michael Dang:</t>
        </r>
        <r>
          <rPr>
            <sz val="9"/>
            <color indexed="81"/>
            <rFont val="Tahoma"/>
            <family val="2"/>
          </rPr>
          <t xml:space="preserve">
Your revenue estimates begin with the State Adjusted...section.
Fill in the Total Enrollment section first.
Background information: The Nevada Legislature recently enacted a weighted funding formula. Under this formula, special education students, English learners, gifted and talented students, and at risk students (currently identified as students qualifying for free or reduced-price lunch) receive additional funding. (see SB 439 and SB 458 from the 2021 session of the Nevada Legilsature). Under this funding model, "a pupil who belongs to more than one category of pupils or for whom a school district, charter school or university school for profoundly gifted pupils is eligible to receive the statewide multiplier pursuant to NRS 387.122 must receive only the weighted funding for the single category to which the pupil belongs which has the largest multiplier or the statewide multiplier, whichever is larger. (See NRS 387.1214 as amended by section 4 of SB439). Currently, the largest weighted funding is provided for special educaiton students, followed by English learners, followed by gifted and talented students, followed by at risk students. The SPCSA has used prior year data to develop a formula for an approximate unduplicated count for the purpose of weighted funding. However, schools may choose to override this formula.
There is a one-year lag for adjusted funds...</t>
        </r>
      </text>
    </comment>
    <comment ref="B66" authorId="2" shapeId="0" xr:uid="{075072D7-1F02-47A7-BD95-A0F8BA18552D}">
      <text>
        <r>
          <rPr>
            <b/>
            <sz val="9"/>
            <color indexed="81"/>
            <rFont val="Tahoma"/>
            <family val="2"/>
          </rPr>
          <t>Michael Dang:</t>
        </r>
        <r>
          <rPr>
            <sz val="9"/>
            <color indexed="81"/>
            <rFont val="Tahoma"/>
            <family val="2"/>
          </rPr>
          <t xml:space="preserve">
The Nevada Legislature recently enacted a weighted funding formula. Under this formula, special education students, English learners, gifted and talented students, and at risk students (currently identified as students qualifying for free or reduced-price lunch) receive additional funding. (see SB 439 and SB 458 from the 2021 session of the Nevada Legilsature). Under this funding model, "a pupil who belongs to more than one category of pupils or for whom a school district, charter school or university school for profoundly gifted pupils is eligible to receive the statewide multiplier pursuant to NRS 387.122 must receive only the weighted funding for the single category to which the pupil belongs which has the largest multiplier or the statewide multiplier, whichever is larger. 
(See NRS 387.1214 as amended by section 4 of SB439). Currently, the largest weighted funding is provided for special educaiton students, followed by English learners, followed by gifted and talented students, followed by at risk students. 
The SPCSA has used prior year data to develop a formula for an approximate unduplicated count for the purpose of weighted funding. 
However, schools may choose to override this formula.
There is a one-year lag for these adjusted funds. Schools do not receive these funds in the first year of operation.
</t>
        </r>
      </text>
    </comment>
    <comment ref="C66" authorId="2" shapeId="0" xr:uid="{FA66FC41-B36F-464F-9741-76ACC3602D08}">
      <text>
        <r>
          <rPr>
            <b/>
            <sz val="9"/>
            <color indexed="81"/>
            <rFont val="Tahoma"/>
            <family val="2"/>
          </rPr>
          <t>Michael Dang:</t>
        </r>
        <r>
          <rPr>
            <sz val="9"/>
            <color indexed="81"/>
            <rFont val="Tahoma"/>
            <family val="2"/>
          </rPr>
          <t xml:space="preserve">
This may go over 100% as it is showing an estimate of overlap which is addressed in the rest of the table.</t>
        </r>
      </text>
    </comment>
    <comment ref="B69" authorId="2" shapeId="0" xr:uid="{DD99A304-AFD3-46B6-99BB-E37B5E465AA6}">
      <text>
        <r>
          <rPr>
            <b/>
            <sz val="9"/>
            <color indexed="81"/>
            <rFont val="Tahoma"/>
            <family val="2"/>
          </rPr>
          <t>Michael Dang:</t>
        </r>
        <r>
          <rPr>
            <sz val="9"/>
            <color indexed="81"/>
            <rFont val="Tahoma"/>
            <family val="2"/>
          </rPr>
          <t xml:space="preserve">
Greater accuracy will reduce over/under payments and payment adjustments.</t>
        </r>
      </text>
    </comment>
    <comment ref="G69" authorId="2" shapeId="0" xr:uid="{0B227838-9E1F-4DA8-8C79-53638C9D3969}">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H69" authorId="2" shapeId="0" xr:uid="{28C64F2D-F642-4E4A-9321-562E0FD7215C}">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I69" authorId="2" shapeId="0" xr:uid="{A03D6292-4CD8-425F-84F7-3E8CD631FAB2}">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J69" authorId="2" shapeId="0" xr:uid="{335308CC-334B-47E5-8109-4F66B9C80105}">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K69" authorId="2" shapeId="0" xr:uid="{15DFF793-ACF4-46B5-A925-F0CED6634203}">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L69" authorId="2" shapeId="0" xr:uid="{59568439-FAD3-4BF8-B674-0EF8D0EC5FA0}">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B71" authorId="2" shapeId="0" xr:uid="{E22956E8-248D-445B-81CB-A561E06FF142}">
      <text>
        <r>
          <rPr>
            <b/>
            <sz val="9"/>
            <color indexed="81"/>
            <rFont val="Tahoma"/>
            <family val="2"/>
          </rPr>
          <t>Michael Dang:</t>
        </r>
        <r>
          <rPr>
            <sz val="9"/>
            <color indexed="81"/>
            <rFont val="Tahoma"/>
            <family val="2"/>
          </rPr>
          <t xml:space="preserve">
The same Per Pupil Revenue (PPR) amount is now paid for all Distance Education students--regardless of the county/district they are in.
All other applications should select the appropriate District/County where they will be conducting In Person teaching.</t>
        </r>
      </text>
    </comment>
    <comment ref="D77" authorId="2" shapeId="0" xr:uid="{ED5522CE-D02D-4F14-9BFD-A8BA72F86A70}">
      <text>
        <r>
          <rPr>
            <b/>
            <sz val="9"/>
            <color indexed="81"/>
            <rFont val="Tahoma"/>
            <family val="2"/>
          </rPr>
          <t>Michael Dang:</t>
        </r>
        <r>
          <rPr>
            <sz val="9"/>
            <color indexed="81"/>
            <rFont val="Tahoma"/>
            <family val="2"/>
          </rPr>
          <t xml:space="preserve">
$3,694 PP w/o inflation, replaces
$2,755.30 per pupil (subject to change depending on actual enrollment of SPED students) 
SPED FY22 Payment Book- 7.6.21</t>
        </r>
      </text>
    </comment>
    <comment ref="C94" authorId="3" shapeId="0" xr:uid="{FAF9EAF0-2408-4BEA-AA7F-D3ED4C6366EF}">
      <text>
        <t>[Threaded comment]
Your version of Excel allows you to read this threaded comment; however, any edits to it will get removed if the file is opened in a newer version of Excel. Learn more: https://go.microsoft.com/fwlink/?linkid=870924
Comment:
    From $350. 2019.11.14
Reply:
    August 26, 2021 em from RF: $400 PP
Reply:
    RF 8/26/21 em @ $400</t>
      </text>
    </comment>
    <comment ref="C95" authorId="2" shapeId="0" xr:uid="{655FEEE1-A29D-46F5-8BD8-E22F00691222}">
      <text>
        <r>
          <rPr>
            <b/>
            <sz val="9"/>
            <color indexed="81"/>
            <rFont val="Tahoma"/>
            <family val="2"/>
          </rPr>
          <t>Michael Dang:</t>
        </r>
        <r>
          <rPr>
            <sz val="9"/>
            <color indexed="81"/>
            <rFont val="Tahoma"/>
            <family val="2"/>
          </rPr>
          <t xml:space="preserve">
RF 8/26/21 em @ $65</t>
        </r>
      </text>
    </comment>
    <comment ref="C96" authorId="2" shapeId="0" xr:uid="{965DF9B5-B015-406B-BAEE-50B6FD7CDEC9}">
      <text>
        <r>
          <rPr>
            <b/>
            <sz val="9"/>
            <color indexed="81"/>
            <rFont val="Tahoma"/>
            <family val="2"/>
          </rPr>
          <t>Michael Dang:</t>
        </r>
        <r>
          <rPr>
            <sz val="9"/>
            <color indexed="81"/>
            <rFont val="Tahoma"/>
            <family val="2"/>
          </rPr>
          <t xml:space="preserve">
RF 8/26/21 em @ $4</t>
        </r>
      </text>
    </comment>
    <comment ref="C97" authorId="2" shapeId="0" xr:uid="{0794F888-8B59-4A49-8CA2-7E9B36E377C7}">
      <text>
        <r>
          <rPr>
            <b/>
            <sz val="9"/>
            <color indexed="81"/>
            <rFont val="Tahoma"/>
            <family val="2"/>
          </rPr>
          <t>Michael Dang:</t>
        </r>
        <r>
          <rPr>
            <sz val="9"/>
            <color indexed="81"/>
            <rFont val="Tahoma"/>
            <family val="2"/>
          </rPr>
          <t xml:space="preserve">
RF 8/26/21 em @ $97</t>
        </r>
      </text>
    </comment>
    <comment ref="C99" authorId="2" shapeId="0" xr:uid="{AA4CB46E-B200-4282-8A51-A1F18223DFAD}">
      <text>
        <r>
          <rPr>
            <b/>
            <sz val="9"/>
            <color indexed="81"/>
            <rFont val="Tahoma"/>
            <family val="2"/>
          </rPr>
          <t>Michael Dang:</t>
        </r>
        <r>
          <rPr>
            <sz val="9"/>
            <color indexed="81"/>
            <rFont val="Tahoma"/>
            <family val="2"/>
          </rPr>
          <t xml:space="preserve">
8/26/2021 
IDEA SPED-B @ $1005/Special Education Student</t>
        </r>
      </text>
    </comment>
    <comment ref="B130" authorId="2" shapeId="0" xr:uid="{AEEF8039-F5E1-4EB1-9FAE-D7CD9ED76A31}">
      <text>
        <r>
          <rPr>
            <b/>
            <sz val="9"/>
            <color indexed="81"/>
            <rFont val="Tahoma"/>
            <family val="2"/>
          </rPr>
          <t>Michael Dang:</t>
        </r>
        <r>
          <rPr>
            <sz val="9"/>
            <color indexed="81"/>
            <rFont val="Tahoma"/>
            <family val="2"/>
          </rPr>
          <t xml:space="preserve">
Replication and Expansion of High-Quality Schools 
Grants for the Replication and Expansion of High-Quality Schools (R&amp;E grants) provide funding for nonprofit charter management organizations (CMOs) serving two or more schools. These funds do not flow through state education agencies; they are awarded directly by the U.S. Department of Education to CMOs that have successful track records in improving student achievement. These charter school leaders must show evidence of increasing academic achievement and attainment for all students, have sound financial and business management plans, and have plans in place to close schools that do not meet high standards of academic performance. Since 2010, 24 nonprofit CMOs have opened more than 400 new schools in 23 states and the District of Columbia. 
http://www.publiccharters.org/sites/default/files/migrated/wp-content/uploads/2016/01/National-Alliance-Federal-Role-Charters.pdf</t>
        </r>
      </text>
    </comment>
    <comment ref="B132" authorId="2" shapeId="0" xr:uid="{1BCAFEDB-8703-449A-8D78-FC6F5EDC1D44}">
      <text>
        <r>
          <rPr>
            <b/>
            <sz val="9"/>
            <color indexed="81"/>
            <rFont val="Tahoma"/>
            <family val="2"/>
          </rPr>
          <t>Michael Dang:</t>
        </r>
        <r>
          <rPr>
            <sz val="9"/>
            <color indexed="81"/>
            <rFont val="Tahoma"/>
            <family val="2"/>
          </rPr>
          <t xml:space="preserve">
State Education Agency grant program (SEA grants)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tc={428C169F-7646-4CB0-B350-6B3997D0EBEC}</author>
    <author>tc={BDF6EB88-3B12-45EF-B31B-51448D1C1895}</author>
    <author>tc={CC4CE2D3-F1FC-4593-8BE0-D7109E7EAC25}</author>
    <author>tc={747F349B-9CDE-4C7C-8445-7504F225BB0C}</author>
    <author>tc={5F5A5891-0F7E-438F-98FE-D46B19DAAF7A}</author>
    <author>tc={E1B0AABC-FE85-4305-BCDA-D864236FBEFC}</author>
    <author>tc={105A4EF2-9C02-45A7-B312-9628B5927DF1}</author>
    <author>tc={5FEA338C-255D-43F8-9B7C-705D98B58B85}</author>
  </authors>
  <commentList>
    <comment ref="B17" authorId="0" shapeId="0" xr:uid="{428C169F-7646-4CB0-B350-6B3997D0EBEC}">
      <text>
        <t>[Threaded comment]
Your version of Excel allows you to read this threaded comment; however, any edits to it will get removed if the file is opened in a newer version of Excel. Learn more: https://go.microsoft.com/fwlink/?linkid=870924
Comment:
    lines changed to align with profile tab</t>
      </text>
    </comment>
    <comment ref="F17" authorId="1" shapeId="0" xr:uid="{BDF6EB88-3B12-45EF-B31B-51448D1C1895}">
      <text>
        <t>[Threaded comment]
Your version of Excel allows you to read this threaded comment; however, any edits to it will get removed if the file is opened in a newer version of Excel. Learn more: https://go.microsoft.com/fwlink/?linkid=870924
Comment:
    =(B14/4)*0.75 used to reflect not getting full amount in Q1 but getting balance of payments equally for remaining quarters--for those on a quarterly payment plan.
Reply:
    Typically paid ~ 0.75~ of estimate and then the 0.25 is made up over the rest of the year.  See Sage formula; based on enrollment count in May.</t>
      </text>
    </comment>
    <comment ref="I17" authorId="2" shapeId="0" xr:uid="{CC4CE2D3-F1FC-4593-8BE0-D7109E7EAC25}">
      <text>
        <t>[Threaded comment]
Your version of Excel allows you to read this threaded comment; however, any edits to it will get removed if the file is opened in a newer version of Excel. Learn more: https://go.microsoft.com/fwlink/?linkid=870924
Comment:
    used to reflect getting balance of payments equally for remaining quarters--for those on a quarterly payment plan.</t>
      </text>
    </comment>
    <comment ref="B39" authorId="3" shapeId="0" xr:uid="{747F349B-9CDE-4C7C-8445-7504F225BB0C}">
      <text>
        <t>[Threaded comment]
Your version of Excel allows you to read this threaded comment; however, any edits to it will get removed if the file is opened in a newer version of Excel. Learn more: https://go.microsoft.com/fwlink/?linkid=870924
Comment:
    Lines changed to line up with profile and other tabs</t>
      </text>
    </comment>
    <comment ref="E39" authorId="4" shapeId="0" xr:uid="{5F5A5891-0F7E-438F-98FE-D46B19DAAF7A}">
      <text>
        <t>[Threaded comment]
Your version of Excel allows you to read this threaded comment; however, any edits to it will get removed if the file is opened in a newer version of Excel. Learn more: https://go.microsoft.com/fwlink/?linkid=870924
Comment:
    conditional formatting added</t>
      </text>
    </comment>
    <comment ref="B86" authorId="5" shapeId="0" xr:uid="{E1B0AABC-FE85-4305-BCDA-D864236FBEFC}">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108" authorId="6" shapeId="0" xr:uid="{105A4EF2-9C02-45A7-B312-9628B5927DF1}">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130" authorId="7" shapeId="0" xr:uid="{5FEA338C-255D-43F8-9B7C-705D98B58B85}">
      <text>
        <t>[Threaded comment]
Your version of Excel allows you to read this threaded comment; however, any edits to it will get removed if the file is opened in a newer version of Excel. Learn more: https://go.microsoft.com/fwlink/?linkid=870924
Comment:
    added lines to display cash expenses for each month as a percentage of the beginning and ending cash balance to highlight areas of potential liquidity concerns.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tc={5A0A3B32-63B9-42AC-8F5E-76D6B93E179E}</author>
    <author>tc={3FB75770-6A7E-41E4-989A-899F878C4E99}</author>
    <author>tc={9FA39296-9023-4041-80FE-8575CCE2873E}</author>
    <author>Michael Dang</author>
    <author>tc={D1F6324D-8682-456C-9C83-BF47E7B5D48E}</author>
  </authors>
  <commentList>
    <comment ref="B60" authorId="0" shapeId="0" xr:uid="{5A0A3B32-63B9-42AC-8F5E-76D6B93E179E}">
      <text>
        <t xml:space="preserve">[Threaded comment]
Your version of Excel allows you to read this threaded comment; however, any edits to it will get removed if the file is opened in a newer version of Excel. Learn more: https://go.microsoft.com/fwlink/?linkid=870924
Comment:
PERS, 7/10/2020 :
* Charter Schools are Choice agencies so all PERS eligible employees would have the option to select the Employer paid or the Employee/Employer paid contribution plan if the employee has never selected the Employer paid plan in the past at a choice employer.
* For some School Districts their Certified employees are Non Choice and must be reported under the Employer Paid plan, and their non certified staff for some Districts do have a choice of plans. I believe the certified/ non certified would apply more to the School Districts in the State, and not the Charter Schools.  
PERS, 4/14/2020 :
* The Employer Paid rate is 29.25% and the Employee/ Employer Paid plan is 15.25% for the EE and 15.25% for the Employer.
PERS Policy Manual:
https://www.nvpers.org/public/employers/PERS%20Official%20Policies.pdf
CONTRIBUTION PLAN ELECTION 
286.200 3.44 New hires after January 1, 1991, of the employee groups enumerated in Policy 3.24 shall have the option to:
  a. Contribute under the employee/employer contribution plan, or 
  b. Contribute under the employer-pay contribution plan. 
286.200 3.45 New hires under Policy 3.44 who elect to contribute under the employee/employer contribution plan may: 
  a. At any time after their date of hire, elect to contribute under the employer-pay contribution plan but,
  b. Once they elect to contribute under the employer-pay contribution plan may not thereafter revert to the employee/employer contribution plan.
286.200 3.46 New hires failing to make an election to contribute under either the employee/employer contribution plan or the employer-pay contribution plan under Policy 3.44 shall be enrolled in the employee/employer contribution plan. 
</t>
      </text>
    </comment>
    <comment ref="C62" authorId="1" shapeId="0" xr:uid="{3FB75770-6A7E-41E4-989A-899F878C4E99}">
      <text>
        <t xml:space="preserve">[Threaded comment]
Your version of Excel allows you to read this threaded comment; however, any edits to it will get removed if the file is opened in a newer version of Excel. Learn more: https://go.microsoft.com/fwlink/?linkid=870924
Comment:
    8/10/20  
GASB Statement No. 45 (Superseded by GASB Statement 75 eff. FY 2018)
GASB 45 recognizes the liability within a footnote of the financial statements, with only a portion of the total liability going on the book through the Net OPEB Obligation. GASB 75 does away with the Net OPEB Obligation, requiring the full liability to be recognized immediately on the balance sheet.
Move over GASB 45, here comes GASB 75​ | The Burke Groupburkegroup.com 
GASB 75 = Accounting and Financial Reporting for Postemployment Benefits Other Than Pensionshttps://www.gasb.org/jsp/GASB/Document_C/DocumentPage?cid=1176166144750&amp;acceptedDisclaimer=true
Notes re GASB 45
https://www.trs.texas.gov/Pages/re_gasb_45.aspx 
GASB Statement No. 45, Accounting and Financial Reporting by Employers for Postemployment Benefits Other Than Pensions became effective in three phases based on a government's total annual revenues in the first fiscal year ending after June 15, 1999 with all employers implementing by periods beginning after December 15, 2008 or earlier.
This statement establishes standards for the measurement, recognition, and display of other postemployment benefits (OPEB) expense/expenditure and related liabilities (assets), note disclosures, and if applicable required supplementary information (RSI) in the financial reports of state and local government employers.
The Teacher Retirement System of Texas is furnishing this information to assist reporting employer in complying with the GASB requirements. Certain information required by GASB 45 will have to be derived from the reporting employer's payroll records. Please forward this document to your reporting employer's financial/accounting manager and your auditor.
</t>
      </text>
    </comment>
    <comment ref="G140" authorId="2" shapeId="0" xr:uid="{9FA39296-9023-4041-80FE-8575CCE2873E}">
      <text>
        <t>[Threaded comment]
Your version of Excel allows you to read this threaded comment; however, any edits to it will get removed if the file is opened in a newer version of Excel. Learn more: https://go.microsoft.com/fwlink/?linkid=870924
Comment:
    You may now increase/decrease staff counts in this section of the model.</t>
      </text>
    </comment>
    <comment ref="B394" authorId="3" shapeId="0" xr:uid="{14AC2698-762C-4ABE-A80D-71FA3654B7A1}">
      <text>
        <r>
          <rPr>
            <b/>
            <sz val="9"/>
            <color indexed="81"/>
            <rFont val="Tahoma"/>
            <family val="2"/>
          </rPr>
          <t>Michael Dang:</t>
        </r>
        <r>
          <rPr>
            <sz val="9"/>
            <color indexed="81"/>
            <rFont val="Tahoma"/>
            <family val="2"/>
          </rPr>
          <t xml:space="preserve">
This inflation formula is an estimator.  It provides a simple estimated inflation amount for alll salaries.  It is applied to the salaries for the one year in question--whether or not the salaries for that year have received any due inflation from the prior year.  In other words, there is no compound inflation being applied so the total inflation and salary expenses would be slightly higher w/adjusted fliers.  
In other words, there is no compounded salary increase for a staff who was there the prior year or more.    
This model allows direct or manual data entry into data cells.  Consequently, at this time we don't want the model to appear too complex.  That said, the "error" from not using compounded inflation should be minor.  For one thing, we're modeling only for a six year contract. And </t>
        </r>
      </text>
    </comment>
    <comment ref="B427" authorId="4" shapeId="0" xr:uid="{D1F6324D-8682-456C-9C83-BF47E7B5D48E}">
      <text>
        <t>[Threaded comment]
Your version of Excel allows you to read this threaded comment; however, any edits to it will get removed if the file is opened in a newer version of Excel. Learn more: https://go.microsoft.com/fwlink/?linkid=870924
Comment:
    E.g., 0.5 + 0.5 + 0.25 + 0.6 = 1.85 PTE</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tc={8EDDD725-5C94-46C0-924D-C11E83DCC10F}</author>
    <author>Michael Dang</author>
    <author>tc={049FD8B7-A556-4458-B741-9CE337C84F58}</author>
    <author>tc={7EE94EAF-B192-4E48-A3B1-248D938F898C}</author>
    <author>tc={DBC2E7CB-2685-404F-A07E-01603B5F45EF}</author>
    <author>tc={4D20B39F-CCD5-40F6-88A7-DA908090EB1A}</author>
    <author>tc={21BECB29-E1AE-4A1A-B3D7-3382A184FF5F}</author>
    <author>tc={CCEB1454-32E8-49D9-8901-DA3D297336F2}</author>
    <author>tc={37ECE0C7-2DF0-4069-83FB-34611AA80C80}</author>
    <author>tc={FEAE4CC4-5BE1-46EA-B674-1643248BBC0F}</author>
    <author>tc={E09D1AC0-CF29-4CCB-8732-58DCF484386E}</author>
    <author>tc={5A1E9927-B689-4F2F-9FDF-9AC411BA394B}</author>
    <author>tc={8B4CE012-06EE-44EF-B9A4-70A151D8CD64}</author>
    <author>tc={4A77444D-2667-414A-ACA6-5CACB9E7392C}</author>
    <author>tc={C044C3D4-0587-448F-AE58-11BAA9E73751}</author>
    <author>tc={CE06D8D1-4B55-4EF4-8B14-2444C8B0CA22}</author>
  </authors>
  <commentList>
    <comment ref="C9" authorId="0" shapeId="0" xr:uid="{8EDDD725-5C94-46C0-924D-C11E83DCC10F}">
      <text>
        <t>[Threaded comment]
Your version of Excel allows you to read this threaded comment; however, any edits to it will get removed if the file is opened in a newer version of Excel. Learn more: https://go.microsoft.com/fwlink/?linkid=870924
Comment:
    Freeze Pane Anchor cell</t>
      </text>
    </comment>
    <comment ref="F23" authorId="1" shapeId="0" xr:uid="{8705AAFD-D26B-499A-8B54-E198BD1DF8E0}">
      <text>
        <r>
          <rPr>
            <b/>
            <sz val="9"/>
            <color indexed="81"/>
            <rFont val="Tahoma"/>
            <family val="2"/>
          </rPr>
          <t>Michael Dang:</t>
        </r>
        <r>
          <rPr>
            <sz val="9"/>
            <color indexed="81"/>
            <rFont val="Tahoma"/>
            <family val="2"/>
          </rPr>
          <t xml:space="preserve">
Overwrite this with the actual lease rate likely for a new occupancy and partial year.</t>
        </r>
      </text>
    </comment>
    <comment ref="F40" authorId="2" shapeId="0" xr:uid="{049FD8B7-A556-4458-B741-9CE337C84F58}">
      <text>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text>
    </comment>
    <comment ref="G40" authorId="3" shapeId="0" xr:uid="{7EE94EAF-B192-4E48-A3B1-248D938F898C}">
      <text>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text>
    </comment>
    <comment ref="F41" authorId="4" shapeId="0" xr:uid="{DBC2E7CB-2685-404F-A07E-01603B5F45EF}">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G41" authorId="5" shapeId="0" xr:uid="{4D20B39F-CCD5-40F6-88A7-DA908090EB1A}">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H41" authorId="6" shapeId="0" xr:uid="{21BECB29-E1AE-4A1A-B3D7-3382A184FF5F}">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I41" authorId="7" shapeId="0" xr:uid="{CCEB1454-32E8-49D9-8901-DA3D297336F2}">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J41" authorId="8" shapeId="0" xr:uid="{37ECE0C7-2DF0-4069-83FB-34611AA80C80}">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K41" authorId="9" shapeId="0" xr:uid="{FEAE4CC4-5BE1-46EA-B674-1643248BBC0F}">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L41" authorId="10" shapeId="0" xr:uid="{E09D1AC0-CF29-4CCB-8732-58DCF484386E}">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F71" authorId="11" shapeId="0" xr:uid="{5A1E9927-B689-4F2F-9FDF-9AC411BA394B}">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G71" authorId="12" shapeId="0" xr:uid="{8B4CE012-06EE-44EF-B9A4-70A151D8CD64}">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F72" authorId="13" shapeId="0" xr:uid="{4A77444D-2667-414A-ACA6-5CACB9E7392C}">
      <text>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text>
    </comment>
    <comment ref="G72" authorId="14" shapeId="0" xr:uid="{C044C3D4-0587-448F-AE58-11BAA9E73751}">
      <text>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text>
    </comment>
    <comment ref="F76" authorId="15" shapeId="0" xr:uid="{CE06D8D1-4B55-4EF4-8B14-2444C8B0CA22}">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tc={88D99629-9430-4799-888B-536E1B48C1B0}</author>
    <author>tc={B7BA76B9-72DC-4B51-84FC-DCB653FB95D7}</author>
    <author>tc={9A98AA4F-1C78-4B0C-ADC0-E55A5537B0DC}</author>
    <author>tc={B89FAE20-3CE4-47C1-AE62-E249220CB33F}</author>
    <author>tc={9DC1CA07-96B1-4C44-B3E3-EB5D74F6B99A}</author>
    <author>tc={081B3B9E-102C-4FB3-AD68-C0B3B1CBEAFF}</author>
    <author>Michael Dang</author>
  </authors>
  <commentList>
    <comment ref="D12" authorId="0" shapeId="0" xr:uid="{88D99629-9430-4799-888B-536E1B48C1B0}">
      <text>
        <t xml:space="preserve">[Threaded comment]
Your version of Excel allows you to read this threaded comment; however, any edits to it will get removed if the file is opened in a newer version of Excel. Learn more: https://go.microsoft.com/fwlink/?linkid=870924
Comment:
    Freeze Pane Anchor cell.
Place cursor here if you wish to freeze the panes so you can see which e so you can continue to see the years for the columns you want to review. </t>
      </text>
    </comment>
    <comment ref="B66" authorId="1" shapeId="0" xr:uid="{B7BA76B9-72DC-4B51-84FC-DCB653FB95D7}">
      <text>
        <t>[Threaded comment]
Your version of Excel allows you to read this threaded comment; however, any edits to it will get removed if the file is opened in a newer version of Excel. Learn more: https://go.microsoft.com/fwlink/?linkid=870924
Comment:
    removed marketing from this section</t>
      </text>
    </comment>
    <comment ref="D146" authorId="2" shapeId="0" xr:uid="{9A98AA4F-1C78-4B0C-ADC0-E55A5537B0DC}">
      <text>
        <t>[Threaded comment]
Your version of Excel allows you to read this threaded comment; however, any edits to it will get removed if the file is opened in a newer version of Excel. Learn more: https://go.microsoft.com/fwlink/?linkid=870924
Comment:
    Per student</t>
      </text>
    </comment>
    <comment ref="D147" authorId="3" shapeId="0" xr:uid="{B89FAE20-3CE4-47C1-AE62-E249220CB33F}">
      <text>
        <t>[Threaded comment]
Your version of Excel allows you to read this threaded comment; however, any edits to it will get removed if the file is opened in a newer version of Excel. Learn more: https://go.microsoft.com/fwlink/?linkid=870924
Comment:
    Per student (not covered by Title I)</t>
      </text>
    </comment>
    <comment ref="D148" authorId="4" shapeId="0" xr:uid="{9DC1CA07-96B1-4C44-B3E3-EB5D74F6B99A}">
      <text>
        <t>[Threaded comment]
Your version of Excel allows you to read this threaded comment; however, any edits to it will get removed if the file is opened in a newer version of Excel. Learn more: https://go.microsoft.com/fwlink/?linkid=870924
Comment:
    Input "yes or "no"</t>
      </text>
    </comment>
    <comment ref="D149" authorId="5" shapeId="0" xr:uid="{081B3B9E-102C-4FB3-AD68-C0B3B1CBEAFF}">
      <text>
        <t>[Threaded comment]
Your version of Excel allows you to read this threaded comment; however, any edits to it will get removed if the file is opened in a newer version of Excel. Learn more: https://go.microsoft.com/fwlink/?linkid=870924
Comment:
    Input "yes or "no"</t>
      </text>
    </comment>
    <comment ref="B194" authorId="6" shapeId="0" xr:uid="{7954B7BE-38F5-487C-9CDD-27658195CBA1}">
      <text>
        <r>
          <rPr>
            <b/>
            <sz val="9"/>
            <color indexed="81"/>
            <rFont val="Tahoma"/>
            <family val="2"/>
          </rPr>
          <t>Michael Dang:</t>
        </r>
        <r>
          <rPr>
            <sz val="9"/>
            <color indexed="81"/>
            <rFont val="Tahoma"/>
            <family val="2"/>
          </rPr>
          <t xml:space="preserve">
Current formula assumes costs above are entered at today's costs and this formula will inflate those costs for future years.
Otherwise we would want to use this formula, starting in G121:
=SUM(G119,G110,G102)*$C$121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tc={F988B70B-290B-4766-ABAF-6F3E355164A9}</author>
    <author>tc={3FF9201C-DBC8-4F22-A8BB-367D4D170A1D}</author>
  </authors>
  <commentList>
    <comment ref="C13" authorId="0" shapeId="0" xr:uid="{F988B70B-290B-4766-ABAF-6F3E355164A9}">
      <text>
        <t>[Threaded comment]
Your version of Excel allows you to read this threaded comment; however, any edits to it will get removed if the file is opened in a newer version of Excel. Learn more: https://go.microsoft.com/fwlink/?linkid=870924
Comment:
    added depreciation schedules with asset lives based on their category in the Nevada PPM</t>
      </text>
    </comment>
    <comment ref="C18" authorId="1" shapeId="0" xr:uid="{3FF9201C-DBC8-4F22-A8BB-367D4D170A1D}">
      <text>
        <t>[Threaded comment]
Your version of Excel allows you to read this threaded comment; however, any edits to it will get removed if the file is opened in a newer version of Excel. Learn more: https://go.microsoft.com/fwlink/?linkid=870924
Comment:
    you can comment here</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tc={AE20A937-C675-4D93-974B-C8C4FB974162}</author>
  </authors>
  <commentList>
    <comment ref="Q14" authorId="0" shapeId="0" xr:uid="{AE20A937-C675-4D93-974B-C8C4FB974162}">
      <text>
        <t>[Threaded comment]
Your version of Excel allows you to read this threaded comment; however, any edits to it will get removed if the file is opened in a newer version of Excel. Learn more: https://go.microsoft.com/fwlink/?linkid=870924
Comment:
    Used SY 2017-18 projections from NDE Budget Template</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tc={5A0475E5-6B0D-4D68-9F79-BF251AC40EF8}</author>
  </authors>
  <commentList>
    <comment ref="B36" authorId="0" shapeId="0" xr:uid="{5A0475E5-6B0D-4D68-9F79-BF251AC40EF8}">
      <text>
        <t xml:space="preserve">[Threaded comment]
Your version of Excel allows you to read this threaded comment; however, any edits to it will get removed if the file is opened in a newer version of Excel. Learn more: https://go.microsoft.com/fwlink/?linkid=870924
Comment:
    Keep at &gt;=1 in FTE section; use PT section for PT, like 0.5 </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tc={3A938AAD-556B-4D4E-BDCA-B0961C23113C}</author>
  </authors>
  <commentList>
    <comment ref="B33" authorId="0" shapeId="0" xr:uid="{3A938AAD-556B-4D4E-BDCA-B0961C23113C}">
      <text>
        <t>[Threaded comment]
Your version of Excel allows you to read this threaded comment; however, any edits to it will get removed if the file is opened in a newer version of Excel. Learn more: https://go.microsoft.com/fwlink/?linkid=870924
Comment:
    Great Teaching &amp; Leading, NV Ready Technology, Teacher Incentives, and other measures in AB309 of the 2019 legislative session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<sst xmlns="http://schemas.openxmlformats.org/spreadsheetml/2006/main" count="3040" uniqueCount="1554">
  <si>
    <t>Instructions</t>
  </si>
  <si>
    <t>Mike Dang, 702.486.8879</t>
  </si>
  <si>
    <t>TOC</t>
  </si>
  <si>
    <t>FINANCIAL PLAN WORKBOOK INSTRUCTIONS</t>
  </si>
  <si>
    <t xml:space="preserve">This New School Application Financial Plan/Pro Forma workbook was designed to show the financial implications of a school plan and assumptions before and during a six-year school contract.  It enables the applicant, the SPCSA and other stakeholders to analyze potential fiscal impacts of that plan.  This is a protected workbook and data should only be entered in the unprotected cells (yellow cells). To maximize usage of the Financial Plan Workbook, please familiarize yourself with the following general instructions prior to data entry.  
We have tried to design this to be as simple as possible yet as comprehensive as possible to help applicants think through fiscal impacting assumptions and for reviewers to see the impacts of those assumptions.
Contact us with any questions.  </t>
  </si>
  <si>
    <t>School Inputs</t>
  </si>
  <si>
    <t xml:space="preserve">Enter your assumptions in the light yellow cells of the various tabs of this workbook, beginning with the Cover "tab" or "worksheet."  Overwrite any placeholder assumptions currently in those cells.
FTE stands for Full-Time Equivalent.  If this term is unfamiliar, please consult with an individual experienced in budgeting and pupil accounting. If your budget plans include staff less than full time use a decimal to indicate the portion.  Contact or inform the State Public Charter School Authority of this if you perceive any issues in the related expennses and other impacts in this budget tool. </t>
  </si>
  <si>
    <t>Summary tab</t>
  </si>
  <si>
    <t>No entry needed on this tab</t>
  </si>
  <si>
    <t>Market tab</t>
  </si>
  <si>
    <t>Use this tab to show your target market, planned enrollments and potential demand and demographics of the "feeder" schools in your  planned service area.</t>
  </si>
  <si>
    <t>Enrol &amp; Rev tab</t>
  </si>
  <si>
    <t>Basic Information</t>
  </si>
  <si>
    <r>
      <rPr>
        <b/>
        <sz val="11"/>
        <color indexed="8"/>
        <rFont val="Calibri"/>
        <family val="2"/>
      </rPr>
      <t>1.</t>
    </r>
    <r>
      <rPr>
        <sz val="11"/>
        <color theme="1"/>
        <rFont val="Calibri"/>
        <family val="2"/>
        <scheme val="minor"/>
      </rPr>
      <t xml:space="preserve"> Please enter a Base Year into 'H2'. Additionally, please enter the appropriate school years in cells H5 through N5 as well as H6 through N6.</t>
    </r>
  </si>
  <si>
    <r>
      <rPr>
        <b/>
        <sz val="11"/>
        <color indexed="8"/>
        <rFont val="Calibri"/>
        <family val="2"/>
      </rPr>
      <t>2.</t>
    </r>
    <r>
      <rPr>
        <sz val="11"/>
        <color theme="1"/>
        <rFont val="Calibri"/>
        <family val="2"/>
        <scheme val="minor"/>
      </rPr>
      <t xml:space="preserve"> Next, be sure to enter your projected student enrollment in the enrollment section. This section caputres the number of students by grade level (Rows 7-21) and by school year (Columns H-N). </t>
    </r>
  </si>
  <si>
    <r>
      <rPr>
        <b/>
        <sz val="11"/>
        <color indexed="8"/>
        <rFont val="Calibri"/>
        <family val="2"/>
      </rPr>
      <t>3.</t>
    </r>
    <r>
      <rPr>
        <sz val="11"/>
        <color theme="1"/>
        <rFont val="Calibri"/>
        <family val="2"/>
        <scheme val="minor"/>
      </rPr>
      <t xml:space="preserve"> In cells I24 through N25, please enter your school's percentage of Title 1 students. Similarly, in cells I24 through N24, enter your institution's percentage of special education students.</t>
    </r>
  </si>
  <si>
    <t xml:space="preserve">The Pupil Centered Funding Plan (PCFP) funding per student is automatically populated depending on the county where the school is located (Cell F57).   If the school will be a single-district or multi-district  virtual school with a Distance Education program, then under the PCFP, one PPR rate will apply--regardless of NV County/District.  </t>
  </si>
  <si>
    <t>The Inflation Adjuster in 'B67' is designed to account for any increases in PCFP Revenue. Please be sure to enter a cost of inflation in this cell. You may wish to test inflation rates of 0 to 3%.  Be sure you can still operate with a surplus even with a 0% inflator/escalator.</t>
  </si>
  <si>
    <t>Enter your Title 1, IDEA (cost per SPED student) and school level fundraising income per student. Each of these entries will automatically calculate the revenue line items for BEP, Title 1, IDEA and school level funding.</t>
  </si>
  <si>
    <t>Any remaining revenue entries can be manually accounted for in the following subgroups:</t>
  </si>
  <si>
    <t xml:space="preserve">                               Charter Start-Up Funds</t>
  </si>
  <si>
    <t xml:space="preserve">                               Other Start-Up Grant Funds</t>
  </si>
  <si>
    <t xml:space="preserve">                               Student Fees (As allowed by other public schools)</t>
  </si>
  <si>
    <t xml:space="preserve">                               Investment Income</t>
  </si>
  <si>
    <t xml:space="preserve">                               Private fundraising (foundations, corporate)</t>
  </si>
  <si>
    <t xml:space="preserve">                               Private Fundraising</t>
  </si>
  <si>
    <t>Staff tab</t>
  </si>
  <si>
    <t>The staffing and compensation assumptions section will require input data on not only the charter school's staffing levels and average salaries, but it will also require the preparer to provide benefits data in order to provide the charter school with realistic financial projections. Please follow the instructions below:</t>
  </si>
  <si>
    <t>Instructional Days (Staff tab, row 65)</t>
  </si>
  <si>
    <r>
      <rPr>
        <b/>
        <sz val="11"/>
        <color indexed="8"/>
        <rFont val="Calibri"/>
        <family val="2"/>
      </rPr>
      <t>1.</t>
    </r>
    <r>
      <rPr>
        <sz val="11"/>
        <color theme="1"/>
        <rFont val="Calibri"/>
        <family val="2"/>
        <scheme val="minor"/>
      </rPr>
      <t xml:space="preserve"> Enter the average medical benefits for employees with both single and family coverage into cells 'F62' and 'F63'. </t>
    </r>
  </si>
  <si>
    <r>
      <rPr>
        <b/>
        <sz val="11"/>
        <color indexed="8"/>
        <rFont val="Calibri"/>
        <family val="2"/>
      </rPr>
      <t>2.</t>
    </r>
    <r>
      <rPr>
        <sz val="11"/>
        <color theme="1"/>
        <rFont val="Calibri"/>
        <family val="2"/>
        <scheme val="minor"/>
      </rPr>
      <t xml:space="preserve"> Second, enter the school's percentage of coverage.</t>
    </r>
  </si>
  <si>
    <r>
      <rPr>
        <b/>
        <sz val="11"/>
        <color indexed="8"/>
        <rFont val="Calibri"/>
        <family val="2"/>
      </rPr>
      <t>3.</t>
    </r>
    <r>
      <rPr>
        <sz val="11"/>
        <color theme="1"/>
        <rFont val="Calibri"/>
        <family val="2"/>
        <scheme val="minor"/>
      </rPr>
      <t xml:space="preserve"> Enter the assumed percentage of employees choosing single for their health benefits.</t>
    </r>
  </si>
  <si>
    <r>
      <rPr>
        <b/>
        <sz val="11"/>
        <color indexed="8"/>
        <rFont val="Calibri"/>
        <family val="2"/>
      </rPr>
      <t xml:space="preserve">4. </t>
    </r>
    <r>
      <rPr>
        <sz val="11"/>
        <color theme="1"/>
        <rFont val="Calibri"/>
        <family val="2"/>
        <scheme val="minor"/>
      </rPr>
      <t>Enter the percentage of your employee's salaries that will be allocated to FICA, State Retirement for Certified Employees, State Retirement for Non-Certified Employees and Life Insurance.</t>
    </r>
  </si>
  <si>
    <r>
      <rPr>
        <b/>
        <sz val="11"/>
        <color indexed="8"/>
        <rFont val="Calibri"/>
        <family val="2"/>
      </rPr>
      <t>5.</t>
    </r>
    <r>
      <rPr>
        <sz val="11"/>
        <color theme="1"/>
        <rFont val="Calibri"/>
        <family val="2"/>
        <scheme val="minor"/>
      </rPr>
      <t xml:space="preserve"> Enter any per-employee expenses associated with GASB 45 and Unemployment Insurance.</t>
    </r>
  </si>
  <si>
    <r>
      <rPr>
        <b/>
        <sz val="11"/>
        <color indexed="8"/>
        <rFont val="Calibri"/>
        <family val="2"/>
      </rPr>
      <t>6.</t>
    </r>
    <r>
      <rPr>
        <sz val="11"/>
        <color theme="1"/>
        <rFont val="Calibri"/>
        <family val="2"/>
        <scheme val="minor"/>
      </rPr>
      <t xml:space="preserve"> Payroll services are accounted for as a dollar value on a per employee/per month basis.</t>
    </r>
  </si>
  <si>
    <r>
      <rPr>
        <b/>
        <sz val="11"/>
        <color indexed="8"/>
        <rFont val="Calibri"/>
        <family val="2"/>
      </rPr>
      <t>7.</t>
    </r>
    <r>
      <rPr>
        <sz val="11"/>
        <color theme="1"/>
        <rFont val="Calibri"/>
        <family val="2"/>
        <scheme val="minor"/>
      </rPr>
      <t xml:space="preserve"> Any bonuses should be input and will be calculated as a percentage of salaried employees. </t>
    </r>
  </si>
  <si>
    <r>
      <rPr>
        <b/>
        <sz val="11"/>
        <color indexed="8"/>
        <rFont val="Calibri"/>
        <family val="2"/>
      </rPr>
      <t>8.</t>
    </r>
    <r>
      <rPr>
        <sz val="11"/>
        <color theme="1"/>
        <rFont val="Calibri"/>
        <family val="2"/>
        <scheme val="minor"/>
      </rPr>
      <t xml:space="preserve"> Be sure to enter your school's instructional days per year (required) as well as the Saturday schools per year, contractors required for Saturday school and price per contractor (if necessary).</t>
    </r>
  </si>
  <si>
    <r>
      <rPr>
        <b/>
        <sz val="11"/>
        <color indexed="8"/>
        <rFont val="Calibri"/>
        <family val="2"/>
      </rPr>
      <t>9.</t>
    </r>
    <r>
      <rPr>
        <sz val="11"/>
        <color theme="1"/>
        <rFont val="Calibri"/>
        <family val="2"/>
        <scheme val="minor"/>
      </rPr>
      <t xml:space="preserve"> The employee salaries and staffing levels should be entered in each designated area. For example, administrators such as the School Director should be entered into the Administrator section. The positions, salaries and staffing levels in this section are marked for input, so feel free to adjust the position levels, salaries and staffing levels as your charter school finds necessary. Please note that each line represents one position, multiple positions sharing a title will each need to entered on seperate lines.</t>
    </r>
  </si>
  <si>
    <r>
      <rPr>
        <b/>
        <sz val="11"/>
        <color indexed="8"/>
        <rFont val="Calibri"/>
        <family val="2"/>
      </rPr>
      <t>10.</t>
    </r>
    <r>
      <rPr>
        <sz val="11"/>
        <color theme="1"/>
        <rFont val="Calibri"/>
        <family val="2"/>
        <scheme val="minor"/>
      </rPr>
      <t xml:space="preserve"> For part-Time employees simply enter the average salary for each respective position and enter the number of employees per year. </t>
    </r>
  </si>
  <si>
    <r>
      <rPr>
        <b/>
        <sz val="11"/>
        <color indexed="8"/>
        <rFont val="Calibri"/>
        <family val="2"/>
      </rPr>
      <t>11.</t>
    </r>
    <r>
      <rPr>
        <sz val="11"/>
        <color theme="1"/>
        <rFont val="Calibri"/>
        <family val="2"/>
        <scheme val="minor"/>
      </rPr>
      <t xml:space="preserve"> Salaries and staffing levels work in unison with the inputs you entered to get to the total salary and benefits for your charter school. Feel free to adjust any of the staffing and compensation inputs to either decrease or increase your school's total compensation. </t>
    </r>
  </si>
  <si>
    <t>General Operating ("Gen Optg") Expense tab</t>
  </si>
  <si>
    <t>The general operating expense assumptions section houses the majority of the expenditures that are necessary to operate your charter school.</t>
  </si>
  <si>
    <t>Schools should set aside an amount of 4 to 5% of revenues into a general reserve account.</t>
  </si>
  <si>
    <r>
      <rPr>
        <b/>
        <sz val="11"/>
        <color indexed="8"/>
        <rFont val="Calibri"/>
        <family val="2"/>
      </rPr>
      <t>1.</t>
    </r>
    <r>
      <rPr>
        <sz val="11"/>
        <color theme="1"/>
        <rFont val="Calibri"/>
        <family val="2"/>
        <scheme val="minor"/>
      </rPr>
      <t xml:space="preserve"> This section is user-friendly for data entry. Each general operating expense line item is tied to a driver, i.e. per year or per student. The driver is then multiplied by the dollar value that was entered, which results in the amount of that expense line item for the given year. </t>
    </r>
  </si>
  <si>
    <r>
      <rPr>
        <b/>
        <sz val="11"/>
        <color indexed="8"/>
        <rFont val="Calibri"/>
        <family val="2"/>
      </rPr>
      <t>2.</t>
    </r>
    <r>
      <rPr>
        <sz val="11"/>
        <color theme="1"/>
        <rFont val="Calibri"/>
        <family val="2"/>
        <scheme val="minor"/>
      </rPr>
      <t xml:space="preserve"> The Contracted Services section should be completed in the same manner. Here the driver is per year, therefore any annual audits or legal services need to be calculated on an annual basis. </t>
    </r>
  </si>
  <si>
    <t>Transportation and Food Services are not funded for charter schools.</t>
  </si>
  <si>
    <t>Facilities tab</t>
  </si>
  <si>
    <t>Complete either the Lease or the Purchase section.</t>
  </si>
  <si>
    <t>Facilities Wkst tab</t>
  </si>
  <si>
    <t xml:space="preserve">This sheet is optional.  It is provided to help you consider your space requirements.  Some schools may seek more/less space than </t>
  </si>
  <si>
    <t xml:space="preserve">is shown in the sample ranges.  You do not need to include this tab in your print range but leave it in the working Excel file you submit. </t>
  </si>
  <si>
    <t>FFE&amp;T (Furniture, Fixtures, Equipment &amp; Technology) tab</t>
  </si>
  <si>
    <t>See "Note FFE" tab for a note regarding the depreciation approach used in this model.</t>
  </si>
  <si>
    <t>Marketing tab</t>
  </si>
  <si>
    <t>Use this tab to show your marketing plan to reach your target market.</t>
  </si>
  <si>
    <t>This tab differs from the Market tab. This  focuses not on where your pupils will come from but on marketing expenses to reach them.</t>
  </si>
  <si>
    <t>Insurance tab</t>
  </si>
  <si>
    <t>Use this tab to show your insurance plan/budget. Note legal insurance requirements</t>
  </si>
  <si>
    <t>Incubation tab (Pre-Approval, Pre-Opening)</t>
  </si>
  <si>
    <t>EMO-CMO tab</t>
  </si>
  <si>
    <t>Use this tab to show your plan/budget -- if you use a EMO/CMO.</t>
  </si>
  <si>
    <t>Cashflow Year 1 tab</t>
  </si>
  <si>
    <t>Use this tab to "spread" your year 1 expenses out on a monthly basis.</t>
  </si>
  <si>
    <t>DSA Rates tab</t>
  </si>
  <si>
    <t>FYI</t>
  </si>
  <si>
    <t>Levers tab</t>
  </si>
  <si>
    <t xml:space="preserve">This page is intended to be a quick view of how each cost center is affecting overall financial performance. </t>
  </si>
  <si>
    <t>It will automatically populate as you complete the required tabs in the application. The use of this tab is completely optional and at your discretion.</t>
  </si>
  <si>
    <t>Other</t>
  </si>
  <si>
    <t>Questions?  Contact:</t>
  </si>
  <si>
    <t xml:space="preserve">Michael Hutchins, 775.687.9239, M.Hutchins@spcsa.nv.gov  </t>
  </si>
  <si>
    <t>Application Cover Sheet</t>
  </si>
  <si>
    <t>Mike Dang</t>
  </si>
  <si>
    <t>702.486.8879</t>
  </si>
  <si>
    <t>Proposed Name of School</t>
  </si>
  <si>
    <t>ABC Academy</t>
  </si>
  <si>
    <t xml:space="preserve">Planned school year starting in August </t>
  </si>
  <si>
    <t>School Year Ending (SYE)</t>
  </si>
  <si>
    <t>Name of lead contact(s)</t>
  </si>
  <si>
    <t>Phone number</t>
  </si>
  <si>
    <t xml:space="preserve">  email address</t>
  </si>
  <si>
    <t>Test</t>
  </si>
  <si>
    <t>Location(s) under consideration: (Addresses or cross streets, City)(1 minimum, 2 maximum)</t>
  </si>
  <si>
    <t>Site 2</t>
  </si>
  <si>
    <t>Specific address recommended but not required .  Target cross streets required at a minimum.</t>
  </si>
  <si>
    <t>Supporting documentation attached? (y/n)</t>
  </si>
  <si>
    <t>Three sample Listings of buildings in targeted/planned zip code being considered.</t>
  </si>
  <si>
    <t>Listing must show available square footage, lease rates, location. (E.g., Loopnet)</t>
  </si>
  <si>
    <t>For start-up funding</t>
  </si>
  <si>
    <t>For fundraising</t>
  </si>
  <si>
    <t>Table of Contents (TOC) &amp; Completeness Check</t>
  </si>
  <si>
    <t>Complete?</t>
  </si>
  <si>
    <t>/Applicant</t>
  </si>
  <si>
    <t>/SPCSA</t>
  </si>
  <si>
    <t>TOC Notes</t>
  </si>
  <si>
    <t>Comments (Applicant/SPCSA) (Not in print range)</t>
  </si>
  <si>
    <t>NA</t>
  </si>
  <si>
    <t>Key Profile Information</t>
  </si>
  <si>
    <t>Beginning School Year entered on Cover Page?</t>
  </si>
  <si>
    <t>Summary and Summary of Key Statistics</t>
  </si>
  <si>
    <t>Market (Potential Students Populations)</t>
  </si>
  <si>
    <t>Revenue &amp; Enrollment</t>
  </si>
  <si>
    <t>Staff</t>
  </si>
  <si>
    <t>Expenses: Staff</t>
  </si>
  <si>
    <t>Expenses: General Operating</t>
  </si>
  <si>
    <t>Facilities</t>
  </si>
  <si>
    <t>Expenses: Facility Lease/Purchase</t>
  </si>
  <si>
    <t>FFE&amp;T</t>
  </si>
  <si>
    <t>Expenses: Furniture, Fixtures, Equipment &amp; Technology</t>
  </si>
  <si>
    <t>Expenses: Insurance</t>
  </si>
  <si>
    <t>Marketing</t>
  </si>
  <si>
    <t>Expenses: Marketing Plan &amp; Implementation</t>
  </si>
  <si>
    <t>EMO-CMO</t>
  </si>
  <si>
    <t>Expenses: Year One--Month to Month</t>
  </si>
  <si>
    <t>Worksheet which may help calculate Facilities costs (Not required)</t>
  </si>
  <si>
    <t>PCFP Rates</t>
  </si>
  <si>
    <t>Applicable Per Pupil Revenue estimates (No completion required)</t>
  </si>
  <si>
    <t>Select Summary Data (Not required, information only)</t>
  </si>
  <si>
    <t xml:space="preserve">  </t>
  </si>
  <si>
    <t>Totals/Max'/Avg</t>
  </si>
  <si>
    <t>Number of Students</t>
  </si>
  <si>
    <t>Number of Employees (FTE)</t>
  </si>
  <si>
    <t>REVENUE</t>
  </si>
  <si>
    <t>Total</t>
  </si>
  <si>
    <t>Avg/yr(1-6)</t>
  </si>
  <si>
    <t>%AvTot</t>
  </si>
  <si>
    <t>PCFP Revenue</t>
  </si>
  <si>
    <t>Title I</t>
  </si>
  <si>
    <t>Title IIA</t>
  </si>
  <si>
    <t>Title III</t>
  </si>
  <si>
    <t>Title IV</t>
  </si>
  <si>
    <t>Federal Breakfast Program</t>
  </si>
  <si>
    <t>Federal Lunch Program</t>
  </si>
  <si>
    <t>IDEA</t>
  </si>
  <si>
    <t>State Special Education Funding</t>
  </si>
  <si>
    <t>"Replication &amp; Expansion" start-up funds</t>
  </si>
  <si>
    <t>Other start-up funds (incl' SEA grants)</t>
  </si>
  <si>
    <t>Student fees</t>
  </si>
  <si>
    <t>Food Services</t>
  </si>
  <si>
    <t>Transportation</t>
  </si>
  <si>
    <t>Investment Income</t>
  </si>
  <si>
    <t>School level fundraising</t>
  </si>
  <si>
    <t>Private fundraising (foundations, corporate)</t>
  </si>
  <si>
    <t>Private fundraising (individuals)</t>
  </si>
  <si>
    <t>Total PCFP Revenue PP</t>
  </si>
  <si>
    <t>EXPENSES</t>
  </si>
  <si>
    <t xml:space="preserve">Personnel </t>
  </si>
  <si>
    <t>General Operating Expenses</t>
  </si>
  <si>
    <t>EMO Payments</t>
  </si>
  <si>
    <t>Insurance</t>
  </si>
  <si>
    <t>TOTAL EXPENSES</t>
  </si>
  <si>
    <t>SURPLUS/(DEFICIT)/Period</t>
  </si>
  <si>
    <t>The school operates only with a surplus</t>
  </si>
  <si>
    <t xml:space="preserve">     Per student</t>
  </si>
  <si>
    <t>SURPLUS/(DEFICIT)(Cumu'; capital rqt)</t>
  </si>
  <si>
    <t>Acts as a temporary estimator of cash fund balance</t>
  </si>
  <si>
    <t xml:space="preserve">    Reserves </t>
  </si>
  <si>
    <t>Total Debt Service</t>
  </si>
  <si>
    <t>SURPLUS/(DEFICIT) After Debt Service &amp; Reserves</t>
  </si>
  <si>
    <t xml:space="preserve">Surplus/(Deficit)-Schl &amp; Pri' Fundraising-S Fees </t>
  </si>
  <si>
    <t>Surplus/(Deficit) (Cumu')</t>
  </si>
  <si>
    <t>KEY STATISTICS</t>
  </si>
  <si>
    <t xml:space="preserve">   # students &gt; Bkeven</t>
  </si>
  <si>
    <t xml:space="preserve">   % students &gt; Bkeven</t>
  </si>
  <si>
    <t>Ending Fund Balance (cumulative)</t>
  </si>
  <si>
    <t>Cumulative Reserve/Expense</t>
  </si>
  <si>
    <t>Number of Employees</t>
  </si>
  <si>
    <t>Number of Occupants</t>
  </si>
  <si>
    <t>Growth, # students</t>
  </si>
  <si>
    <t>Number of Teachers (SPED)</t>
  </si>
  <si>
    <t>Number of Teachers (ELL)</t>
  </si>
  <si>
    <t>Number of Teachers (Grade)</t>
  </si>
  <si>
    <t>Number of Teachers (Total)</t>
  </si>
  <si>
    <t xml:space="preserve">   Student/Teacher</t>
  </si>
  <si>
    <t xml:space="preserve">   Student/Classroom w/o Teacher</t>
  </si>
  <si>
    <t>Number of Admin</t>
  </si>
  <si>
    <t xml:space="preserve">   Student/Admin ratio</t>
  </si>
  <si>
    <t xml:space="preserve">   Teacher/Admin ratio</t>
  </si>
  <si>
    <t>Number of Office (non Admin)</t>
  </si>
  <si>
    <t xml:space="preserve">   Student/Office ratio</t>
  </si>
  <si>
    <t xml:space="preserve">   Teacher/Office ratio</t>
  </si>
  <si>
    <t>Salaries: Administrator</t>
  </si>
  <si>
    <t>Salaries: Office staff</t>
  </si>
  <si>
    <t>Salaries: Teachers (SPED)</t>
  </si>
  <si>
    <t>Salaries: Teachers (ELL)</t>
  </si>
  <si>
    <t>Salaries/Teachers-Grade Level</t>
  </si>
  <si>
    <t xml:space="preserve">Title IIA Professional Dev </t>
  </si>
  <si>
    <t>Revenue/pupil</t>
  </si>
  <si>
    <t>Expenses/pupil</t>
  </si>
  <si>
    <t xml:space="preserve">  Net/p</t>
  </si>
  <si>
    <t>Square Feet (Facility, Conditioned)</t>
  </si>
  <si>
    <t>Sq ft / Students</t>
  </si>
  <si>
    <t>Sq ft / Occupants</t>
  </si>
  <si>
    <t>PERCENT TOTAL REVENUE</t>
  </si>
  <si>
    <t>R&amp;E start-up funds</t>
  </si>
  <si>
    <t>Other start-up funds</t>
  </si>
  <si>
    <t>TOTAL REVENUE</t>
  </si>
  <si>
    <t>Other Pre-approval &amp; Pre-Opening</t>
  </si>
  <si>
    <t>SURPLUS/(DEFICIT)</t>
  </si>
  <si>
    <t>Ending Fund Balance (Estimator)</t>
  </si>
  <si>
    <t>PER PUPIL (AVERAGES)</t>
  </si>
  <si>
    <t>(Avg y1-6)</t>
  </si>
  <si>
    <t>SURPLUS/(DEFICIT) Per Pupil</t>
  </si>
  <si>
    <t>Location(s) under consideration:</t>
  </si>
  <si>
    <t>Site 1</t>
  </si>
  <si>
    <t>Specific address recommended but not required.</t>
  </si>
  <si>
    <t>SY 0/Incu</t>
  </si>
  <si>
    <t>This column area may not print but staff will review it for any notes.</t>
  </si>
  <si>
    <t>ENROLLMENT</t>
  </si>
  <si>
    <t>Number of grade levels</t>
  </si>
  <si>
    <t>Number of classrooms</t>
  </si>
  <si>
    <t>K</t>
  </si>
  <si>
    <t>1st</t>
  </si>
  <si>
    <t>2nd</t>
  </si>
  <si>
    <t>3rd</t>
  </si>
  <si>
    <t>4th</t>
  </si>
  <si>
    <t>5th</t>
  </si>
  <si>
    <t>6th</t>
  </si>
  <si>
    <t>7th</t>
  </si>
  <si>
    <t>8th</t>
  </si>
  <si>
    <t>9th</t>
  </si>
  <si>
    <t>10th</t>
  </si>
  <si>
    <t>11th</t>
  </si>
  <si>
    <t>12th</t>
  </si>
  <si>
    <t>Total Student Enrollment</t>
  </si>
  <si>
    <t>Student / Classroom (w/o teachers)</t>
  </si>
  <si>
    <t>Target Enrollment/Available Students Site 1</t>
  </si>
  <si>
    <t>Target Enrollment/Available Students Site 2</t>
  </si>
  <si>
    <t>For more accuracy you should enter below the enrollments of the relevant grades you are targeting. Otherwise, this is a general flag.</t>
  </si>
  <si>
    <t>NSPF Rtg</t>
  </si>
  <si>
    <t>Grade
Level(s)</t>
  </si>
  <si>
    <t xml:space="preserve">
Enrollment</t>
  </si>
  <si>
    <t>Distance fr school (mi)</t>
  </si>
  <si>
    <t>This section enables staff to understand the market depth in the area you are considering locating your school.</t>
  </si>
  <si>
    <t>Sample nearby school (Overwrite this)</t>
  </si>
  <si>
    <t>Include all schools, not just 1 and 2 star schools</t>
  </si>
  <si>
    <t>School 2</t>
  </si>
  <si>
    <t>School 3</t>
  </si>
  <si>
    <t>List all schools from where it is reasonable that students could come from, whether or not they are 1 or 2 star schools</t>
  </si>
  <si>
    <t>The Ethnicity and Special Populations sections have been removed as new schools are approved for areas of demonstrated need.</t>
  </si>
  <si>
    <t>If you have narrowed your site to one location you do not need to fill
out this section.</t>
  </si>
  <si>
    <t>Enrollment &amp; Revenue</t>
  </si>
  <si>
    <t>School Year 1 (Fall Start) Teaching Starts</t>
  </si>
  <si>
    <t>SY Ending</t>
  </si>
  <si>
    <t>Totals</t>
  </si>
  <si>
    <t>Be sure to copy year 1 information from the Cashflow Worksheet</t>
  </si>
  <si>
    <t>Number of Students per Classroom (Goal)</t>
  </si>
  <si>
    <t>Number of classrooms calculated (Estimate)</t>
  </si>
  <si>
    <t>Number of classrooms (Planned)</t>
  </si>
  <si>
    <t>Student / Classroom, calculated</t>
  </si>
  <si>
    <t xml:space="preserve">   Target Reenrollment (NRS 388A.273)</t>
  </si>
  <si>
    <t xml:space="preserve">  Estimated # students to newly enroll (above reenrollment)</t>
  </si>
  <si>
    <t>Add'l Funding Wts</t>
  </si>
  <si>
    <t>English Language Learners (ELL)</t>
  </si>
  <si>
    <t>Gifted &amp; Talented (GATE)</t>
  </si>
  <si>
    <t>At Risk (AR, fka FRL)</t>
  </si>
  <si>
    <t>County (In Person) / Distance Ed</t>
  </si>
  <si>
    <t>Clark</t>
  </si>
  <si>
    <t xml:space="preserve"> &lt;--Select base PCFP payment category here</t>
  </si>
  <si>
    <t>General support only (All students)</t>
  </si>
  <si>
    <t>Statewide Base Per Pupil</t>
  </si>
  <si>
    <t>At Risk (% of students)</t>
  </si>
  <si>
    <t>ELL (% of students)</t>
  </si>
  <si>
    <t>Special Education (% of students) (contact staff if &gt;25% SPED)</t>
  </si>
  <si>
    <t>Special Education (# of students)</t>
  </si>
  <si>
    <t>Total Distributive School Account, including local 
revenue (funding per student)</t>
  </si>
  <si>
    <t>Base year</t>
  </si>
  <si>
    <t>Inflation adjustor (% per year)</t>
  </si>
  <si>
    <t>Applies to PCFP and Sponsorship fee</t>
  </si>
  <si>
    <t>Special Education (SPED) Weighted Funding</t>
  </si>
  <si>
    <t>Per student (Placeholder $3,000 6.28.21)</t>
  </si>
  <si>
    <t>PCFP Sponsorship Fee</t>
  </si>
  <si>
    <t>Title IA</t>
  </si>
  <si>
    <t>Per ELL student</t>
  </si>
  <si>
    <t>IDEA (total)</t>
  </si>
  <si>
    <t>Per SPED student</t>
  </si>
  <si>
    <t>Breakfast Program -- Federal Reimbursement</t>
  </si>
  <si>
    <t>yes</t>
  </si>
  <si>
    <t>"yes" or "no"</t>
  </si>
  <si>
    <t>Breakfast Program</t>
  </si>
  <si>
    <t>Per student per day</t>
  </si>
  <si>
    <t>Lunch Program</t>
  </si>
  <si>
    <t>Per student</t>
  </si>
  <si>
    <t>County where school is located</t>
  </si>
  <si>
    <t>Enrollment Detail</t>
  </si>
  <si>
    <t>PPR</t>
  </si>
  <si>
    <t>Inflation adjustor</t>
  </si>
  <si>
    <t>DSA Funding</t>
  </si>
  <si>
    <t>DSA Sponsorship Fee</t>
  </si>
  <si>
    <t xml:space="preserve">Federal Lunch Program </t>
  </si>
  <si>
    <t>State SPED Funding</t>
  </si>
  <si>
    <t>SpEd revenue set for prior year SpEd count; Y6 would be received in Y7 (aka Y1 of a renewal)</t>
  </si>
  <si>
    <t>Start-up funds (Federal Replication &amp; Expansion already awarded to operator--not SEA grant)</t>
  </si>
  <si>
    <t>School level fundraising w/supporting documentation</t>
  </si>
  <si>
    <t>Food Services Revenue</t>
  </si>
  <si>
    <t>Transportation Funding</t>
  </si>
  <si>
    <t>Year 1 Cash Flow Worksheet</t>
  </si>
  <si>
    <t>Fall</t>
  </si>
  <si>
    <t>School Operations Year 1</t>
  </si>
  <si>
    <t xml:space="preserve">Winter, Spring  </t>
  </si>
  <si>
    <t>(This is a year 1 budget.  It is not a pre-opening budget)</t>
  </si>
  <si>
    <t>Sponsorship Fee</t>
  </si>
  <si>
    <t>For those on a quarterly payment plan, the E14 formula of =(B14/4)*0.75 reflects not getting full amount in Q1.  Balance received equally thereafter.</t>
  </si>
  <si>
    <t>(Carry over totals and input to appropriate worksheets)</t>
  </si>
  <si>
    <t>From</t>
  </si>
  <si>
    <t>SY1 Ending</t>
  </si>
  <si>
    <t>Projected</t>
  </si>
  <si>
    <t>Enrol tab</t>
  </si>
  <si>
    <t>Variance</t>
  </si>
  <si>
    <t>July</t>
  </si>
  <si>
    <t>August</t>
  </si>
  <si>
    <t>September</t>
  </si>
  <si>
    <t>October</t>
  </si>
  <si>
    <t>November</t>
  </si>
  <si>
    <t>December</t>
  </si>
  <si>
    <t>January</t>
  </si>
  <si>
    <t>February</t>
  </si>
  <si>
    <t>March</t>
  </si>
  <si>
    <t>April</t>
  </si>
  <si>
    <t xml:space="preserve">May </t>
  </si>
  <si>
    <t>June</t>
  </si>
  <si>
    <t>Comments (out of print range)</t>
  </si>
  <si>
    <t>Mo</t>
  </si>
  <si>
    <t>BOM</t>
  </si>
  <si>
    <t>Days</t>
  </si>
  <si>
    <t>REVENUES</t>
  </si>
  <si>
    <t>If your enrollment is large enough, NDE may pay you on a monthly</t>
  </si>
  <si>
    <t>CS Sponsorship Fee @ 0.0125</t>
  </si>
  <si>
    <t>basis instead of a quarterly basis.</t>
  </si>
  <si>
    <t>Charter Start up funds</t>
  </si>
  <si>
    <t>Other start-up grant funds</t>
  </si>
  <si>
    <t>Student Fees</t>
  </si>
  <si>
    <t>Private Fundraising (w/Ltr of Support)</t>
  </si>
  <si>
    <t>Fundraising Donations (w/Ltr of Support)</t>
  </si>
  <si>
    <t>Total Revenues</t>
  </si>
  <si>
    <t>Total Revenues Y-T-D</t>
  </si>
  <si>
    <t>% Revenue YTD</t>
  </si>
  <si>
    <t>OPERATING EXPENDITURES &amp; OTHER CASH OUTLAYS</t>
  </si>
  <si>
    <t>Personnel</t>
  </si>
  <si>
    <t>Instructional Supplies</t>
  </si>
  <si>
    <t>Contract Services</t>
  </si>
  <si>
    <t>Food &amp; Transportation Program</t>
  </si>
  <si>
    <t>Athletics</t>
  </si>
  <si>
    <t>General Optg Exp' Inflation</t>
  </si>
  <si>
    <t>Campus (Lease/Mortgage)</t>
  </si>
  <si>
    <t>Security Deposits (Site Lease)</t>
  </si>
  <si>
    <t>Total Expenditures</t>
  </si>
  <si>
    <t>Net Surplus (Deficit)</t>
  </si>
  <si>
    <t>Net Surplus (Deficit) Check</t>
  </si>
  <si>
    <t>Capital Requirements</t>
  </si>
  <si>
    <t>Total Expenses Y-T-D</t>
  </si>
  <si>
    <t>% Budget YTD</t>
  </si>
  <si>
    <t>YTD ((Rev-Exp)/Rev)(Timing of Revenue Inflows/Expense Outflows)</t>
  </si>
  <si>
    <t>Days YTD</t>
  </si>
  <si>
    <t>SCHOOL FINANCING/BORROWING/FUNDING</t>
  </si>
  <si>
    <t>Beginning Loan Balance</t>
  </si>
  <si>
    <t>Additional Borrowings</t>
  </si>
  <si>
    <t>Period Balance</t>
  </si>
  <si>
    <t>Interest Expense w/APR @</t>
  </si>
  <si>
    <t>Loans/Financing Payments</t>
  </si>
  <si>
    <t>Ending Loan Balance</t>
  </si>
  <si>
    <t>Net change in cash from financing</t>
  </si>
  <si>
    <t>Projected Cash Balance Statement</t>
  </si>
  <si>
    <t>Cash (operations &amp; financing)</t>
  </si>
  <si>
    <t>Begin Cash Balance(F/B)</t>
  </si>
  <si>
    <t>End Cash Balance (F/B)</t>
  </si>
  <si>
    <t>Cash/Expense X</t>
  </si>
  <si>
    <t>Revenue / Revenue %</t>
  </si>
  <si>
    <t>Private Fundraising</t>
  </si>
  <si>
    <t>Fundraising Donations</t>
  </si>
  <si>
    <t xml:space="preserve">Total Revenue </t>
  </si>
  <si>
    <t>Expense / Revenue %</t>
  </si>
  <si>
    <t>Salaries</t>
  </si>
  <si>
    <t>Benefits</t>
  </si>
  <si>
    <t>Part-Time Wages</t>
  </si>
  <si>
    <t>Performance Bonuses</t>
  </si>
  <si>
    <t>Payroll Services</t>
  </si>
  <si>
    <t>Contracts</t>
  </si>
  <si>
    <t>Food Service</t>
  </si>
  <si>
    <t>Lease/Mortgage</t>
  </si>
  <si>
    <t>Custodial</t>
  </si>
  <si>
    <t>Utilities</t>
  </si>
  <si>
    <t>CAM/Maintenance</t>
  </si>
  <si>
    <t>Campus Security</t>
  </si>
  <si>
    <t>Capital Outlay (TI)</t>
  </si>
  <si>
    <t>% of available cash at start of month</t>
  </si>
  <si>
    <t>% of available cash at end of month</t>
  </si>
  <si>
    <t>Net change in Cash from operations</t>
  </si>
  <si>
    <t>Benefits/Salaries Exp</t>
  </si>
  <si>
    <t># Employees</t>
  </si>
  <si>
    <t>Benefits/Employee</t>
  </si>
  <si>
    <t>Salaries/Employee</t>
  </si>
  <si>
    <t>Staffing Expenses</t>
  </si>
  <si>
    <t>Summary will populate automatically, please begin data entry below in areas with yellow cells.</t>
  </si>
  <si>
    <t>Personnel Summary</t>
  </si>
  <si>
    <t>STAFF FTE COUNT (FT &amp; PT w/Benefits)</t>
  </si>
  <si>
    <t>FTE - Administrators</t>
  </si>
  <si>
    <t>FTE - Office</t>
  </si>
  <si>
    <t>FTE - SPED Teachers</t>
  </si>
  <si>
    <t>FTE - ELL Teachers</t>
  </si>
  <si>
    <t>FTE - Guidance Counselors &amp; Other</t>
  </si>
  <si>
    <t>FTE - Grade Level Teachers</t>
  </si>
  <si>
    <t xml:space="preserve">   FTE - Total </t>
  </si>
  <si>
    <t>Part-Time Staff w/o benefits (FTE count)</t>
  </si>
  <si>
    <t>Avg (no SY 0)</t>
  </si>
  <si>
    <t>Enrollment</t>
  </si>
  <si>
    <t>Total Revenue</t>
  </si>
  <si>
    <t>TOTAL SALARIES</t>
  </si>
  <si>
    <t>BENEFITS</t>
  </si>
  <si>
    <t>MEDICAL</t>
  </si>
  <si>
    <t>Retirement (PERS-Required)</t>
  </si>
  <si>
    <t>Other benefits</t>
  </si>
  <si>
    <t>Total Personnel Expense</t>
  </si>
  <si>
    <t>Total Personnel Expense per Student</t>
  </si>
  <si>
    <t>Net Surplus after Personnel</t>
  </si>
  <si>
    <t>Net Surplus after Personnel per Student</t>
  </si>
  <si>
    <t>Net Surplus/Deficit</t>
  </si>
  <si>
    <t>Net Surplus/Deficit per student</t>
  </si>
  <si>
    <t>STAFFING COSTS</t>
  </si>
  <si>
    <t>ASSUMPTIONS</t>
  </si>
  <si>
    <t>Payroll Tax and Benefits</t>
  </si>
  <si>
    <t>Medical</t>
  </si>
  <si>
    <t>Single Coverage</t>
  </si>
  <si>
    <t>Per year</t>
  </si>
  <si>
    <t>Family Coverage</t>
  </si>
  <si>
    <t xml:space="preserve">School's percentage of coverage </t>
  </si>
  <si>
    <t>Assumed percentage of employees choosing single coverage</t>
    <phoneticPr fontId="7" type="noConversion"/>
  </si>
  <si>
    <t>Weighted avg. cost for medical</t>
  </si>
  <si>
    <t>Per employee per year</t>
  </si>
  <si>
    <t>FICA</t>
  </si>
  <si>
    <t>Percentage of Salary</t>
  </si>
  <si>
    <t>State Retirement (PERS, Required)</t>
  </si>
  <si>
    <t>Life Insurance</t>
  </si>
  <si>
    <t>GASB 75 (replaces GASB 45)</t>
  </si>
  <si>
    <t>Per employee</t>
  </si>
  <si>
    <t>Unemployment Insurance</t>
  </si>
  <si>
    <t>Workers' Compensation</t>
  </si>
  <si>
    <t>Per employee per month</t>
  </si>
  <si>
    <t>Performance Bonus</t>
  </si>
  <si>
    <t>Enter row ~379</t>
  </si>
  <si>
    <t>Inflation (Salaries &amp; related, COLA)</t>
  </si>
  <si>
    <t>Medical benefits costs tied to salaries, rise w/Inflation.</t>
  </si>
  <si>
    <t>Instructional days per year (Minimum)</t>
  </si>
  <si>
    <t>Saturday schools per year</t>
  </si>
  <si>
    <t>Contractors required for Saturday School</t>
  </si>
  <si>
    <t>Price per contractor</t>
  </si>
  <si>
    <t>This area and below are not included in print range above.</t>
  </si>
  <si>
    <t>SYEnding</t>
  </si>
  <si>
    <t>Base Salary</t>
  </si>
  <si>
    <t>Fall of School Year 1 =</t>
  </si>
  <si>
    <t>(Input year or "NA")</t>
  </si>
  <si>
    <t>FTE Count</t>
  </si>
  <si>
    <t>You can overwrite input area formulas with your formula or lump sum amounts.</t>
  </si>
  <si>
    <t>Administrators (Full-time &amp; Part-Time w/benefits)</t>
  </si>
  <si>
    <t>If you do, explain your approach below.</t>
  </si>
  <si>
    <t>Principal</t>
  </si>
  <si>
    <t>year</t>
  </si>
  <si>
    <t xml:space="preserve">Total Administrators </t>
  </si>
  <si>
    <t>Office Staff (Full-time &amp; Part-Time w/benefits)</t>
  </si>
  <si>
    <t>Office Manager</t>
  </si>
  <si>
    <t>Office 4</t>
  </si>
  <si>
    <t>Total Administrators and Office Staff</t>
  </si>
  <si>
    <t>Special Education (SPED) Teachers (Full-time &amp; Part-Time w/benefits)</t>
  </si>
  <si>
    <t>Special Education Coordinator 4</t>
  </si>
  <si>
    <t>Special Education Coordinator 5</t>
  </si>
  <si>
    <t>SPED Specialist Assistant 6</t>
  </si>
  <si>
    <t>SPED Specialist Assistant 7</t>
  </si>
  <si>
    <t>Total Special EducationTeachers</t>
  </si>
  <si>
    <t>English Language Learner (ELL) Teachers (Full-time &amp; Part-Time w/benefits)</t>
  </si>
  <si>
    <t>Total ELL Teachers</t>
  </si>
  <si>
    <t>Total Guidance Counselors/Other</t>
  </si>
  <si>
    <t xml:space="preserve">Total Special Education/ELL Teachers/Guidance Counselors </t>
  </si>
  <si>
    <t>Total Faculty before Teachers</t>
  </si>
  <si>
    <t>Grade Level (Core) Teachers (Full-time &amp; Part-Time w/benefits)</t>
  </si>
  <si>
    <t>Teacher</t>
  </si>
  <si>
    <t>Grade Level</t>
  </si>
  <si>
    <t>SYE</t>
  </si>
  <si>
    <t>Subject</t>
  </si>
  <si>
    <t xml:space="preserve">You may enter more than one person in any cell if the salaries are the same--or if you're using an average salary (and they're starting the same year). </t>
  </si>
  <si>
    <t>Grade Level Teacher</t>
  </si>
  <si>
    <t>na</t>
  </si>
  <si>
    <t>General</t>
  </si>
  <si>
    <t>Kindergarten Teacher</t>
  </si>
  <si>
    <t>1st Grade Teacher</t>
  </si>
  <si>
    <t>2nd Grade Teacher</t>
  </si>
  <si>
    <t>3rd Grade Teacher</t>
  </si>
  <si>
    <t>4th Grade Teacher</t>
  </si>
  <si>
    <t>5th Grade Teacher</t>
  </si>
  <si>
    <t>6th Grade Teacher</t>
  </si>
  <si>
    <t>7th Grade Teacher</t>
  </si>
  <si>
    <t>8th Grade Teacher</t>
  </si>
  <si>
    <t>Art Teacher</t>
  </si>
  <si>
    <t>Total Grade Level Teachers (Count)</t>
  </si>
  <si>
    <t>Total Teachers (SPED, ELL, Grade + Counselors)</t>
  </si>
  <si>
    <t>SALARIES</t>
  </si>
  <si>
    <t xml:space="preserve">   Subtotal</t>
  </si>
  <si>
    <t xml:space="preserve">   Subtotal Office Staff</t>
  </si>
  <si>
    <t>Total Grade Level Teacher Salaries</t>
  </si>
  <si>
    <t>Total Medical Benefits</t>
  </si>
  <si>
    <t>Total FICA</t>
  </si>
  <si>
    <t>State Retirement (PERS-Required)</t>
  </si>
  <si>
    <t>TOTAL STATE RETIREMENT COSTS</t>
  </si>
  <si>
    <t>TOTAL LIFE INSURANCE</t>
  </si>
  <si>
    <t>GASB 45</t>
  </si>
  <si>
    <t>Total GASB 45</t>
  </si>
  <si>
    <t>Unuemployment Insurance</t>
  </si>
  <si>
    <t>TOTAL UNEMPLOYMENT INSURANCE</t>
  </si>
  <si>
    <t>Workers' Compensation Insurance</t>
  </si>
  <si>
    <t>Total Workers' Comp</t>
  </si>
  <si>
    <t>TOTAL BENEFITS</t>
  </si>
  <si>
    <t xml:space="preserve">     % of Salaries</t>
  </si>
  <si>
    <t>Part-Time Employees (w/o benefits)</t>
  </si>
  <si>
    <t xml:space="preserve">     Annualized salary</t>
  </si>
  <si>
    <t xml:space="preserve">     Count of PTE (FTE equivalence)</t>
  </si>
  <si>
    <t>PART TIME WAGES</t>
  </si>
  <si>
    <t>Total Part-Time Employees (w/o benefits)(FTE Count)</t>
  </si>
  <si>
    <t>PAYROLL SERVICES</t>
  </si>
  <si>
    <t>PERSONNEL (W/PAYROLL)</t>
  </si>
  <si>
    <t xml:space="preserve">General Operating &amp; Transp' Expenses </t>
  </si>
  <si>
    <t>SY 0/Incubation</t>
  </si>
  <si>
    <t>Fall, Winter</t>
  </si>
  <si>
    <t>Be sure year 1 information below matches with your Year 1 Cashflow Worksheet totals</t>
  </si>
  <si>
    <t>Student / Classroom</t>
  </si>
  <si>
    <t xml:space="preserve">  Estimated # students to newly enroll</t>
  </si>
  <si>
    <t>FRL (% of students)</t>
  </si>
  <si>
    <t xml:space="preserve">   FRL (# of students)</t>
  </si>
  <si>
    <t xml:space="preserve">   ELL (# of students)</t>
  </si>
  <si>
    <t>Total Revenue / Pupil</t>
  </si>
  <si>
    <t>Total GenOp</t>
  </si>
  <si>
    <t>GenOp per Student</t>
  </si>
  <si>
    <t>Net Surplus after Gen Op</t>
  </si>
  <si>
    <t>Net Surplus after Gen Op per Student</t>
  </si>
  <si>
    <t>STAFF FTE COUNT</t>
  </si>
  <si>
    <t>GENERAL OPERATING EXPENSES</t>
  </si>
  <si>
    <t>Instruction</t>
  </si>
  <si>
    <t>Assumptions</t>
  </si>
  <si>
    <t>Professional development</t>
  </si>
  <si>
    <t>Per FTE</t>
  </si>
  <si>
    <t>Staff recruitment</t>
  </si>
  <si>
    <t>Per Year</t>
    <phoneticPr fontId="7" type="noConversion"/>
  </si>
  <si>
    <t>Special Ed/Psychology Consultant</t>
  </si>
  <si>
    <t>Annual Expense</t>
  </si>
  <si>
    <t>EMO / CMO Fee See Tab</t>
  </si>
  <si>
    <t>Textbooks - initial costs</t>
  </si>
  <si>
    <t>Textbooks - repurchase of new books</t>
  </si>
  <si>
    <t>Number of years use</t>
  </si>
  <si>
    <t>Library books per new student</t>
  </si>
  <si>
    <t>Per New Student</t>
  </si>
  <si>
    <t>Food services</t>
  </si>
  <si>
    <t>Music program</t>
  </si>
  <si>
    <t>Per Student</t>
  </si>
  <si>
    <t>Management fees (Non EMO; Non CMO)</t>
  </si>
  <si>
    <t>% of PCFP &amp; Other Grant funds</t>
  </si>
  <si>
    <t>Licensing fees</t>
  </si>
  <si>
    <t>Office Supplies (non direct student; not equip)</t>
  </si>
  <si>
    <t>Supplies for students (not equip)</t>
  </si>
  <si>
    <t>Assessment costs</t>
  </si>
  <si>
    <t>Yearbook</t>
  </si>
  <si>
    <t>School store</t>
  </si>
  <si>
    <t>Contracted SPED</t>
  </si>
  <si>
    <t>Instructional supplies - Teachers (just teaching faculty)</t>
  </si>
  <si>
    <t>Per Instructional FTE</t>
  </si>
  <si>
    <t>General office supplies (enter here or above/student; not equip)</t>
  </si>
  <si>
    <t>Per month</t>
  </si>
  <si>
    <t>School uniforms - new students</t>
  </si>
  <si>
    <t>Per new student</t>
  </si>
  <si>
    <t>School uniforms - returning students (exclude new students)</t>
  </si>
  <si>
    <t>Per returning student (exclude new students)</t>
  </si>
  <si>
    <t>General building decorum</t>
  </si>
  <si>
    <t>Annual Exp</t>
  </si>
  <si>
    <t>Health supplies</t>
  </si>
  <si>
    <t>Per student per year</t>
  </si>
  <si>
    <t>Bank fees</t>
  </si>
  <si>
    <t>Postage and shipping</t>
  </si>
  <si>
    <t>Gifts &amp; awards - students</t>
  </si>
  <si>
    <t>Gifts &amp; awards - faculty and staff</t>
  </si>
  <si>
    <t>Dues and memberships</t>
  </si>
  <si>
    <t>Travel and Meetings</t>
  </si>
  <si>
    <t>Background checks</t>
  </si>
  <si>
    <t>Per new FTE</t>
  </si>
  <si>
    <t>Accounting services</t>
  </si>
  <si>
    <t xml:space="preserve">Field trips </t>
  </si>
  <si>
    <t>Per grade level</t>
  </si>
  <si>
    <t>Field trips - out of state</t>
  </si>
  <si>
    <t>Governance/Board Background Checks</t>
  </si>
  <si>
    <t>Governance/Board Training</t>
  </si>
  <si>
    <t>Governance/Board Other Expenses</t>
  </si>
  <si>
    <t>Parent &amp; staff meetings</t>
  </si>
  <si>
    <t>Saturday School (contractors for instruction)</t>
  </si>
  <si>
    <t>no</t>
  </si>
  <si>
    <t>Input "yes" or "no"</t>
  </si>
  <si>
    <t>Total Instructional Supplies</t>
  </si>
  <si>
    <t>Annual audit</t>
  </si>
  <si>
    <t>Food Program</t>
  </si>
  <si>
    <t>School Pays?</t>
  </si>
  <si>
    <t>Breakfast</t>
  </si>
  <si>
    <t>Lunch program</t>
  </si>
  <si>
    <t>Snacks</t>
  </si>
  <si>
    <t>Saturday food program</t>
  </si>
  <si>
    <t>Total Food Costs</t>
  </si>
  <si>
    <t>TRANSPORTATION REVENUES/FUNDING</t>
  </si>
  <si>
    <t>Transportation Revenues/Funding (if applicable)</t>
  </si>
  <si>
    <t>TRANSPORTATION COSTS</t>
  </si>
  <si>
    <t>Percentage of students transported</t>
  </si>
  <si>
    <t>Students per bus</t>
  </si>
  <si>
    <t>Bus purchase price (used bus)</t>
  </si>
  <si>
    <t>Miles driven per bus per day</t>
  </si>
  <si>
    <t>Miles driven per bus per year</t>
  </si>
  <si>
    <t>Miles per gallon</t>
  </si>
  <si>
    <t>Gallons purchased per year</t>
  </si>
  <si>
    <t>Price per gallon</t>
  </si>
  <si>
    <t>Annual fuel costs per bus</t>
  </si>
  <si>
    <t xml:space="preserve">Maintenance costs per bus </t>
  </si>
  <si>
    <t>per mile</t>
  </si>
  <si>
    <t>Annual maintenance costs per bus</t>
  </si>
  <si>
    <t>Bus Contracting Costs</t>
    <phoneticPr fontId="7" type="noConversion"/>
  </si>
  <si>
    <t>annual</t>
  </si>
  <si>
    <t>Number of students participating</t>
  </si>
  <si>
    <t>Number of buses required</t>
  </si>
  <si>
    <t>Bus purchasing costs</t>
  </si>
  <si>
    <t>Fuel costs</t>
  </si>
  <si>
    <t>Maintenance costs</t>
  </si>
  <si>
    <t>TOTAL TRANSPORTATION COSTS</t>
  </si>
  <si>
    <t>NET TRANSPORTATION CASHFLOW</t>
  </si>
  <si>
    <t>Costs stated as positive number to be consistent with other costs shown; credit if T' revenues &gt; T' costs</t>
  </si>
  <si>
    <t>Athletic Costs detail (subtotal posted above) (not in print range)</t>
  </si>
  <si>
    <t>Football</t>
  </si>
  <si>
    <t>Boy's basketball</t>
  </si>
  <si>
    <t>Girl's cheerleading</t>
  </si>
  <si>
    <t>Boy's soccer</t>
  </si>
  <si>
    <t>Girl's soccer</t>
  </si>
  <si>
    <t>Boy's track and field</t>
  </si>
  <si>
    <t>Girl's track and field</t>
  </si>
  <si>
    <t>Boy's lacrosse</t>
  </si>
  <si>
    <t>Girl's lacrosse</t>
  </si>
  <si>
    <t>TOTAL ATHLETIC COSTS</t>
  </si>
  <si>
    <t>Inflation (compounded/year)</t>
  </si>
  <si>
    <t>TOTAL GENERAL OPERATING EXPENSES</t>
  </si>
  <si>
    <t>Potential location(s) under consideration: (Address or cross street, City, County)</t>
  </si>
  <si>
    <t>FACILITIES</t>
  </si>
  <si>
    <t>SELECT "Purchase" or "Lease"</t>
  </si>
  <si>
    <t>Lease</t>
  </si>
  <si>
    <t>LEASE OPTION</t>
  </si>
  <si>
    <t>SF/pupil</t>
  </si>
  <si>
    <t>Lease area (conditioned space)(sq ft)</t>
  </si>
  <si>
    <t>Lease rate escalator</t>
  </si>
  <si>
    <t>Lease cost/sf/month (after waivers)</t>
  </si>
  <si>
    <t>Lease rate /yr w/esca'  (after waivers)</t>
  </si>
  <si>
    <t>Facility lease cost/yr</t>
  </si>
  <si>
    <t>Per sq ft</t>
  </si>
  <si>
    <t>Custodial (Non CAM)/yr</t>
  </si>
  <si>
    <t>/sf/yr</t>
  </si>
  <si>
    <t>Utilities/yr</t>
  </si>
  <si>
    <t>CAM/yr</t>
  </si>
  <si>
    <t>Campus security</t>
  </si>
  <si>
    <t>/yr</t>
  </si>
  <si>
    <t>Insurance (If not on Ins' tab)</t>
  </si>
  <si>
    <t>Internal/major repairs</t>
  </si>
  <si>
    <t xml:space="preserve">Maintenance </t>
  </si>
  <si>
    <t>Property Taxes</t>
  </si>
  <si>
    <t>Escalator on Custodial, Utilities, CAM, Security)</t>
  </si>
  <si>
    <t>Above costs</t>
  </si>
  <si>
    <t>Security Deposit(s)(post to Cashflow ("CF Y1 Mo" tab)</t>
  </si>
  <si>
    <t>Lump sum</t>
  </si>
  <si>
    <t>Depreciation-Capital Outlay</t>
  </si>
  <si>
    <t>Total cash cost to lease (FYI, not shown on Summary tab)</t>
  </si>
  <si>
    <t>Total lease book expense (shown on Summary tab)</t>
  </si>
  <si>
    <t>Book Expense - Cash Cost</t>
  </si>
  <si>
    <t>Facility lease cost / Month</t>
  </si>
  <si>
    <t>Custodial (Non CAM)/mo</t>
  </si>
  <si>
    <t>Utilities/mo</t>
  </si>
  <si>
    <t>CAM /mo</t>
  </si>
  <si>
    <t>If Lease, then facility type:</t>
  </si>
  <si>
    <t>Retail/shopping, office, industrial, school, church, other__________</t>
  </si>
  <si>
    <t>City/County sign off of improvement plans--all required work identified</t>
  </si>
  <si>
    <t>PURCHASE OPTION</t>
  </si>
  <si>
    <t>Square feet purchased</t>
  </si>
  <si>
    <t>Equity</t>
  </si>
  <si>
    <t>% of purchase price</t>
  </si>
  <si>
    <t>Purchase price per sq ft</t>
  </si>
  <si>
    <t>Amount Financed</t>
  </si>
  <si>
    <t>Purchase price</t>
  </si>
  <si>
    <t>Loan Term (years)</t>
  </si>
  <si>
    <t>Renovation cost per sq ft</t>
  </si>
  <si>
    <t>Bank Fees &amp; Points</t>
  </si>
  <si>
    <t>Total renovation costs</t>
  </si>
  <si>
    <t>Interest Rate</t>
  </si>
  <si>
    <t>Purchase price and renovation costs</t>
  </si>
  <si>
    <t>Monthly Debt Service</t>
  </si>
  <si>
    <t>Annual Debt Service</t>
  </si>
  <si>
    <t xml:space="preserve">Estimated annual interest expense </t>
  </si>
  <si>
    <t>(based on PV of all interest payments)</t>
  </si>
  <si>
    <t>Custodial Services</t>
  </si>
  <si>
    <t>Equity (down payment)</t>
  </si>
  <si>
    <t>Financing costs (6 months during planning year)</t>
  </si>
  <si>
    <t>Total cash costs to purchase</t>
  </si>
  <si>
    <t>Total purchase book  expense</t>
  </si>
  <si>
    <t>TOTAL FACILITIES CASH COSTS</t>
  </si>
  <si>
    <t>TOTAL FACILITIES Book Expense</t>
  </si>
  <si>
    <t>Difference</t>
  </si>
  <si>
    <t>To pull to other sheets</t>
  </si>
  <si>
    <t>SY 1</t>
  </si>
  <si>
    <t>SY 2</t>
  </si>
  <si>
    <t>SY 3</t>
  </si>
  <si>
    <t>SY 4</t>
  </si>
  <si>
    <t>SY 5</t>
  </si>
  <si>
    <t>SY 6</t>
  </si>
  <si>
    <t>Square Feet</t>
  </si>
  <si>
    <t>Furnishings, Fixtures, Equipment 
&amp; Technology (FFE&amp;T)</t>
  </si>
  <si>
    <t>Comments (Applicant/SPCSA) (Not in print range)(Explain formula overrides)</t>
  </si>
  <si>
    <t>Student enrollment</t>
  </si>
  <si>
    <t>FTE Total (PT not incl)</t>
  </si>
  <si>
    <t>Number of copiers needed</t>
  </si>
  <si>
    <t>Annual copier lease</t>
  </si>
  <si>
    <t>Copier - usage fee</t>
  </si>
  <si>
    <t>Computers - Faculty</t>
  </si>
  <si>
    <t>Per new laptop</t>
  </si>
  <si>
    <t>Computers (Replacement) - Faculty</t>
  </si>
  <si>
    <t>Computers - Students</t>
  </si>
  <si>
    <t>Computers (Replacement)- Students</t>
  </si>
  <si>
    <t>Cart Costs</t>
  </si>
  <si>
    <t>FTE Cell phone handsets</t>
  </si>
  <si>
    <t>Per handset</t>
  </si>
  <si>
    <t>FTE Cell phones</t>
  </si>
  <si>
    <t>Internet setup</t>
  </si>
  <si>
    <t>Server</t>
  </si>
  <si>
    <t>Classroom technology, other</t>
  </si>
  <si>
    <t>Per classroom</t>
  </si>
  <si>
    <t>Educational software/curriculum</t>
  </si>
  <si>
    <t>NWEA-MAP</t>
  </si>
  <si>
    <t>iReady</t>
  </si>
  <si>
    <t>Class Dojo</t>
  </si>
  <si>
    <t>Infinite Campus</t>
  </si>
  <si>
    <t>Technology Support Services</t>
  </si>
  <si>
    <t>Internet and phone monthly service</t>
  </si>
  <si>
    <t>Other Equipment (security system, 
Hardware costs, setup fees)</t>
  </si>
  <si>
    <t>Other Equipment replacement</t>
  </si>
  <si>
    <t>Expected years</t>
  </si>
  <si>
    <t>Monthly equipment cost</t>
  </si>
  <si>
    <t>Computer Hardware (Other)</t>
  </si>
  <si>
    <t>Computer Software</t>
  </si>
  <si>
    <t>TOTAL FFE &amp; T COSTS 
(book expense, e.g., full accrual)</t>
  </si>
  <si>
    <t>Comments (Row #, you can include calculations in this workspace area; you can also insert Comments in cells above)</t>
  </si>
  <si>
    <t>Total Enrollment</t>
  </si>
  <si>
    <t>Rev per student</t>
  </si>
  <si>
    <t>Total FFE&amp;T</t>
  </si>
  <si>
    <t>FFE&amp;T per Student</t>
  </si>
  <si>
    <t>Net Surplus after FFE&amp;T</t>
  </si>
  <si>
    <t>Net Surplus after FFE&amp;T per Student</t>
  </si>
  <si>
    <t>Insurance Coverage</t>
  </si>
  <si>
    <t>Check with your risk manager, insurance agent, or attorney as to what types of insurance you may need.</t>
  </si>
  <si>
    <t xml:space="preserve">Pre-Opening </t>
  </si>
  <si>
    <t>(You may overwrite the formulas below)</t>
  </si>
  <si>
    <t>Insurance types</t>
  </si>
  <si>
    <t>Minimum</t>
  </si>
  <si>
    <t>Annual</t>
  </si>
  <si>
    <t>(Select appropriate coverages)</t>
  </si>
  <si>
    <t>Coverage</t>
  </si>
  <si>
    <t>Cost</t>
  </si>
  <si>
    <t>6 yr+0</t>
  </si>
  <si>
    <t>NAC 388A.190</t>
  </si>
  <si>
    <t>Indicate below if required coverages are included, e.g., "in (c)"</t>
  </si>
  <si>
    <t>(a) Industrial insurance coverage, if applicable</t>
  </si>
  <si>
    <t>(b) General liability insurance minimum coverage of $1,000,000. Includes coverage for molestation and sexual abuse, and have a broad form policy, with the named insureds:</t>
  </si>
  <si>
    <t>(c) Umbrella</t>
  </si>
  <si>
    <t>(d) Educators’ legal</t>
  </si>
  <si>
    <t>(e) Employment practices</t>
  </si>
  <si>
    <t>(f) Employment benefits</t>
  </si>
  <si>
    <t>(g) Insurance covering errors and omissions of the sponsor and 
governing body of the charter school</t>
  </si>
  <si>
    <t>(h) Motor vehicle, if applicable</t>
  </si>
  <si>
    <t>(i) Sports and athletic participation, if applicable</t>
  </si>
  <si>
    <t>NAC 388A.195</t>
  </si>
  <si>
    <t>Legal services &amp; expenses for due process complaints</t>
  </si>
  <si>
    <t>Ck w/agent</t>
  </si>
  <si>
    <t>OR describe NAC 388A.195 Reserve Fund plan in Application narrative</t>
  </si>
  <si>
    <t>Other (Check applicable requirements)</t>
  </si>
  <si>
    <t>Abuse &amp; Molestation</t>
  </si>
  <si>
    <t>Accident Insurance - For volunteers or students due to accident at school.</t>
  </si>
  <si>
    <t>Commercial Property/Campus Liability</t>
  </si>
  <si>
    <t>Commercial Property/Campus Liability (_________ type)</t>
  </si>
  <si>
    <t>Cyber Liability</t>
  </si>
  <si>
    <t>Employee Dishonesty/Crime</t>
  </si>
  <si>
    <t>Employement Practices Liability</t>
  </si>
  <si>
    <t>Errors and Omissions</t>
  </si>
  <si>
    <t>Excess/Umbrella Liability</t>
  </si>
  <si>
    <t>Personal and Advertising Injury</t>
  </si>
  <si>
    <t>Products/Completed Operations Aggregate</t>
  </si>
  <si>
    <t>Special Education Liability</t>
  </si>
  <si>
    <t>Total Insurance Expense b4 Inflation</t>
  </si>
  <si>
    <t>Inflation</t>
  </si>
  <si>
    <t>The above list may serve as a prompt of insurance coverages and insurance packages that need to be considered and acquired.</t>
  </si>
  <si>
    <t>Remove lines which are not applicable to your school.  Add desriptions and amounts where needed.</t>
  </si>
  <si>
    <t>Consult with your insurance agent regarding the coverages your school, faculty, leadership and board may need or want.</t>
  </si>
  <si>
    <t>Charter Contract Operations Term</t>
  </si>
  <si>
    <t>SY 0</t>
  </si>
  <si>
    <t>STUDENT RECRUITMENT AND MARKETING</t>
  </si>
  <si>
    <t>Marketing/Recruitment Method</t>
  </si>
  <si>
    <t>Schedule estimate</t>
  </si>
  <si>
    <t>Total Cost</t>
  </si>
  <si>
    <t>Nevada State Public Charter School Authority</t>
  </si>
  <si>
    <t>Sample items below (erase at will)</t>
  </si>
  <si>
    <t>Research and Planning</t>
  </si>
  <si>
    <t>Market Research</t>
  </si>
  <si>
    <t>Public meeting with hosting</t>
  </si>
  <si>
    <t>Curriculum Development</t>
  </si>
  <si>
    <t>Application Costs Consultants:</t>
  </si>
  <si>
    <t>Charter application</t>
  </si>
  <si>
    <t>Staff Recruitment/Hiring</t>
  </si>
  <si>
    <t>Board Recruitment and Screening</t>
  </si>
  <si>
    <t>Website Development</t>
  </si>
  <si>
    <t>Brochures/Information</t>
  </si>
  <si>
    <t>Admissions Lottery</t>
  </si>
  <si>
    <t>TOTAL USES DURING PRE-OPENING</t>
  </si>
  <si>
    <t>Use this tab only for unique pre-opening plan/budget costs. Otherwise, use another expense sheet.</t>
  </si>
  <si>
    <t xml:space="preserve">Consider a cost plus model of hiring specific services you may need, such as accounting/payroll.  But also consider </t>
  </si>
  <si>
    <t>the value of full service providers.  There can be greater savings from exercising a service cost plus a margin for</t>
  </si>
  <si>
    <t>services providers specializing in specific areas.  There can be more peace of mind from "one-stop" providers.  Some</t>
  </si>
  <si>
    <t>schools may start with one model and shift to another.  Make sure your contracts provide the flexibility you deserve.</t>
  </si>
  <si>
    <t>Education Management Organization (EMO)</t>
  </si>
  <si>
    <t>Charter Management Organization (CMO)</t>
  </si>
  <si>
    <t>School Year 1 (Fall Start)</t>
  </si>
  <si>
    <t>Total Expenses (w/o EMO/CMO Fees)</t>
  </si>
  <si>
    <t>Do you plan to contract with a EMO/CMO during this term?</t>
  </si>
  <si>
    <t>Y/N?</t>
  </si>
  <si>
    <t xml:space="preserve">    Other State &amp; Local Revenue</t>
  </si>
  <si>
    <t>Check Fee Base</t>
  </si>
  <si>
    <t xml:space="preserve">    Total Federal, State &amp; Local Revenue, Grants, other funds </t>
  </si>
  <si>
    <t>Estimated EMO, CMO, and/or BOSP Fees</t>
  </si>
  <si>
    <t>OR</t>
  </si>
  <si>
    <t>Cost plus (Years 1 &amp; 2)</t>
  </si>
  <si>
    <t>Cost plus  (Years 3-6)</t>
  </si>
  <si>
    <t>Other fee structure (describe)</t>
  </si>
  <si>
    <t xml:space="preserve">NAC 388A.580 Initial EMO contract terms cannot exceed 2 years. Renewal contracts cannot exceed the remaining term of the written charter or charter contract, </t>
  </si>
  <si>
    <t>ESP (Education Services Provider) is not used here to reduce possible confusion with an EMO.</t>
  </si>
  <si>
    <t>EMO or CMO</t>
  </si>
  <si>
    <t>BOSP</t>
  </si>
  <si>
    <t>Incl'd</t>
  </si>
  <si>
    <t>Perform</t>
  </si>
  <si>
    <t>in fee?</t>
  </si>
  <si>
    <t>Service?</t>
  </si>
  <si>
    <t>Pass Thru?</t>
  </si>
  <si>
    <t>EMO, CMO, BOSP services to charter school</t>
  </si>
  <si>
    <t>Y/N</t>
  </si>
  <si>
    <t>"Back office" functions (Accounting, A/P, A/R, Payroll, Inventory, financial, compliance, reporting)</t>
  </si>
  <si>
    <t>Accounting</t>
  </si>
  <si>
    <t xml:space="preserve">Bond Financing, </t>
  </si>
  <si>
    <t xml:space="preserve">Capital Loans, </t>
  </si>
  <si>
    <t xml:space="preserve">Cash Advances For Startup Funds, </t>
  </si>
  <si>
    <t>Computer/Other Leasing</t>
  </si>
  <si>
    <t>Compliance Mgt</t>
  </si>
  <si>
    <t>Contract Mgt</t>
  </si>
  <si>
    <t>Curriculum</t>
  </si>
  <si>
    <t xml:space="preserve">Development of Curriculum and Instruction, </t>
  </si>
  <si>
    <t xml:space="preserve">Establishment of College Guidance &amp; Counseling Program. </t>
  </si>
  <si>
    <t xml:space="preserve">Facility Leasing, </t>
  </si>
  <si>
    <t>Finance</t>
  </si>
  <si>
    <t>Food Servicing</t>
  </si>
  <si>
    <t xml:space="preserve">Furnishings, Fixtures, </t>
  </si>
  <si>
    <t>Safety</t>
  </si>
  <si>
    <t>HR Management</t>
  </si>
  <si>
    <t>Internal Control Process Development</t>
  </si>
  <si>
    <t>Manage or Operate aspects of a charter school</t>
  </si>
  <si>
    <t xml:space="preserve">Professional Development and </t>
  </si>
  <si>
    <t>Purchasing</t>
  </si>
  <si>
    <t xml:space="preserve">Supervision of building Design &amp; Remodeling, </t>
  </si>
  <si>
    <t xml:space="preserve">Technology Contracting, </t>
  </si>
  <si>
    <t xml:space="preserve">Textbooks, Other Transactions, </t>
  </si>
  <si>
    <t>Other (Describe)</t>
  </si>
  <si>
    <t>Total EMO-CMO-ESP Planned Expenses</t>
  </si>
  <si>
    <t>Does the EMO provide the service or do they help you choose the service which you will pay for--separate</t>
  </si>
  <si>
    <t>from the EMO fee?</t>
  </si>
  <si>
    <t>Outside Revenue rates may change throughout the year as they are recalculated based on available funding.  Plan accordingly.</t>
  </si>
  <si>
    <t>For the SYE 22 &amp; SYE 23 Biennium</t>
  </si>
  <si>
    <t>We've seen differences in the 0% to 11% range--depending on the district.  So, your final rates may vary.</t>
  </si>
  <si>
    <t>PCFP Virtual</t>
  </si>
  <si>
    <t>PUPIL CENTERED FUNDING PLAN SYE 22 &amp; SYE 23</t>
  </si>
  <si>
    <t>PPRev</t>
  </si>
  <si>
    <t>SYE-20 Rates</t>
  </si>
  <si>
    <t xml:space="preserve">Total </t>
  </si>
  <si>
    <t>Period Pmt Amounts</t>
  </si>
  <si>
    <t>Index</t>
  </si>
  <si>
    <t>NDE Adjustment Factor</t>
  </si>
  <si>
    <t>For the base</t>
  </si>
  <si>
    <t>Only for the State SPED account which was not "pre" affected by the .9931% reduction.</t>
  </si>
  <si>
    <t>SYE 22</t>
  </si>
  <si>
    <t>SYE 23</t>
  </si>
  <si>
    <t>District-County</t>
  </si>
  <si>
    <t>DSA</t>
  </si>
  <si>
    <t>Outside Revenue</t>
  </si>
  <si>
    <t>Planned
Enrollment</t>
  </si>
  <si>
    <t>Payment 
Frequency</t>
  </si>
  <si>
    <t>Qrtr</t>
  </si>
  <si>
    <t>Mon</t>
  </si>
  <si>
    <t>OSRev/Tot</t>
  </si>
  <si>
    <t>Rev/CCSD</t>
  </si>
  <si>
    <t>Total
Virtual</t>
  </si>
  <si>
    <t>Inf' Total
(w/o redux)</t>
  </si>
  <si>
    <t>Total/yr</t>
  </si>
  <si>
    <t>Distance Ed SB 458.5.5 &amp; 6.5</t>
  </si>
  <si>
    <t>Carson City</t>
  </si>
  <si>
    <t>Distance Ed SB 458.5.5...w/Adj</t>
  </si>
  <si>
    <t>Churchill</t>
  </si>
  <si>
    <t>In person</t>
  </si>
  <si>
    <t>Final adjusted base PPR, SB 458.5-6</t>
  </si>
  <si>
    <t>Charter</t>
  </si>
  <si>
    <t>% Chg YOY</t>
  </si>
  <si>
    <t xml:space="preserve">Carson City </t>
  </si>
  <si>
    <t xml:space="preserve">Churchill </t>
  </si>
  <si>
    <t xml:space="preserve">Clark </t>
  </si>
  <si>
    <t xml:space="preserve">Elko </t>
  </si>
  <si>
    <t xml:space="preserve">Washoe </t>
  </si>
  <si>
    <t xml:space="preserve">White Pine </t>
  </si>
  <si>
    <t>Final adjusted base PPR, SB 458.5-6--w/NDE Adj Factor</t>
  </si>
  <si>
    <t>Douglas</t>
  </si>
  <si>
    <t>SYE 23-SYE 20</t>
  </si>
  <si>
    <t>Elko</t>
  </si>
  <si>
    <t>Esmeralda</t>
  </si>
  <si>
    <t>Eureka</t>
  </si>
  <si>
    <t>Humboldt</t>
  </si>
  <si>
    <t>Lander</t>
  </si>
  <si>
    <t>Washoe</t>
  </si>
  <si>
    <t>Lincoln</t>
  </si>
  <si>
    <t>White Pine</t>
  </si>
  <si>
    <t>Lyon</t>
  </si>
  <si>
    <t>Mineral</t>
  </si>
  <si>
    <t>Special Populations</t>
  </si>
  <si>
    <t>Nye</t>
  </si>
  <si>
    <t>Additional weighted PPR, SB 458.5-7</t>
  </si>
  <si>
    <t>Pershing</t>
  </si>
  <si>
    <t>SpEd (TEST INPUT)</t>
  </si>
  <si>
    <t>Placeholders for testing @ 33%</t>
  </si>
  <si>
    <t>Storey</t>
  </si>
  <si>
    <t>English learners</t>
  </si>
  <si>
    <t>At-risk pupils (FRL)</t>
  </si>
  <si>
    <t>Gifted and talented</t>
  </si>
  <si>
    <t xml:space="preserve">   Multi-District weighted average</t>
  </si>
  <si>
    <t>Enrollments</t>
  </si>
  <si>
    <t>In Person</t>
  </si>
  <si>
    <t>Ask RF &amp; MM if schools will be allowed to do a hybrid; I've heard of at least one app' and one school that has discussed this.</t>
  </si>
  <si>
    <t>Distance Ed'</t>
  </si>
  <si>
    <t>The school discussing this is saying their parents want the option because of Covid.</t>
  </si>
  <si>
    <t>Working area</t>
  </si>
  <si>
    <t>Enter estimated enrollment numbers below based on the applicable categories.</t>
  </si>
  <si>
    <t>Total Enrollment (Year 1)</t>
  </si>
  <si>
    <t>General (No special pop')</t>
  </si>
  <si>
    <t>Special Populations (Unduplicated)</t>
  </si>
  <si>
    <t>Special populations (Unduplicated)</t>
  </si>
  <si>
    <t xml:space="preserve">School </t>
  </si>
  <si>
    <t>Raw totals</t>
  </si>
  <si>
    <t>Estimated Unduplicated Enrollment</t>
  </si>
  <si>
    <t>w/Dupl'n</t>
  </si>
  <si>
    <t>No</t>
  </si>
  <si>
    <t>Enrol' w/o</t>
  </si>
  <si>
    <t>Reality vs. Random</t>
  </si>
  <si>
    <t>SPED</t>
  </si>
  <si>
    <t>SPED-GATE</t>
  </si>
  <si>
    <t>SPED-ELL</t>
  </si>
  <si>
    <t>SPED-AR</t>
  </si>
  <si>
    <t>Total %</t>
  </si>
  <si>
    <t>Duplication %</t>
  </si>
  <si>
    <t>Duplication #</t>
  </si>
  <si>
    <t>Actual vs. Random</t>
  </si>
  <si>
    <t>GATE</t>
  </si>
  <si>
    <t>GATE - ELL</t>
  </si>
  <si>
    <t>GATE-AR</t>
  </si>
  <si>
    <t>ELL</t>
  </si>
  <si>
    <t>ELL-AR</t>
  </si>
  <si>
    <t>AR</t>
  </si>
  <si>
    <t xml:space="preserve">Or assume a normal distribution </t>
  </si>
  <si>
    <t>Estimated Multi-combinations</t>
  </si>
  <si>
    <t>SPED-GATE-ELL-AR</t>
  </si>
  <si>
    <t>SPED-GATE-ELL</t>
  </si>
  <si>
    <t>SPED-GATE-AR</t>
  </si>
  <si>
    <t>SPED-ELL-AR</t>
  </si>
  <si>
    <t>GATE-ELL-AR</t>
  </si>
  <si>
    <t>The below totals should be your optimized, non double-counted enrollments.</t>
  </si>
  <si>
    <t>They are used in cells E39:E42 above.</t>
  </si>
  <si>
    <t>SpEd</t>
  </si>
  <si>
    <t>EL</t>
  </si>
  <si>
    <t>G&amp;T</t>
  </si>
  <si>
    <t>Check</t>
  </si>
  <si>
    <t>Percent Total</t>
  </si>
  <si>
    <t>Add'l Funding</t>
  </si>
  <si>
    <t>Adjusted w/NDE Adj' Factor</t>
  </si>
  <si>
    <t>Full Adj Base</t>
  </si>
  <si>
    <t>Area</t>
  </si>
  <si>
    <t>Funding</t>
  </si>
  <si>
    <t>IN PERSON</t>
  </si>
  <si>
    <t>"y/n"</t>
  </si>
  <si>
    <t>Additional Funding</t>
  </si>
  <si>
    <t>y</t>
  </si>
  <si>
    <t>Distance Education</t>
  </si>
  <si>
    <t>(All Counties)</t>
  </si>
  <si>
    <t>School Year Ending</t>
  </si>
  <si>
    <t>Full Base</t>
  </si>
  <si>
    <t>Statewide base</t>
  </si>
  <si>
    <t>Statewide base Net of adj't</t>
  </si>
  <si>
    <t>ENROLLMENTS</t>
  </si>
  <si>
    <t>Total Counts</t>
  </si>
  <si>
    <t>Additional Weighted Special Population Enrollment Counts (one category per pupil only)</t>
  </si>
  <si>
    <t>Location\Weightings</t>
  </si>
  <si>
    <t>Unfunded Enrollment Counts</t>
  </si>
  <si>
    <t>Grand Total</t>
  </si>
  <si>
    <t>DISTANCE EDUCATION</t>
  </si>
  <si>
    <t>Funded Weighted Enrollment Counts</t>
  </si>
  <si>
    <t>Average PPR</t>
  </si>
  <si>
    <t>Additional Weighted Supportive Funding</t>
  </si>
  <si>
    <t>Adjusted Base Funding</t>
  </si>
  <si>
    <t>Baseline Information</t>
  </si>
  <si>
    <t>Per Pupil Revenue (PPR)</t>
  </si>
  <si>
    <t>Statewide base PPR (Charter School, Distance Ed) SB 458.5-5</t>
  </si>
  <si>
    <t>District Adj' base PPR, SB 458.5-4</t>
  </si>
  <si>
    <t>Statewide base PPR, SB 458.5-5</t>
  </si>
  <si>
    <t>Final adjusted base PPR SYE 22, SB 458.5-6</t>
  </si>
  <si>
    <t>District</t>
  </si>
  <si>
    <t xml:space="preserve">Douglas </t>
  </si>
  <si>
    <t xml:space="preserve">Esmeralda </t>
  </si>
  <si>
    <t xml:space="preserve">Eureka </t>
  </si>
  <si>
    <t>Distance Ed</t>
  </si>
  <si>
    <t xml:space="preserve">Humboldt </t>
  </si>
  <si>
    <t xml:space="preserve">Lander </t>
  </si>
  <si>
    <t xml:space="preserve">Lincoln </t>
  </si>
  <si>
    <t>Awtg</t>
  </si>
  <si>
    <t xml:space="preserve">Lyon </t>
  </si>
  <si>
    <t xml:space="preserve">Mineral </t>
  </si>
  <si>
    <t>At-risk pupils</t>
  </si>
  <si>
    <t>(fka FRL)</t>
  </si>
  <si>
    <t xml:space="preserve">Nye </t>
  </si>
  <si>
    <t xml:space="preserve">Pershing </t>
  </si>
  <si>
    <t xml:space="preserve">Storey </t>
  </si>
  <si>
    <t>PUPIL CENTERED FUNDING PLAN SYE 23</t>
  </si>
  <si>
    <t>Statewide base PPR (Charter School, Distance Ed) SB 458.6-5</t>
  </si>
  <si>
    <t>District Adj' base PPR, SB 458.6-4</t>
  </si>
  <si>
    <t>Statewide base PPR, SB 458.6-5</t>
  </si>
  <si>
    <t>Final adjusted base PPR SYE 22, SB 458.6-6</t>
  </si>
  <si>
    <t>There is discussion that virtual schools will only receive a base fixed amount per pupil regardless of the school district the pupil lives in.</t>
  </si>
  <si>
    <t xml:space="preserve">Enrollment levels at which NDE may switch payments from quarterly to monthly. </t>
  </si>
  <si>
    <t>PP Rev</t>
  </si>
  <si>
    <t>Switchpoint
Enrollments</t>
  </si>
  <si>
    <t>When enrollment levels exceed the above levels NDE switches the school to monthly payments.</t>
  </si>
  <si>
    <t>Facility Specifications - resource worksheet</t>
  </si>
  <si>
    <t>Enrolllment</t>
  </si>
  <si>
    <t># Classrooms</t>
  </si>
  <si>
    <t>Students/Classroom</t>
  </si>
  <si>
    <t xml:space="preserve">This space planning worksheet may help determine facility needs and costs.  You are not required to complete this. </t>
  </si>
  <si>
    <t>Type of Space</t>
  </si>
  <si>
    <t>Common Specifics</t>
  </si>
  <si>
    <t>Low</t>
  </si>
  <si>
    <t>High</t>
  </si>
  <si>
    <t>Avg</t>
  </si>
  <si>
    <t>Example 1</t>
  </si>
  <si>
    <t>Example 2</t>
  </si>
  <si>
    <t>Applicant yr1</t>
  </si>
  <si>
    <t>Applicant yr3</t>
  </si>
  <si>
    <t>500 Students</t>
  </si>
  <si>
    <t>Grade levels</t>
  </si>
  <si>
    <t>9th-12th</t>
  </si>
  <si>
    <t>Students per CR</t>
  </si>
  <si>
    <t>25:1</t>
  </si>
  <si>
    <t>Interior Space PS-full size</t>
  </si>
  <si>
    <t>Classroom, circulation, other PS</t>
  </si>
  <si>
    <t>Detailed Analysis</t>
  </si>
  <si>
    <t>Core classrooms SF</t>
  </si>
  <si>
    <t>20 cls @ 850 SF each = 17,000 SF</t>
  </si>
  <si>
    <t>Science labs SF</t>
  </si>
  <si>
    <t>2 cls @ 1000 SF each</t>
  </si>
  <si>
    <t>Computer labs / media centers</t>
  </si>
  <si>
    <t>1 room @ 1000 SF</t>
  </si>
  <si>
    <t>SPED Specialty offices / classrooms</t>
  </si>
  <si>
    <t>SPED, counseling room(s) - 
2 @ 400 SF each, 4 @ 100 SF each</t>
  </si>
  <si>
    <t>ELL Specialty offices / classrooms</t>
  </si>
  <si>
    <t>SPED, ELL, counseling rooms - 
2 @ 400 SF each, 4 @ 100 SF each</t>
  </si>
  <si>
    <t>Reception area / offices</t>
  </si>
  <si>
    <t>Reception area @   400 SF</t>
  </si>
  <si>
    <t>Administrative offices</t>
  </si>
  <si>
    <t>Four offices at 100 SF each</t>
  </si>
  <si>
    <t>Conference room(s)</t>
  </si>
  <si>
    <t>400 SF</t>
  </si>
  <si>
    <t>Teacher lounge / work room</t>
  </si>
  <si>
    <t>600 SF</t>
  </si>
  <si>
    <t>Commons / lunch area</t>
  </si>
  <si>
    <t>1,500 SF</t>
  </si>
  <si>
    <t>Kitchen / prep room</t>
  </si>
  <si>
    <t>200 SF (prep only)</t>
  </si>
  <si>
    <t>Bathrooms (students)</t>
  </si>
  <si>
    <t>Students - 2 @ 400 SF each</t>
  </si>
  <si>
    <t>Bathrooms (staff)</t>
  </si>
  <si>
    <t>Staff 3 @ 100 SF each</t>
  </si>
  <si>
    <t>Multi-purpose room / gymnasium (A)</t>
  </si>
  <si>
    <t>MPR / small gym @ 4,000 SF</t>
  </si>
  <si>
    <t xml:space="preserve">       "                             "           (B)</t>
  </si>
  <si>
    <t>OR--by sf/pupil</t>
  </si>
  <si>
    <t>---&gt;</t>
  </si>
  <si>
    <t>Elective classrooms</t>
  </si>
  <si>
    <t>(1) music @1,000 SF</t>
  </si>
  <si>
    <t>Storage closets</t>
  </si>
  <si>
    <t>2 @ 300 SF each</t>
  </si>
  <si>
    <t>Custodial closet</t>
  </si>
  <si>
    <t>150 SF</t>
  </si>
  <si>
    <t>Mechanical &amp; IT closet</t>
  </si>
  <si>
    <t>250 SF</t>
  </si>
  <si>
    <t>Other (drama, media, 
parent room, health, etc.)</t>
  </si>
  <si>
    <t>Parent room @ 200 SF</t>
  </si>
  <si>
    <t>Space requirements pre circulation</t>
  </si>
  <si>
    <t>Circulation (hallways)</t>
  </si>
  <si>
    <t xml:space="preserve">@15%(up to 20%) total = 4,800 </t>
  </si>
  <si>
    <t>Total estimated square feet</t>
  </si>
  <si>
    <t>32,000 + 4,800 = 36,800</t>
  </si>
  <si>
    <t>Total square feet per student</t>
  </si>
  <si>
    <t>73.6 SF per student</t>
  </si>
  <si>
    <t>Lease Rate A/sf/mo</t>
  </si>
  <si>
    <t>Common specifics</t>
  </si>
  <si>
    <t>Lease Rate B/sf/mo</t>
  </si>
  <si>
    <t>Elementary (K-6)  25/classroom</t>
  </si>
  <si>
    <t>Middle School (7-8)  27/classroom</t>
  </si>
  <si>
    <t>High School (9-12)  27/classroom</t>
  </si>
  <si>
    <t>App Development Note</t>
  </si>
  <si>
    <t>10/2</t>
  </si>
  <si>
    <t>GenOp-proof &amp; test</t>
  </si>
  <si>
    <t>10/7</t>
  </si>
  <si>
    <t>Confirm TOC labels</t>
  </si>
  <si>
    <t>Create TOC w/urls</t>
  </si>
  <si>
    <t>Confirm right cells are locked and unlocked</t>
  </si>
  <si>
    <t>Confirm logic</t>
  </si>
  <si>
    <t>Remove unnecessary tabs</t>
  </si>
  <si>
    <t>'Thu 6/25/2020 em from Kristin dietz</t>
  </si>
  <si>
    <t>Jun 25 image vs Jul 13 image</t>
  </si>
  <si>
    <t>x</t>
  </si>
  <si>
    <t>F60 ok</t>
  </si>
  <si>
    <t>Fix</t>
  </si>
  <si>
    <t>Keep&gt;=1</t>
  </si>
  <si>
    <t>Fixed</t>
  </si>
  <si>
    <t>1372 perf bonus unlocked</t>
  </si>
  <si>
    <t>cf Mktg</t>
  </si>
  <si>
    <t>Unlocked</t>
  </si>
  <si>
    <t>wkg</t>
  </si>
  <si>
    <t>xl</t>
  </si>
  <si>
    <t>Depreciation calc.  9/10. MH to edit.</t>
  </si>
  <si>
    <t>Use RFA # staff by categories</t>
  </si>
  <si>
    <t>Enrol Staff &amp; Exp</t>
  </si>
  <si>
    <t>Split off "Other" from "Guidance Counselors &amp; Other" and incorporate all logic changes. 9.10</t>
  </si>
  <si>
    <t>Why is grouping protected?  It's an Excel standard.</t>
  </si>
  <si>
    <t>Can we find a work around so app'ts can use the grouping option on the Enrol Staff &amp; Exp tab?</t>
  </si>
  <si>
    <t>Enabled being able to see formulas while keeping editing access to those cells locked. 2020.09.04 MD</t>
  </si>
  <si>
    <t>Note on Depreciation+</t>
  </si>
  <si>
    <t>High Performance, Equity, Diversity WIP detail budget</t>
  </si>
  <si>
    <t>Test worksheet in development</t>
  </si>
  <si>
    <t>OPF matter?</t>
  </si>
  <si>
    <t>The purpose of this worksheet is to identify areas where one could reasonably expect to see budget affects from efforts to invest</t>
  </si>
  <si>
    <t>in activities to improve equity, diversity, restorative justice, etc.  As well as to see funding in the budget to help in this effort.</t>
  </si>
  <si>
    <t>Nonprofit Reqt?</t>
  </si>
  <si>
    <t>Planning</t>
  </si>
  <si>
    <t>Federal</t>
  </si>
  <si>
    <t>State</t>
  </si>
  <si>
    <t>Federal Grants</t>
  </si>
  <si>
    <t>1. Title IA for schools with students who are</t>
  </si>
  <si>
    <t>economically disadvantaged</t>
  </si>
  <si>
    <t>2. Title I 1003a for school improvement grants</t>
  </si>
  <si>
    <t>3. Title IIA for educator development</t>
  </si>
  <si>
    <t>4. Title III – LEP for students with limited English</t>
  </si>
  <si>
    <t>proficiency</t>
  </si>
  <si>
    <t>5. Title III – IMM for students who are immigrants</t>
  </si>
  <si>
    <t>6. IDEA – B for special education</t>
  </si>
  <si>
    <t>7. IDEA – b for early childhood special education</t>
  </si>
  <si>
    <t>8. ESSER for support in response to COVID-19</t>
  </si>
  <si>
    <t>9. CRF also for support in response to COVID-19</t>
  </si>
  <si>
    <t>10. Other</t>
  </si>
  <si>
    <t>State Grants</t>
  </si>
  <si>
    <t>1. Pre-Kindergarten</t>
  </si>
  <si>
    <t>2.Zoom</t>
  </si>
  <si>
    <t>3.Victory</t>
  </si>
  <si>
    <t>4.New Nevada Education Funding Plan</t>
  </si>
  <si>
    <t>5.Great Teaching &amp; Leading,…</t>
  </si>
  <si>
    <t>6. Other…</t>
  </si>
  <si>
    <t>7. Other…</t>
  </si>
  <si>
    <t>8. Other…</t>
  </si>
  <si>
    <t>9. Other…</t>
  </si>
  <si>
    <t>10. Other…</t>
  </si>
  <si>
    <t>Expenditures</t>
  </si>
  <si>
    <t>Professional Development</t>
  </si>
  <si>
    <t>Training: Restorative Justice</t>
  </si>
  <si>
    <t>"Levers"</t>
  </si>
  <si>
    <t xml:space="preserve"> </t>
  </si>
  <si>
    <t>Total Personnel</t>
  </si>
  <si>
    <t>Personnel per Student</t>
  </si>
  <si>
    <t>Net Surplus after Personnel per student</t>
  </si>
  <si>
    <t>Total Gen Op</t>
  </si>
  <si>
    <t>Gen Op per Student</t>
  </si>
  <si>
    <t>Total Facilities</t>
  </si>
  <si>
    <t>Facilities per Student</t>
  </si>
  <si>
    <t>Net Surplus after Facilities</t>
  </si>
  <si>
    <t>Net Surplus after Facilities per Student</t>
  </si>
  <si>
    <t>Total Transportation</t>
  </si>
  <si>
    <t>Transportation per Student</t>
  </si>
  <si>
    <t>Total Ins</t>
  </si>
  <si>
    <t>Ins per Student</t>
  </si>
  <si>
    <t>Total Marketing</t>
  </si>
  <si>
    <t>Marketing per Student</t>
  </si>
  <si>
    <t>Total Other Costs</t>
  </si>
  <si>
    <t>Other Costs per Student</t>
  </si>
  <si>
    <t>Net Surplus after Other Costs</t>
  </si>
  <si>
    <t>Net Surplus after Other Costs per Student</t>
  </si>
  <si>
    <t>CS Sponsorship Fee (Infl' Adj'd)</t>
  </si>
  <si>
    <t>SYE 22-
conf'd</t>
  </si>
  <si>
    <t>DSA 
SYE 20</t>
  </si>
  <si>
    <t>SYE 22-
SYE 20</t>
  </si>
  <si>
    <t>CC-SYE 22</t>
  </si>
  <si>
    <t>(no 100% FRL?)</t>
  </si>
  <si>
    <t>Directors &amp; Officers</t>
  </si>
  <si>
    <t>Grant Application/Processing costs</t>
  </si>
  <si>
    <t xml:space="preserve">FTE Count &amp; Hiring Timing </t>
  </si>
  <si>
    <t>Inlcude above only grants which may reasonably be seen as forgiveable</t>
  </si>
  <si>
    <t>Consulting Services: (overwrite w/type, name if available)</t>
  </si>
  <si>
    <t>Lease rate/sq ft/Month (Contract--Before waivers/deferrals; w/o escalator)</t>
  </si>
  <si>
    <t>Lease rate/sq ft/Year (Contract--Before waivers/deferrals; w/o escalator)</t>
  </si>
  <si>
    <t>Tenant Improvement Costs (Initial Capital Outlay for Occupancy)</t>
  </si>
  <si>
    <t>Lease rate/sq ft/year (After waivers, w/o escalator)</t>
  </si>
  <si>
    <t>School leader costs in incubation</t>
  </si>
  <si>
    <t>Legal</t>
  </si>
  <si>
    <t>Education Consultant</t>
  </si>
  <si>
    <t xml:space="preserve">   Total FTEs w/benefits @ School</t>
  </si>
  <si>
    <t>Deposits (non facility)</t>
  </si>
  <si>
    <t>Insurance (If not on Insurance tab)</t>
  </si>
  <si>
    <t>Facility Size (square footage)</t>
  </si>
  <si>
    <t>EMO/CMO Payments, Net</t>
  </si>
  <si>
    <t xml:space="preserve">    Per Pupil, or</t>
  </si>
  <si>
    <t xml:space="preserve">    PCFP (State) Revenue</t>
  </si>
  <si>
    <t xml:space="preserve">    Federal</t>
  </si>
  <si>
    <t>Dupli'n</t>
  </si>
  <si>
    <t>Partnership: (overwrite w/type, name if available)</t>
  </si>
  <si>
    <t>Students for which weighted funding may be received %</t>
  </si>
  <si>
    <t xml:space="preserve">Students for which weighted funding may be received # </t>
  </si>
  <si>
    <t>ENROLLMENT (All Populations)</t>
  </si>
  <si>
    <t>Est' with</t>
  </si>
  <si>
    <t>Est'd % wo</t>
  </si>
  <si>
    <t>STATE FUNDING PORTION</t>
  </si>
  <si>
    <t>ENROLLMENT % (FEDERAL FUNDING PORTION)</t>
  </si>
  <si>
    <t>State Weighted Funding (EL, GATE, AR)</t>
  </si>
  <si>
    <t>English Language Learners (EL)</t>
  </si>
  <si>
    <t>Local SPED Funding</t>
  </si>
  <si>
    <t>Inflation adjusted Total Revenue</t>
  </si>
  <si>
    <t>Student fees PP</t>
  </si>
  <si>
    <t>All potential source Public, 
Private, Charter Schools w/in 4 miles</t>
  </si>
  <si>
    <t>Potential Site 1</t>
  </si>
  <si>
    <t>Potential Site 2 (if you are considering more than Site 1 above)</t>
  </si>
  <si>
    <t>Furniture Acquisition</t>
  </si>
  <si>
    <t>Nonprofit Incorporation (not required--but is allowed--may help with grants)</t>
  </si>
  <si>
    <t>Additional Funding/Borrowing  required/period</t>
  </si>
  <si>
    <t>The application submitted reflected completed documents/tabs above.</t>
  </si>
  <si>
    <t>https://nv.sharepoint.com/sites/spcsa/Shared Documents/Authorizing/Application Packet/Template Financial Plan Workbook/[SPCSA-New-School-Application-Financial-Plan-Template-PCFP-2021 09 22.xlsx]Sheet1</t>
  </si>
  <si>
    <t>TOTAL REVENUE PP</t>
  </si>
  <si>
    <t>REVENUE PP</t>
  </si>
  <si>
    <t>EXPENSES PP</t>
  </si>
  <si>
    <t>TOTAL EXPENSES PP</t>
  </si>
  <si>
    <t xml:space="preserve">     Surplus/(Deficit) Per Pupil</t>
  </si>
  <si>
    <t xml:space="preserve">   Margin: Surplus(Deficit)/Revenue (aka Annual ratio)</t>
  </si>
  <si>
    <t xml:space="preserve">   TOT GEN OPERATING EXPENSES w/o Trans'</t>
  </si>
  <si>
    <t>FICA (Federal Insurance Contributions Act)</t>
  </si>
  <si>
    <t>Annualized Pay</t>
  </si>
  <si>
    <t>Subtotal Part-Time Employee Wages</t>
  </si>
  <si>
    <t>FICA on Part-Time Employees wages</t>
  </si>
  <si>
    <t>Estimated hours per week</t>
  </si>
  <si>
    <t>Part-Time Employee calculator (for input above)</t>
  </si>
  <si>
    <t xml:space="preserve">Standard Hours worked per year </t>
  </si>
  <si>
    <t>Portion of Standard Year worked</t>
  </si>
  <si>
    <t xml:space="preserve">Standard Hours per school year, base for payment </t>
  </si>
  <si>
    <t xml:space="preserve">Standard school days/year with teaching days </t>
  </si>
  <si>
    <t>Hours per day possible w/o Overtime</t>
  </si>
  <si>
    <t>Portion of Standard School Year worked</t>
  </si>
  <si>
    <t xml:space="preserve">     Count of PTE (FTE equivalent)(calculator below)</t>
  </si>
  <si>
    <t>Estimated weeks to work</t>
  </si>
  <si>
    <t xml:space="preserve">   Estimated total hours worked</t>
  </si>
  <si>
    <t>Staff 1</t>
  </si>
  <si>
    <t>Staff 2</t>
  </si>
  <si>
    <t>Staff 3</t>
  </si>
  <si>
    <t>Staff 4</t>
  </si>
  <si>
    <t>1. Input Part-Time Employee(s) (PTE)</t>
  </si>
  <si>
    <t>2. Input part-time employee</t>
  </si>
  <si>
    <t>3. Input part-time employee</t>
  </si>
  <si>
    <t>4. Input part-time employee</t>
  </si>
  <si>
    <t>5. Input part-time employee</t>
  </si>
  <si>
    <t>Staff 5</t>
  </si>
  <si>
    <t>Borrowings in Period</t>
  </si>
  <si>
    <t>Cumulative Additional Funding potentially required</t>
  </si>
  <si>
    <t>Zip Codes</t>
  </si>
  <si>
    <t>Debt Balance, Ending</t>
  </si>
  <si>
    <t>Debt Balance, Beginning</t>
  </si>
  <si>
    <t>Free &amp; Reduced Lunch (FRL)</t>
  </si>
  <si>
    <t>Students not identified in any of the above groups (Adjusted Base funding only)</t>
  </si>
  <si>
    <t>Schools are paid for the higher category when duplication exists</t>
  </si>
  <si>
    <t>Supporting documentation required</t>
  </si>
  <si>
    <t>Supporting documentation required (Award letters)</t>
  </si>
  <si>
    <t>Add'l Wts%</t>
  </si>
  <si>
    <t>Add'l Wts$</t>
  </si>
  <si>
    <t>Average Staff Salary</t>
  </si>
  <si>
    <t xml:space="preserve">FTE - Total </t>
  </si>
  <si>
    <t>Impact magnitude</t>
  </si>
  <si>
    <t>Impact of difference in staffing levels in budget vs. narrative</t>
  </si>
  <si>
    <t>App (Narr) pg ___</t>
  </si>
  <si>
    <t>App (XL) "Staff" tab, row ___</t>
  </si>
  <si>
    <t>Federal Program</t>
  </si>
  <si>
    <t>Projected per-pupil</t>
  </si>
  <si>
    <t>Fiscal Year Used</t>
  </si>
  <si>
    <t>$400/FRL student</t>
  </si>
  <si>
    <t>FY21</t>
  </si>
  <si>
    <t>$4/student AND $66/FRL student</t>
  </si>
  <si>
    <t>FY19</t>
  </si>
  <si>
    <t>Title III ELL</t>
  </si>
  <si>
    <t>$97/EL student</t>
  </si>
  <si>
    <t>IDEA SPED-B</t>
  </si>
  <si>
    <t>$1005/Special Education Student</t>
  </si>
  <si>
    <t>FY20</t>
  </si>
  <si>
    <t>/FRL Student</t>
  </si>
  <si>
    <t>Guidance Counselor &amp; Other Staff (Full-time &amp; Part-Time w/benefits)</t>
  </si>
  <si>
    <t>Scenario 1</t>
  </si>
  <si>
    <t>Scenario 2</t>
  </si>
  <si>
    <t>Scenario 3</t>
  </si>
  <si>
    <t>Total P</t>
  </si>
  <si>
    <t>FRL P</t>
  </si>
  <si>
    <t>Non FRL P</t>
  </si>
  <si>
    <t>Minimum FRL rqt?</t>
  </si>
  <si>
    <t>No minimum FRL rqt?</t>
  </si>
  <si>
    <t>Rebecca's example</t>
  </si>
  <si>
    <t>Scenario 4</t>
  </si>
  <si>
    <t>Charter School Program (CSP) Grant (w/letter)</t>
  </si>
  <si>
    <t>Other start-up grant funds, incl' SEA Grants w/ltr</t>
  </si>
  <si>
    <t>Private fundraising (foundations, corporate) w/ltr</t>
  </si>
  <si>
    <t>Fundraising / Donations w/ltrs</t>
  </si>
  <si>
    <t>Title IIA (Fixed amt for all students)</t>
  </si>
  <si>
    <t>Title IIA (For FRL students only)</t>
  </si>
  <si>
    <t>Title IIA (FRL only)</t>
  </si>
  <si>
    <t>Title IIA (FRL &amp; Non FRL)</t>
  </si>
  <si>
    <t>Do not use</t>
  </si>
  <si>
    <t>Title IV (Do not use)</t>
  </si>
  <si>
    <t>Cumulative Net Surplus (Deficit) Borrowings/Surplus</t>
  </si>
  <si>
    <t>Debt Payments (Deb payments)</t>
  </si>
  <si>
    <t>Interest on borrowings</t>
  </si>
  <si>
    <t>Cumulative Net Surplus (Deficit) Net of Borrowings and Payments</t>
  </si>
  <si>
    <t>Net Surplus (Deficit) Net of Borrowings and Payments</t>
  </si>
  <si>
    <t>Net Surplus (Deficit) and/or Borrowings</t>
  </si>
  <si>
    <t>Back Office Service Provider (BOSP)</t>
  </si>
  <si>
    <t>EMO/CMO/BOSP Services/Fee base/Type (Check largest applicable)</t>
  </si>
  <si>
    <t>EMO, CMO, BOSP Budget Worksheet</t>
  </si>
  <si>
    <t xml:space="preserve">     SPED Students</t>
  </si>
  <si>
    <t xml:space="preserve">     SPED Students/Teacher Ratio</t>
  </si>
  <si>
    <t>Initialize and attach:</t>
  </si>
  <si>
    <t>Initialize, print (pdf) and attach:</t>
  </si>
  <si>
    <t>Total Staff w &amp; w/o benefits (FTE count)</t>
  </si>
  <si>
    <t>Staff Summary</t>
  </si>
  <si>
    <t>You may paste this summary section into your narrative --&gt;</t>
  </si>
  <si>
    <t>Staff counts here must match your narrative staff count</t>
  </si>
  <si>
    <t>Lease rate/sq ft/month (After waivers, w/o escalator)(If applicable)</t>
  </si>
  <si>
    <t>Hold off on this for now; don't want to encourage borrowing too early.</t>
  </si>
  <si>
    <t>Undupl'ed</t>
  </si>
  <si>
    <t>Default %</t>
  </si>
  <si>
    <t>FYI: Overlap</t>
  </si>
  <si>
    <t>State Weighted Funding</t>
  </si>
  <si>
    <t>SPCSA does not encourage debt but understands borrowing may be required. Supporting documentation of any planned borrowing must be provided.</t>
  </si>
  <si>
    <t>ENROLLMENT BY STUDENT GROUP (Federally Fundable)</t>
  </si>
  <si>
    <t xml:space="preserve">  Per Pupil (Federal Funding Portion)</t>
  </si>
  <si>
    <t>Check (Revenue, Summary tab)</t>
  </si>
  <si>
    <t>Difference - Check (Revenue, Summary tab)</t>
  </si>
  <si>
    <t>FEDERAL &amp; OTHER FUNDING PORTION</t>
  </si>
  <si>
    <t>STATE &amp; LOCAL (PCFP) FUNDING</t>
  </si>
  <si>
    <t xml:space="preserve">   PCFP Revenue Net of Sponsor Fee</t>
  </si>
  <si>
    <t xml:space="preserve">   PCFP Revenue Net of Sponsor Fee pp</t>
  </si>
  <si>
    <t>PCFP Sponsorship Fee (on Base)</t>
  </si>
  <si>
    <t>% of Base</t>
  </si>
  <si>
    <t xml:space="preserve">   Total Expenses PP</t>
  </si>
  <si>
    <t xml:space="preserve">   Total Revenue PP (Check w/Enrol &amp; Rev tab)</t>
  </si>
  <si>
    <t>Incubation (Pre-Year 1) Sources &amp; Uses Worksheet</t>
  </si>
  <si>
    <t>State PCFP Adj' Base Revenue</t>
  </si>
  <si>
    <t xml:space="preserve">   In balance check</t>
  </si>
  <si>
    <t xml:space="preserve">   In balance check PP</t>
  </si>
  <si>
    <t>REVENUE &amp; RESOURCES</t>
  </si>
  <si>
    <t xml:space="preserve">  FTE Teachers (SPED, ELL, Grade Level)</t>
  </si>
  <si>
    <t xml:space="preserve">  Student/Teacher ratio</t>
  </si>
  <si>
    <t>Number of students tentatively committed to enroll, based on community engagement activities</t>
  </si>
  <si>
    <t>Year 0</t>
  </si>
  <si>
    <t>UNIQUE YEAR ONE START UP EXPENSES</t>
  </si>
  <si>
    <t xml:space="preserve">     Architecture &amp; Engineering</t>
  </si>
  <si>
    <t xml:space="preserve">     Space Planning</t>
  </si>
  <si>
    <t xml:space="preserve">I pulled the Sources info'; it's more clearly handled in the revenues/resources area. </t>
  </si>
  <si>
    <t xml:space="preserve">     Other facility preparation costs</t>
  </si>
  <si>
    <t>Faculty furniture (desks, tables, chairs…)</t>
  </si>
  <si>
    <t>Student furniture (desks, tables, chairs…)</t>
  </si>
  <si>
    <t>Legal fees (Incubation Year)</t>
  </si>
  <si>
    <t>Legal fees (Post incubation)</t>
  </si>
  <si>
    <t>Community meeting, hosting</t>
  </si>
  <si>
    <r>
      <t>Nonprofit Incorporation-State (</t>
    </r>
    <r>
      <rPr>
        <i/>
        <sz val="11"/>
        <color rgb="FF000000"/>
        <rFont val="Times New Roman"/>
        <family val="1"/>
      </rPr>
      <t>see note--&gt;</t>
    </r>
    <r>
      <rPr>
        <sz val="11"/>
        <color indexed="8"/>
        <rFont val="Times New Roman"/>
        <family val="1"/>
      </rPr>
      <t>)</t>
    </r>
  </si>
  <si>
    <r>
      <t>Nonprofit Incorporation-Federal (</t>
    </r>
    <r>
      <rPr>
        <i/>
        <sz val="11"/>
        <color rgb="FF000000"/>
        <rFont val="Times New Roman"/>
        <family val="1"/>
      </rPr>
      <t>see note--&gt;</t>
    </r>
    <r>
      <rPr>
        <sz val="11"/>
        <color indexed="8"/>
        <rFont val="Times New Roman"/>
        <family val="1"/>
      </rPr>
      <t>)</t>
    </r>
  </si>
  <si>
    <t>Deposits (non facility--if not shown elsewhere)</t>
  </si>
  <si>
    <t>Brochures, Information</t>
  </si>
  <si>
    <t>Contract/Other Services (Not otherwise included in app)(note EMO, CMO, BOSP tab)</t>
  </si>
  <si>
    <t>School leader acquisition/development costs in incubation</t>
  </si>
  <si>
    <t>HR: Hiring: Head of School</t>
  </si>
  <si>
    <t>HR: Hiring: Other</t>
  </si>
  <si>
    <t>Total Contract/Other Services</t>
  </si>
  <si>
    <t>###</t>
  </si>
  <si>
    <t>FRL</t>
  </si>
  <si>
    <t>Foster</t>
  </si>
  <si>
    <t>Military</t>
  </si>
  <si>
    <t>Homeless</t>
  </si>
  <si>
    <t>Clark County</t>
  </si>
  <si>
    <t>Washoe County</t>
  </si>
  <si>
    <t>Asian</t>
  </si>
  <si>
    <t>Black</t>
  </si>
  <si>
    <t>White</t>
  </si>
  <si>
    <t>Hispanic</t>
  </si>
  <si>
    <t>American Indian/Alaska Native</t>
  </si>
  <si>
    <t>https://doe.nv.gov/DataCenter/Enrollment/</t>
  </si>
  <si>
    <t>Totals on this line may exceed 100% and planned enrollments</t>
  </si>
  <si>
    <t>State &amp; Local Revenue w/o St SpEd</t>
  </si>
  <si>
    <t xml:space="preserve">   Total Revenue PP </t>
  </si>
  <si>
    <t xml:space="preserve">   Enrol &amp; Rev tab</t>
  </si>
  <si>
    <t>Scratchpad</t>
  </si>
  <si>
    <t>Cash Flow Year 1 Monthly</t>
  </si>
  <si>
    <t>Facilities (worksheet)</t>
  </si>
  <si>
    <t>Cover (School Name) Page</t>
  </si>
  <si>
    <t>Checklist &amp; Table Of Contents</t>
  </si>
  <si>
    <t>General Operating Plan</t>
  </si>
  <si>
    <t xml:space="preserve">Expenses: Education/Charter Management Organization, 
Back Office Service Provider </t>
  </si>
  <si>
    <t>EMO, CMO, BOSP</t>
  </si>
  <si>
    <t>PCFP Rates (Information)</t>
  </si>
  <si>
    <t>Scratchpad (worksheet)</t>
  </si>
  <si>
    <t>School Plan Statistics</t>
  </si>
  <si>
    <t>School Financial Plan Summary</t>
  </si>
  <si>
    <t>All potential source/feeder Public, 
Private, Charter Schools w/in 4 miles</t>
  </si>
  <si>
    <t>Student fees (Net)</t>
  </si>
  <si>
    <t xml:space="preserve">Additional funding is also provided to help teach students with Special Education needs.  While a student may technically be a member of multiple special populations categories, state funding is provided for only one category, deemed to be the </t>
  </si>
  <si>
    <t>Duplication</t>
  </si>
  <si>
    <t>Estimated % w/</t>
  </si>
  <si>
    <t>category qualified for which provides the highest additional funding.  The below Duplication calculations section is designed to estimate how many funding qualified students there are among the otherwise category qualified students.</t>
  </si>
  <si>
    <t>APPLICATION START PAGE</t>
  </si>
  <si>
    <t>Instructions (start page)</t>
  </si>
  <si>
    <t>Instructions -- Start here</t>
  </si>
  <si>
    <t>Furniture, Fixtures, Equipment 
&amp; Technology (FFE&amp;T)</t>
  </si>
  <si>
    <t>Initials</t>
  </si>
  <si>
    <t xml:space="preserve">Mike Dang, 702.854.0691 (cell/text) 702.486.8879 (office), mdang@spcsa.nv.gov </t>
  </si>
  <si>
    <t>Note:State Weighted and SpEd funding are paid based on prior year verified special population enrollments.  Schools in year 1 do not receive weighted or SpEd  funds until year 2.</t>
  </si>
  <si>
    <t>Tab Removed</t>
  </si>
  <si>
    <t>N avail'</t>
  </si>
  <si>
    <t>SPED/IEP</t>
  </si>
  <si>
    <t>Statewide Student Demographics: 
Special Populations</t>
  </si>
  <si>
    <t>Statewide Student Demographics: 
Race/Ethnicity</t>
  </si>
  <si>
    <t>State Special Education (SPED)</t>
  </si>
  <si>
    <t xml:space="preserve">Above estimating table allows applicants to overwrite estimating formulas if they have reason to do so. </t>
  </si>
  <si>
    <t>ENROLLMENT BY STUDENT GROUP (State unique qualifying enrollment estimates)</t>
  </si>
  <si>
    <t>State level weighted funding is provided to help schools educate and support students in special population categories. Categories include English Learners (EL), Gifted And Talented Education (GATE), Free and Reduced Lunch (aka At Risk) learners.</t>
  </si>
  <si>
    <t>The highest funding is provided for SPED, followed by EL, followed by GATE, followed by At Risk.</t>
  </si>
  <si>
    <t>Demographics</t>
  </si>
  <si>
    <t>Special Population and Demographic percentages</t>
  </si>
  <si>
    <t>Free space for applicant tests, notes</t>
  </si>
  <si>
    <t>Special Populations &amp; Demographics</t>
  </si>
  <si>
    <t>SPCSA schools (Statewide)</t>
  </si>
  <si>
    <t>Statewide</t>
  </si>
  <si>
    <t>Female</t>
  </si>
  <si>
    <t>Male</t>
  </si>
  <si>
    <t>Pacific 
Islander</t>
  </si>
  <si>
    <t>Two or 
More</t>
  </si>
  <si>
    <t>Debt Service Payments-1 (Principal &amp; Interest)</t>
  </si>
  <si>
    <t>Debt Service Payments-2 (Principal &amp; Interest)</t>
  </si>
  <si>
    <t>The Demographics tab shows district percentages</t>
  </si>
  <si>
    <t>you may consider when developing your estimates for the Enrol &amp; Rev tab inputs.</t>
  </si>
  <si>
    <t>(Enter manually)</t>
  </si>
  <si>
    <t xml:space="preserve">Marketing &amp; Recruiting </t>
  </si>
  <si>
    <t>Select Information</t>
  </si>
  <si>
    <t>(Manual entry)</t>
  </si>
  <si>
    <t>You may overide these formulas with more accurate estimates</t>
  </si>
  <si>
    <t>Athletic expenditures (detail below)</t>
  </si>
  <si>
    <t>% fee on (base),(Years x-y)</t>
  </si>
  <si>
    <t>% fee per "…" (Years z-a)</t>
  </si>
  <si>
    <t>Julie Carver</t>
  </si>
  <si>
    <t>702-758-3512</t>
  </si>
  <si>
    <t>snthsinfo@gmail.com</t>
  </si>
  <si>
    <t>N/A - anticipate universal meal program with all students receiving free meals</t>
  </si>
  <si>
    <t>Per FY21-22 rate</t>
  </si>
  <si>
    <t>Executive Director</t>
  </si>
  <si>
    <t>Assistant Principal</t>
  </si>
  <si>
    <t>School Operations Support Staff</t>
  </si>
  <si>
    <t>Registrar/Attendance</t>
  </si>
  <si>
    <t>Special Ed Teacher</t>
  </si>
  <si>
    <t>ELL/TESOL Teacher</t>
  </si>
  <si>
    <t>Student Support position (Counselor)</t>
  </si>
  <si>
    <t>Job/Academic Counselor</t>
  </si>
  <si>
    <t>Driver/Custodian/Lunch</t>
  </si>
  <si>
    <t>Classroom Teacher - Core</t>
  </si>
  <si>
    <t>Classroom Teacher - CTE</t>
  </si>
  <si>
    <t>None expected</t>
  </si>
  <si>
    <t>NEW SECTION - REVIEW DETAILS</t>
  </si>
  <si>
    <t>Yes</t>
  </si>
  <si>
    <t>Is the calc correct?  Assumes only At Risk students are reimbursed, but universal meal program covers all students</t>
  </si>
  <si>
    <t>Vans used to transport students to construction site</t>
  </si>
  <si>
    <t>Anticipate donated vans</t>
  </si>
  <si>
    <t>Estimate $500/mo copier lease, include usage fees</t>
  </si>
  <si>
    <t>Plan to use laptop carts, share computer, tech needed for assessments</t>
  </si>
  <si>
    <t>All rates per proposals from similar sized schools in similar location</t>
  </si>
  <si>
    <t>vans for transporting students to work sites</t>
  </si>
  <si>
    <t>n/a</t>
  </si>
  <si>
    <t>Increased to cover student CTE</t>
  </si>
  <si>
    <t>Direct mailers and postage, printing, event registration fees, bumper stickers/branded items</t>
  </si>
  <si>
    <t>Est $20/student in Y1-2, reduced once established</t>
  </si>
  <si>
    <t>Reach cap at Year 7 with all grades at 150</t>
  </si>
  <si>
    <t>estimated - OK</t>
  </si>
  <si>
    <t>conferences, etc</t>
  </si>
  <si>
    <t>yes - will plan to use</t>
  </si>
  <si>
    <t>Pre-ACT and ACT, NV Science, other</t>
  </si>
  <si>
    <t>Includes Canvas, other as needed</t>
  </si>
  <si>
    <t>Minimal, likely will be digital communication</t>
  </si>
  <si>
    <t>Skills USA trips, extracurricular</t>
  </si>
  <si>
    <t>Schoolworks - funded with fundraising $</t>
  </si>
  <si>
    <t>Student recruitment costs in planning year</t>
  </si>
  <si>
    <t>Julie to do most of this - little to no cost</t>
  </si>
  <si>
    <t>Student recruitment</t>
  </si>
  <si>
    <t>Nonprofit Incorporation may be required for some grants.  Is not required by SPCSA to open; 1023 EZ is $275, 1023 cost is $600</t>
  </si>
  <si>
    <t>Nonprofit Incorporation may be required for some grants.  Is not required by SPCSA to open, SOS and business filing fees</t>
  </si>
  <si>
    <t>contracted back-office service</t>
  </si>
  <si>
    <t>Skills USA, based on similar trade school revenues</t>
  </si>
  <si>
    <t>O180 and/or Contractor's Board, does not include earnings from sales of student projects</t>
  </si>
  <si>
    <t>Estimated per student cost</t>
  </si>
  <si>
    <t>Expect to have letter by time of application submission</t>
  </si>
  <si>
    <t>Head Teacher - CTE</t>
  </si>
  <si>
    <t>Y</t>
  </si>
  <si>
    <t>back-office expenses located on Gen Optg tab under Accounting Services (row 96); expectation is that contract will be with a 3rd party provider, not a CMO/EMO</t>
  </si>
  <si>
    <t>Increase by 10%/year as school grows</t>
  </si>
  <si>
    <t>cost is $20 per device</t>
  </si>
  <si>
    <t>Note - school will not participate in NV PERS until school opens, expense in Y0 should be 0</t>
  </si>
  <si>
    <t>Adjusted to match total donation income to be expended in Y0</t>
  </si>
  <si>
    <t>add in Y3, add 2nd AP in Y5</t>
  </si>
  <si>
    <t>.25 FTE in Year 1, grow to FT in Y2</t>
  </si>
  <si>
    <t>Plan for English teacher covers this function in Y1</t>
  </si>
  <si>
    <t>$40/student in Years 2 and beyond</t>
  </si>
  <si>
    <t>Majority of construction supplies/costs to be donated, planners for 9th graders</t>
  </si>
  <si>
    <t>See Gen Optg tab, row 130, to be covered by fundraising/donations</t>
  </si>
  <si>
    <t>Travel - community outreach, conferences</t>
  </si>
  <si>
    <t>Contracted application startup consulting expense (Julie)</t>
  </si>
  <si>
    <t>Possible need for set up, access points, etc - estimate included here</t>
  </si>
  <si>
    <t>Monitors, projectors, as needed</t>
  </si>
  <si>
    <t>Others, once identified per review with academic committee</t>
  </si>
  <si>
    <t>Board/community support - $276,500 confirmed received as of 10/15/21, sale of  home not included at this point, plus $25k confirmed 2 year commitment FY22 and FY23 (11/23/21); Amount in Y1 to cover marketing/recruiting, other startup expenses hitting in Y1</t>
  </si>
  <si>
    <t>Gas/Elect est $3,500/mo, plus .45/SF to lessor</t>
  </si>
  <si>
    <t>covered by employee on staff</t>
  </si>
  <si>
    <t>should have at least 100 letters of commitment</t>
  </si>
  <si>
    <t xml:space="preserve">Misc. incubation year expenses </t>
  </si>
  <si>
    <t>2 carts in Y1, add 2 cart/year (ea cart hold 26 laptops), eventual plan for 1:1 student/laptop ratio as resources allow</t>
  </si>
  <si>
    <t>Expect to pay from fundraising proceeds in Year 0</t>
  </si>
  <si>
    <t>400-570 Nellis Blvd. - Las Vegas, NV 89110</t>
  </si>
  <si>
    <t>Y1-3 per LOI for Nellis</t>
  </si>
  <si>
    <t>LOI is for Y1-3, estimate increased space at similar cost in Y4+</t>
  </si>
  <si>
    <t xml:space="preserve">Y4 increase to estimated FMV at $2.50/SF/mo </t>
  </si>
  <si>
    <t>Southern Nevada Trades High School</t>
  </si>
  <si>
    <t>Should have $2000 to Year 0 travel in incubation year - cell is protected</t>
  </si>
  <si>
    <t>Note factors total cost per student, forced rate to align with revenue - universal meal program - expect all meals reimbursed</t>
  </si>
  <si>
    <t>Included with Educators'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</si>
</sst>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quot;$&quot;#,##0\ ;\(&quot;$&quot;#,##0\)"/>
    <numFmt numFmtId="168" formatCode="[$-409]mmmm\ d\,\ yyyy;@"/>
    <numFmt numFmtId="169" formatCode="_(* #,##0.00_);_(* \(#,##0.00\);_(* \-??_);_(@_)"/>
    <numFmt numFmtId="170" formatCode="_(\$* #,##0.00_);_(\$* \(#,##0.00\);_(\$* \-??_);_(@_)"/>
    <numFmt numFmtId="171" formatCode="_ * #,##0.00_ ;_ * \-#,##0.00_ ;_ * \-??_ ;_ @_ "/>
    <numFmt numFmtId="172" formatCode="_(#,##0_);[Red]_(\(#,##0\);_(&quot;-&quot;_);_(@_)"/>
    <numFmt numFmtId="173" formatCode="_(#,##0.0_);[Red]_(\(#,##0.0\);_(&quot;-&quot;_);_(@_)"/>
    <numFmt numFmtId="174" formatCode="_(&quot;$&quot;#,##0_);[Red]_(&quot;$&quot;\(#,##0\);_(&quot;$&quot;\ &quot;-&quot;_);_(@_)"/>
    <numFmt numFmtId="175" formatCode="0%;[Red]\(0%\);&quot;-%&quot;"/>
    <numFmt numFmtId="176" formatCode="_(#,##0_)&quot; sf/p&quot;;[Red]_(\(#,##0\);_(&quot;-&quot;_);_(@_)"/>
    <numFmt numFmtId="177" formatCode="_(&quot;$&quot;#,##0_);&quot;$&quot;\(#,##0\);_(&quot;$&quot;&quot;-&quot;_);_(@_)"/>
    <numFmt numFmtId="178" formatCode="_(&quot;$&quot;#,##0.00_);&quot;$&quot;\(#,##0.00\);_(&quot;$&quot;&quot;-&quot;_);_(@_)"/>
    <numFmt numFmtId="179" formatCode="&quot;$&quot;#,##0_)&quot;/pp&quot;;[Red]\(&quot;$&quot;#,##0\)"/>
    <numFmt numFmtId="180" formatCode="0%;[Red]\(0\)%"/>
    <numFmt numFmtId="181" formatCode="#,##0_)&quot;sf&quot;;\(#,##0\)&quot;sf&quot;;_(* &quot;-&quot;_);_(@_)"/>
    <numFmt numFmtId="182" formatCode="_(&quot;$&quot;* #,##0_);[Red]_(&quot;$&quot;* \(#,##0\);_(&quot;$&quot;* \ &quot;-&quot;_);_(@_)"/>
    <numFmt numFmtId="183" formatCode="_(* #,##0_);_(* \(#,##0\);_(* &quot;-&quot;??_);_(@_)"/>
    <numFmt numFmtId="184" formatCode="_(&quot;$&quot;\ #,##0_);[Red]_(&quot;$&quot;\(#,##0\);_(&quot;$&quot;\ &quot;-&quot;_);_(@_)"/>
    <numFmt numFmtId="185" formatCode="0_);[Red]\(0\)"/>
    <numFmt numFmtId="186" formatCode="000\-000\-0000"/>
    <numFmt numFmtId="187" formatCode="_(&quot;$&quot;#,##0.00_);[Red]_(&quot;$&quot;\(#,##0.00\);_(&quot;$&quot;\ &quot;-&quot;_);_(@_)"/>
    <numFmt numFmtId="188" formatCode="&quot;SYE &quot;General"/>
    <numFmt numFmtId="189" formatCode="&quot;SY &quot;General"/>
    <numFmt numFmtId="190" formatCode="0.00%;[Red]\(0.00%\);&quot;-%&quot;"/>
    <numFmt numFmtId="191" formatCode="#,##0_)&quot;sf/p&quot;;\(#,##0\)&quot;sf&quot;;_(* &quot;-&quot;_);_(@_)"/>
    <numFmt numFmtId="192" formatCode="_(#,##0_)&quot;sf/p&quot;;[Red]_(\(#,##0\);_(&quot;-&quot;_);_(@_)"/>
    <numFmt numFmtId="193" formatCode="General&quot; s&quot;"/>
    <numFmt numFmtId="194" formatCode="_(#,##0.0_)&quot;mi&quot;;[Red]_(\(#,##0.0\);_(&quot;-&quot;_);_(@_)"/>
    <numFmt numFmtId="195" formatCode="&quot;Yr &quot;General"/>
    <numFmt numFmtId="196" formatCode="0.0%;[Red]\(0.0%\);&quot;-%&quot;"/>
    <numFmt numFmtId="197" formatCode="_(#,##0_)&quot;s&quot;;[Red]_(\(#,##0\)&quot; s&quot;;_(&quot;-&quot;_);_(@_)"/>
    <numFmt numFmtId="198" formatCode="&quot;max &quot;#,##0_);[Red]\(#,##0\)"/>
    <numFmt numFmtId="199" formatCode="&quot;av &quot;_(&quot;$&quot;#,##0_);[Red]_(&quot;$&quot;\(#,##0\);_(&quot;$&quot;\ &quot;-&quot;_);_(@_)"/>
    <numFmt numFmtId="200" formatCode="&quot;min &quot;_(#,##0_);[Red]_(\(#,##0\);_(&quot;-&quot;_);_(@_)"/>
    <numFmt numFmtId="201" formatCode="_(#,##0_)&quot;s&quot;;[Red]_(\(#,##0\);_(&quot;-&quot;_);_(@_)"/>
    <numFmt numFmtId="202" formatCode="&quot;Plan max &quot;#,##0_);[Red]\(#,##0\)"/>
    <numFmt numFmtId="203" formatCode="_(#,##0.00_);[Red]_(\(#,##0.00\);_(&quot;-&quot;_);_(@_)"/>
    <numFmt numFmtId="204" formatCode="&quot;$&quot;#,##0_)&quot;/pp&quot;;[Red]\(&quot;$&quot;#,##0\);&quot;$-/pp&quot;"/>
    <numFmt numFmtId="205" formatCode="&quot;max &quot;#,##0_);[Red]\(#,##0\);&quot;max -&quot;"/>
    <numFmt numFmtId="206" formatCode="&quot;Plan max &quot;#,##0_);[Red]\(#,##0\);&quot;Plan max -&quot;"/>
    <numFmt numFmtId="207" formatCode="General;;&quot;-s&quot;"/>
    <numFmt numFmtId="208" formatCode="&quot;av&quot;_(&quot;$&quot;* #,##0_);_(&quot;$&quot;* \(#,##0\);_(&quot;$&quot;* &quot;-&quot;??_);_(@_)"/>
    <numFmt numFmtId="209" formatCode="#,##0_)&quot;Ss&quot;;[Red]\(#,##0\);&quot;- Ss&quot;"/>
    <numFmt numFmtId="210" formatCode="_(&quot;$&quot;#,##0.0_);[Red]_(&quot;$&quot;\(#,##0.0\);_(&quot;$&quot;\ &quot;-&quot;_);_(@_)"/>
    <numFmt numFmtId="211" formatCode="&quot;avg &quot;&quot;$&quot;#,##0_);[Red]\(&quot;$&quot;#,##0\);&quot;avg $-&quot;"/>
    <numFmt numFmtId="212" formatCode="&quot;$&quot;#,##0.00_);[Red]\(&quot;$&quot;#,##0.00\);&quot;$ -&quot;"/>
    <numFmt numFmtId="213" formatCode="0.00%;[Red]\(0.00%\);&quot;% -&quot;"/>
    <numFmt numFmtId="214" formatCode="#,##0.00;[Red]\(#,##0.00\);&quot;-&quot;"/>
    <numFmt numFmtId="215" formatCode="_(#,##0.0_)&quot;sf&quot;;[Red]_(\(#,##0.0\);_(&quot;-&quot;_);_(@_)"/>
    <numFmt numFmtId="216" formatCode="&quot;July 1, 20&quot;##"/>
    <numFmt numFmtId="217" formatCode="&quot;$&quot;#,##0_)&quot;pp&quot;;[Red]\(&quot;$&quot;#,##0\)&quot;pp&quot;;&quot;$/pp&quot;"/>
    <numFmt numFmtId="218" formatCode="_(&quot;$&quot;#,##0_)&quot;PP&quot;;[Red]_(&quot;$&quot;\(#,##0\);_(&quot;$&quot;\ &quot;-&quot;_);_(@_)"/>
    <numFmt numFmtId="219" formatCode="_(&quot;$&quot;#,##0_)&quot;P FRL P&quot;;[Red]_(&quot;$&quot;\(#,##0\);_(&quot;$&quot;\ &quot;-&quot;_);_(@_)"/>
    <numFmt numFmtId="220" formatCode="_(&quot;$&quot;#,##0.00_)&quot;/mo&quot;;[Red]_(&quot;$&quot;\(#,##0.00\);_(&quot;$&quot;\ &quot;-&quot;_);_(@_)"/>
    <numFmt numFmtId="221" formatCode="_(&quot;$&quot;#,##0.00_)&quot;/yr&quot;;[Red]_(&quot;$&quot;\(#,##0.00\);_(&quot;$&quot;\ &quot;-&quot;_);_(@_)"/>
  </numFmts>
  <fonts count="187">
    <font>
      <sz val="11"/>
      <color theme="1"/>
      <name val="Calibri"/>
      <family val="2"/>
      <scheme val="minor"/>
    </font>
    <font>
      <sz val="11"/>
      <color indexed="8"/>
      <name val="Calibri"/>
      <family val="2"/>
    </font>
    <font>
      <sz val="10"/>
      <name val="Arial"/>
      <family val="2"/>
    </font>
    <font>
      <sz val="11"/>
      <color indexed="8"/>
      <name val="Calibri"/>
      <family val="2"/>
    </font>
    <font>
      <sz val="8"/>
      <name val="Arial"/>
      <family val="2"/>
    </font>
    <font>
      <b/>
      <sz val="8"/>
      <name val="Arial"/>
      <family val="2"/>
    </font>
    <font>
      <b/>
      <sz val="11"/>
      <color indexed="8"/>
      <name val="Calibri"/>
      <family val="2"/>
    </font>
    <font>
      <sz val="8"/>
      <name val="Verdana"/>
      <family val="2"/>
    </font>
    <font>
      <sz val="11"/>
      <color theme="1"/>
      <name val="Calibri"/>
      <family val="2"/>
      <scheme val="minor"/>
    </font>
    <font>
      <b/>
      <sz val="11"/>
      <color rgb="FF0070C0"/>
      <name val="Calibri"/>
      <family val="2"/>
      <scheme val="minor"/>
    </font>
    <font>
      <u/>
      <sz val="8.8000000000000007"/>
      <color theme="10"/>
      <name val="Calibri"/>
      <family val="2"/>
    </font>
    <font>
      <b/>
      <sz val="11"/>
      <color theme="1"/>
      <name val="Calibri"/>
      <family val="2"/>
      <scheme val="minor"/>
    </font>
    <font>
      <b/>
      <sz val="11"/>
      <color theme="0"/>
      <name val="Calibri"/>
      <family val="2"/>
      <scheme val="minor"/>
    </font>
    <font>
      <i/>
      <sz val="11"/>
      <color theme="1"/>
      <name val="Calibri"/>
      <family val="2"/>
      <scheme val="minor"/>
    </font>
    <font>
      <sz val="9"/>
      <name val="Arial"/>
      <family val="2"/>
    </font>
    <font>
      <b/>
      <sz val="10"/>
      <name val="Arial"/>
      <family val="2"/>
    </font>
    <font>
      <b/>
      <sz val="1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Times New Roman"/>
      <family val="1"/>
    </font>
    <font>
      <sz val="18"/>
      <name val="Times New Roman"/>
      <family val="1"/>
    </font>
    <font>
      <sz val="8"/>
      <name val="Times New Roman"/>
      <family val="1"/>
    </font>
    <font>
      <u/>
      <sz val="10"/>
      <color indexed="12"/>
      <name val="Arial"/>
      <family val="2"/>
    </font>
    <font>
      <sz val="12"/>
      <name val="Helv"/>
    </font>
    <font>
      <sz val="10"/>
      <name val="Helv"/>
    </font>
    <font>
      <i/>
      <sz val="10"/>
      <color rgb="FF7F7F7F"/>
      <name val="Arial"/>
      <family val="2"/>
    </font>
    <font>
      <b/>
      <sz val="11"/>
      <color theme="3"/>
      <name val="Arial"/>
      <family val="2"/>
    </font>
    <font>
      <sz val="10"/>
      <name val="Courier"/>
      <family val="3"/>
    </font>
    <font>
      <sz val="10"/>
      <color indexed="10"/>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0"/>
      <color indexed="39"/>
      <name val="Arial"/>
      <family val="2"/>
    </font>
    <font>
      <b/>
      <sz val="12"/>
      <color indexed="8"/>
      <name val="Arial"/>
      <family val="2"/>
    </font>
    <font>
      <sz val="10"/>
      <color indexed="39"/>
      <name val="Arial"/>
      <family val="2"/>
    </font>
    <font>
      <sz val="19"/>
      <color indexed="48"/>
      <name val="Arial"/>
      <family val="2"/>
    </font>
    <font>
      <b/>
      <sz val="12"/>
      <name val="Arial"/>
      <family val="2"/>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sz val="18"/>
      <color theme="3"/>
      <name val="Cambria"/>
      <family val="2"/>
      <scheme val="major"/>
    </font>
    <font>
      <sz val="12"/>
      <color theme="1"/>
      <name val="Calibri"/>
      <family val="2"/>
      <scheme val="minor"/>
    </font>
    <font>
      <sz val="11"/>
      <color rgb="FF9C5700"/>
      <name val="Calibri"/>
      <family val="2"/>
      <scheme val="minor"/>
    </font>
    <font>
      <i/>
      <sz val="9"/>
      <color indexed="8"/>
      <name val="Arial"/>
      <family val="2"/>
    </font>
    <font>
      <b/>
      <sz val="9"/>
      <color indexed="23"/>
      <name val="Arial"/>
      <family val="2"/>
    </font>
    <font>
      <b/>
      <sz val="10"/>
      <color indexed="23"/>
      <name val="Arial"/>
      <family val="2"/>
    </font>
    <font>
      <b/>
      <sz val="12"/>
      <color indexed="9"/>
      <name val="Arial"/>
      <family val="2"/>
    </font>
    <font>
      <b/>
      <sz val="11"/>
      <name val="Times New Roman"/>
      <family val="1"/>
    </font>
    <font>
      <sz val="11"/>
      <name val="Times New Roman"/>
      <family val="1"/>
    </font>
    <font>
      <sz val="11"/>
      <color indexed="8"/>
      <name val="Times New Roman"/>
      <family val="1"/>
    </font>
    <font>
      <b/>
      <sz val="11"/>
      <color indexed="8"/>
      <name val="Times New Roman"/>
      <family val="1"/>
    </font>
    <font>
      <sz val="10"/>
      <color rgb="FF0000FF"/>
      <name val="Arial"/>
      <family val="2"/>
    </font>
    <font>
      <b/>
      <sz val="10"/>
      <color indexed="8"/>
      <name val="Times New Roman"/>
      <family val="1"/>
    </font>
    <font>
      <sz val="10"/>
      <color indexed="8"/>
      <name val="Times New Roman"/>
      <family val="1"/>
    </font>
    <font>
      <sz val="11"/>
      <color rgb="FF0000FF"/>
      <name val="Times New Roman"/>
      <family val="1"/>
    </font>
    <font>
      <sz val="9"/>
      <color indexed="8"/>
      <name val="Times New Roman"/>
      <family val="1"/>
    </font>
    <font>
      <b/>
      <sz val="10"/>
      <color rgb="FF0000FF"/>
      <name val="Arial"/>
      <family val="2"/>
    </font>
    <font>
      <b/>
      <sz val="14"/>
      <color indexed="9"/>
      <name val="Arial"/>
      <family val="2"/>
    </font>
    <font>
      <b/>
      <sz val="9"/>
      <color indexed="8"/>
      <name val="Times New Roman"/>
      <family val="1"/>
    </font>
    <font>
      <b/>
      <sz val="11"/>
      <color rgb="FF0000FF"/>
      <name val="Times New Roman"/>
      <family val="1"/>
    </font>
    <font>
      <b/>
      <sz val="14"/>
      <color indexed="8"/>
      <name val="Times New Roman"/>
      <family val="1"/>
    </font>
    <font>
      <i/>
      <sz val="9"/>
      <color indexed="8"/>
      <name val="Times New Roman"/>
      <family val="1"/>
    </font>
    <font>
      <b/>
      <sz val="12"/>
      <color indexed="8"/>
      <name val="Times New Roman"/>
      <family val="1"/>
    </font>
    <font>
      <i/>
      <sz val="11"/>
      <color indexed="8"/>
      <name val="Times New Roman"/>
      <family val="1"/>
    </font>
    <font>
      <b/>
      <i/>
      <sz val="11"/>
      <color indexed="8"/>
      <name val="Times New Roman"/>
      <family val="1"/>
    </font>
    <font>
      <sz val="12"/>
      <color indexed="8"/>
      <name val="Times New Roman"/>
      <family val="1"/>
    </font>
    <font>
      <sz val="8.8000000000000007"/>
      <color indexed="8"/>
      <name val="Times New Roman"/>
      <family val="1"/>
    </font>
    <font>
      <b/>
      <sz val="12"/>
      <color theme="0"/>
      <name val="Arial"/>
      <family val="2"/>
    </font>
    <font>
      <b/>
      <sz val="11"/>
      <color indexed="8"/>
      <name val="Arial"/>
      <family val="2"/>
    </font>
    <font>
      <b/>
      <sz val="11"/>
      <color rgb="FF000000"/>
      <name val="Times New Roman"/>
      <family val="1"/>
    </font>
    <font>
      <b/>
      <sz val="12"/>
      <color theme="1"/>
      <name val="Arial"/>
      <family val="2"/>
    </font>
    <font>
      <b/>
      <sz val="14"/>
      <color theme="0"/>
      <name val="Arial"/>
      <family val="2"/>
    </font>
    <font>
      <sz val="11"/>
      <color theme="0" tint="-0.34998626667073579"/>
      <name val="Times New Roman"/>
      <family val="1"/>
    </font>
    <font>
      <b/>
      <sz val="12"/>
      <name val="Times New Roman"/>
      <family val="1"/>
    </font>
    <font>
      <sz val="10"/>
      <color rgb="FF0000FF"/>
      <name val="Times New Roman"/>
      <family val="1"/>
    </font>
    <font>
      <b/>
      <i/>
      <sz val="10"/>
      <color rgb="FFFF0000"/>
      <name val="Times New Roman"/>
      <family val="1"/>
    </font>
    <font>
      <sz val="12"/>
      <color rgb="FF0000FF"/>
      <name val="Times New Roman"/>
      <family val="1"/>
    </font>
    <font>
      <sz val="10"/>
      <color rgb="FF000000"/>
      <name val="Times New Roman"/>
      <family val="1"/>
    </font>
    <font>
      <sz val="12"/>
      <name val="Arial"/>
      <family val="2"/>
    </font>
    <font>
      <sz val="11"/>
      <name val="Arial"/>
      <family val="2"/>
    </font>
    <font>
      <sz val="11"/>
      <color rgb="FF000000"/>
      <name val="Times New Roman"/>
      <family val="1"/>
    </font>
    <font>
      <i/>
      <sz val="8"/>
      <color indexed="8"/>
      <name val="Times New Roman"/>
      <family val="1"/>
    </font>
    <font>
      <i/>
      <sz val="11"/>
      <color rgb="FF000000"/>
      <name val="Times New Roman"/>
      <family val="1"/>
    </font>
    <font>
      <b/>
      <sz val="10"/>
      <name val="Times New Roman"/>
      <family val="1"/>
    </font>
    <font>
      <b/>
      <sz val="11"/>
      <color rgb="FF0000FF"/>
      <name val="Calibri"/>
      <family val="2"/>
      <scheme val="minor"/>
    </font>
    <font>
      <b/>
      <sz val="28"/>
      <color rgb="FF0000FF"/>
      <name val="Times New Roman"/>
      <family val="1"/>
    </font>
    <font>
      <sz val="12"/>
      <color rgb="FF000000"/>
      <name val="Times New Roman"/>
      <family val="1"/>
    </font>
    <font>
      <sz val="11"/>
      <color theme="0" tint="-0.249977111117893"/>
      <name val="Times New Roman"/>
      <family val="1"/>
    </font>
    <font>
      <b/>
      <sz val="14"/>
      <name val="Times New Roman"/>
      <family val="1"/>
    </font>
    <font>
      <u/>
      <sz val="12"/>
      <color rgb="FF0000FF"/>
      <name val="Times New Roman"/>
      <family val="1"/>
    </font>
    <font>
      <b/>
      <sz val="10"/>
      <color indexed="23"/>
      <name val="Times Roman"/>
    </font>
    <font>
      <i/>
      <sz val="9"/>
      <color indexed="8"/>
      <name val="Times Roman"/>
    </font>
    <font>
      <b/>
      <sz val="12"/>
      <color rgb="FF0000FF"/>
      <name val="Times New Roman"/>
      <family val="1"/>
    </font>
    <font>
      <b/>
      <sz val="12"/>
      <color theme="1"/>
      <name val="Calibri"/>
      <family val="2"/>
      <scheme val="minor"/>
    </font>
    <font>
      <i/>
      <sz val="12"/>
      <color theme="1"/>
      <name val="Calibri"/>
      <family val="2"/>
      <scheme val="minor"/>
    </font>
    <font>
      <i/>
      <sz val="12"/>
      <color indexed="8"/>
      <name val="Times New Roman"/>
      <family val="1"/>
    </font>
    <font>
      <sz val="12"/>
      <color theme="1"/>
      <name val="Arial"/>
      <family val="2"/>
    </font>
    <font>
      <b/>
      <sz val="12"/>
      <color theme="0"/>
      <name val="Calibri"/>
      <family val="2"/>
      <scheme val="minor"/>
    </font>
    <font>
      <sz val="12"/>
      <color theme="0" tint="-0.34998626667073579"/>
      <name val="Times New Roman"/>
      <family val="1"/>
    </font>
    <font>
      <sz val="11"/>
      <color theme="0" tint="-0.249977111117893"/>
      <name val="Calibri"/>
      <family val="2"/>
      <scheme val="minor"/>
    </font>
    <font>
      <sz val="10"/>
      <color theme="0" tint="-0.249977111117893"/>
      <name val="Times New Roman"/>
      <family val="1"/>
    </font>
    <font>
      <sz val="12"/>
      <color theme="0" tint="-0.249977111117893"/>
      <name val="Times New Roman"/>
      <family val="1"/>
    </font>
    <font>
      <sz val="12"/>
      <color theme="0" tint="-0.249977111117893"/>
      <name val="Calibri"/>
      <family val="2"/>
      <scheme val="minor"/>
    </font>
    <font>
      <sz val="11"/>
      <color rgb="FF000000"/>
      <name val="Calibri"/>
      <family val="2"/>
      <scheme val="minor"/>
    </font>
    <font>
      <sz val="9"/>
      <color indexed="81"/>
      <name val="Tahoma"/>
      <family val="2"/>
    </font>
    <font>
      <b/>
      <sz val="9"/>
      <color indexed="81"/>
      <name val="Tahoma"/>
      <family val="2"/>
    </font>
    <font>
      <sz val="11"/>
      <color theme="1"/>
      <name val="Times New Roman"/>
      <family val="1"/>
    </font>
    <font>
      <i/>
      <sz val="11"/>
      <color rgb="FF0000FF"/>
      <name val="Times New Roman"/>
      <family val="1"/>
    </font>
    <font>
      <b/>
      <sz val="14"/>
      <color indexed="8"/>
      <name val="Arial"/>
      <family val="2"/>
    </font>
    <font>
      <sz val="11"/>
      <color indexed="8"/>
      <name val="Arial"/>
      <family val="2"/>
    </font>
    <font>
      <sz val="11"/>
      <color rgb="FFFF0000"/>
      <name val="Times New Roman"/>
      <family val="1"/>
    </font>
    <font>
      <b/>
      <sz val="11"/>
      <color theme="1"/>
      <name val="Times New Roman"/>
      <family val="1"/>
    </font>
    <font>
      <sz val="11"/>
      <color indexed="32"/>
      <name val="Calibri"/>
      <family val="2"/>
      <scheme val="minor"/>
    </font>
    <font>
      <sz val="12"/>
      <color indexed="32"/>
      <name val="Times New Roman"/>
      <family val="1"/>
    </font>
    <font>
      <sz val="11"/>
      <color indexed="32"/>
      <name val="Times New Roman"/>
      <family val="1"/>
    </font>
    <font>
      <sz val="11"/>
      <color indexed="32"/>
      <name val="Arial"/>
      <family val="2"/>
    </font>
    <font>
      <sz val="12"/>
      <color indexed="32"/>
      <name val="Arial"/>
      <family val="2"/>
    </font>
    <font>
      <b/>
      <sz val="11"/>
      <color indexed="32"/>
      <name val="Arial"/>
      <family val="2"/>
    </font>
    <font>
      <b/>
      <sz val="11"/>
      <color rgb="FFFF0000"/>
      <name val="Calibri"/>
      <family val="2"/>
      <scheme val="minor"/>
    </font>
    <font>
      <sz val="11"/>
      <color theme="1"/>
      <name val="Arial"/>
      <family val="2"/>
    </font>
    <font>
      <b/>
      <sz val="14"/>
      <color theme="1"/>
      <name val="Calibri"/>
      <family val="2"/>
      <scheme val="minor"/>
    </font>
    <font>
      <i/>
      <sz val="9"/>
      <name val="Arial"/>
      <family val="2"/>
    </font>
    <font>
      <sz val="12"/>
      <name val="Times New Roman"/>
      <family val="1"/>
    </font>
    <font>
      <b/>
      <sz val="11"/>
      <color indexed="32"/>
      <name val="Times New Roman"/>
      <family val="1"/>
    </font>
    <font>
      <i/>
      <sz val="11"/>
      <color indexed="32"/>
      <name val="Times New Roman"/>
      <family val="1"/>
    </font>
    <font>
      <b/>
      <u/>
      <sz val="11"/>
      <color indexed="8"/>
      <name val="Times New Roman"/>
      <family val="1"/>
    </font>
    <font>
      <i/>
      <sz val="11"/>
      <name val="Times New Roman"/>
      <family val="1"/>
    </font>
    <font>
      <b/>
      <sz val="12"/>
      <color rgb="FF000000"/>
      <name val="Times New Roman"/>
      <family val="1"/>
    </font>
    <font>
      <b/>
      <i/>
      <sz val="12"/>
      <name val="Times New Roman"/>
      <family val="1"/>
    </font>
    <font>
      <b/>
      <i/>
      <sz val="12"/>
      <color indexed="8"/>
      <name val="Times New Roman"/>
      <family val="1"/>
    </font>
    <font>
      <b/>
      <sz val="10"/>
      <color indexed="39"/>
      <name val="Times New Roman"/>
      <family val="1"/>
    </font>
    <font>
      <sz val="11"/>
      <color indexed="39"/>
      <name val="Times New Roman"/>
      <family val="1"/>
    </font>
    <font>
      <i/>
      <sz val="11"/>
      <color theme="1"/>
      <name val="Times New Roman"/>
      <family val="1"/>
    </font>
    <font>
      <sz val="12"/>
      <color rgb="FF000000"/>
      <name val="Cambria"/>
      <family val="1"/>
    </font>
    <font>
      <i/>
      <sz val="12"/>
      <color theme="1"/>
      <name val="Arial"/>
      <family val="2"/>
    </font>
    <font>
      <b/>
      <i/>
      <sz val="11"/>
      <color theme="0" tint="-0.34998626667073579"/>
      <name val="Times New Roman"/>
      <family val="1"/>
    </font>
    <font>
      <i/>
      <sz val="11"/>
      <color theme="0" tint="-0.34998626667073579"/>
      <name val="Times New Roman"/>
      <family val="1"/>
    </font>
    <font>
      <sz val="10"/>
      <color theme="0" tint="-0.34998626667073579"/>
      <name val="Times New Roman"/>
      <family val="1"/>
    </font>
    <font>
      <u/>
      <sz val="11"/>
      <color indexed="8"/>
      <name val="Times New Roman"/>
      <family val="1"/>
    </font>
    <font>
      <u/>
      <sz val="12"/>
      <color indexed="12"/>
      <name val="Times New Roman"/>
      <family val="1"/>
    </font>
    <font>
      <b/>
      <i/>
      <sz val="12"/>
      <color theme="1"/>
      <name val="Times New Roman"/>
      <family val="1"/>
    </font>
    <font>
      <b/>
      <u/>
      <sz val="12"/>
      <color rgb="FF0000FF"/>
      <name val="Times New Roman"/>
      <family val="1"/>
    </font>
    <font>
      <b/>
      <sz val="11"/>
      <color indexed="8"/>
      <name val="Calibri"/>
      <family val="2"/>
      <scheme val="minor"/>
    </font>
    <font>
      <sz val="14"/>
      <color indexed="8"/>
      <name val="Times New Roman"/>
      <family val="1"/>
    </font>
    <font>
      <u/>
      <sz val="12"/>
      <color theme="10"/>
      <name val="Times New Roman"/>
      <family val="1"/>
    </font>
  </fonts>
  <fills count="7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9"/>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18"/>
        <bgColor indexed="8"/>
      </patternFill>
    </fill>
    <fill>
      <patternFill patternType="solid">
        <fgColor indexed="47"/>
        <bgColor indexed="64"/>
      </patternFill>
    </fill>
    <fill>
      <patternFill patternType="solid">
        <fgColor indexed="45"/>
        <bgColor indexed="64"/>
      </patternFill>
    </fill>
    <fill>
      <patternFill patternType="solid">
        <fgColor rgb="FFF0F0F0"/>
        <bgColor indexed="64"/>
      </patternFill>
    </fill>
    <fill>
      <patternFill patternType="solid">
        <fgColor indexed="51"/>
        <bgColor indexed="8"/>
      </patternFill>
    </fill>
    <fill>
      <patternFill patternType="solid">
        <fgColor rgb="FFCCCCCC"/>
        <bgColor indexed="64"/>
      </patternFill>
    </fill>
    <fill>
      <patternFill patternType="solid">
        <fgColor rgb="FF0000FF"/>
        <bgColor indexed="64"/>
      </patternFill>
    </fill>
    <fill>
      <patternFill patternType="solid">
        <fgColor indexed="15"/>
        <bgColor indexed="64"/>
      </patternFill>
    </fill>
    <fill>
      <patternFill patternType="solid">
        <fgColor indexed="11"/>
        <bgColor indexed="64"/>
      </patternFill>
    </fill>
    <fill>
      <patternFill patternType="solid">
        <fgColor indexed="55"/>
        <bgColor indexed="64"/>
      </patternFill>
    </fill>
  </fills>
  <borders count="148">
    <border>
      <left/>
      <right/>
      <top/>
      <bottom/>
      <diagonal/>
    </border>
    <border>
      <left/>
      <right/>
      <top/>
      <bottom style="thin">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ashed">
        <color indexed="64"/>
      </top>
      <bottom/>
      <diagonal/>
    </border>
    <border>
      <left style="thin">
        <color indexed="9"/>
      </left>
      <right style="thin">
        <color indexed="9"/>
      </right>
      <top style="thin">
        <color indexed="9"/>
      </top>
      <bottom style="thin">
        <color indexed="9"/>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double">
        <color indexed="8"/>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0"/>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22"/>
      </top>
      <bottom style="hair">
        <color indexed="22"/>
      </bottom>
      <diagonal/>
    </border>
    <border>
      <left/>
      <right/>
      <top style="dotted">
        <color indexed="22"/>
      </top>
      <bottom style="dotted">
        <color indexed="22"/>
      </bottom>
      <diagonal/>
    </border>
    <border>
      <left/>
      <right/>
      <top/>
      <bottom style="dotted">
        <color indexed="22"/>
      </bottom>
      <diagonal/>
    </border>
    <border>
      <left/>
      <right/>
      <top style="hair">
        <color indexed="22"/>
      </top>
      <bottom/>
      <diagonal/>
    </border>
    <border>
      <left/>
      <right/>
      <top/>
      <bottom style="hair">
        <color indexed="22"/>
      </bottom>
      <diagonal/>
    </border>
    <border>
      <left/>
      <right/>
      <top style="thin">
        <color indexed="64"/>
      </top>
      <bottom style="hair">
        <color indexed="22"/>
      </bottom>
      <diagonal/>
    </border>
    <border>
      <left/>
      <right/>
      <top style="thin">
        <color indexed="64"/>
      </top>
      <bottom style="double">
        <color indexed="64"/>
      </bottom>
      <diagonal/>
    </border>
    <border>
      <left style="hair">
        <color indexed="64"/>
      </left>
      <right style="hair">
        <color indexed="64"/>
      </right>
      <top/>
      <bottom style="hair">
        <color indexed="64"/>
      </bottom>
      <diagonal/>
    </border>
    <border>
      <left style="hair">
        <color indexed="22"/>
      </left>
      <right style="hair">
        <color indexed="22"/>
      </right>
      <top style="hair">
        <color indexed="22"/>
      </top>
      <bottom style="hair">
        <color indexed="22"/>
      </bottom>
      <diagonal/>
    </border>
    <border>
      <left style="thin">
        <color indexed="64"/>
      </left>
      <right/>
      <top style="hair">
        <color indexed="22"/>
      </top>
      <bottom style="hair">
        <color indexed="2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22"/>
      </left>
      <right style="hair">
        <color indexed="22"/>
      </right>
      <top/>
      <bottom style="hair">
        <color indexed="22"/>
      </bottom>
      <diagonal/>
    </border>
    <border>
      <left/>
      <right style="hair">
        <color indexed="22"/>
      </right>
      <top style="hair">
        <color indexed="22"/>
      </top>
      <bottom style="hair">
        <color indexed="22"/>
      </bottom>
      <diagonal/>
    </border>
    <border>
      <left style="hair">
        <color indexed="22"/>
      </left>
      <right style="thin">
        <color indexed="64"/>
      </right>
      <top style="thin">
        <color indexed="64"/>
      </top>
      <bottom/>
      <diagonal/>
    </border>
    <border>
      <left style="thin">
        <color indexed="64"/>
      </left>
      <right/>
      <top style="thin">
        <color indexed="64"/>
      </top>
      <bottom style="thin">
        <color indexed="64"/>
      </bottom>
      <diagonal/>
    </border>
    <border>
      <left style="hair">
        <color indexed="22"/>
      </left>
      <right style="thin">
        <color indexed="64"/>
      </right>
      <top style="hair">
        <color indexed="22"/>
      </top>
      <bottom style="hair">
        <color indexed="22"/>
      </bottom>
      <diagonal/>
    </border>
    <border>
      <left style="hair">
        <color indexed="22"/>
      </left>
      <right style="thin">
        <color indexed="64"/>
      </right>
      <top style="hair">
        <color indexed="22"/>
      </top>
      <bottom/>
      <diagonal/>
    </border>
    <border>
      <left style="hair">
        <color indexed="22"/>
      </left>
      <right style="thin">
        <color indexed="64"/>
      </right>
      <top style="hair">
        <color indexed="22"/>
      </top>
      <bottom style="thin">
        <color indexed="64"/>
      </bottom>
      <diagonal/>
    </border>
    <border>
      <left/>
      <right style="hair">
        <color indexed="64"/>
      </right>
      <top style="hair">
        <color indexed="22"/>
      </top>
      <bottom style="hair">
        <color indexed="22"/>
      </bottom>
      <diagonal/>
    </border>
    <border>
      <left style="thin">
        <color indexed="64"/>
      </left>
      <right style="hair">
        <color indexed="22"/>
      </right>
      <top style="hair">
        <color indexed="22"/>
      </top>
      <bottom style="hair">
        <color indexed="22"/>
      </bottom>
      <diagonal/>
    </border>
    <border>
      <left/>
      <right/>
      <top style="hair">
        <color indexed="22"/>
      </top>
      <bottom style="thin">
        <color indexed="64"/>
      </bottom>
      <diagonal/>
    </border>
    <border>
      <left style="thin">
        <color rgb="FFA1AFC9"/>
      </left>
      <right style="thin">
        <color rgb="FFA1AFC9"/>
      </right>
      <top style="thin">
        <color rgb="FFA1AFC9"/>
      </top>
      <bottom style="thin">
        <color rgb="FFA1AFC9"/>
      </bottom>
      <diagonal/>
    </border>
    <border>
      <left style="thin">
        <color rgb="FFA1AFC9"/>
      </left>
      <right/>
      <top style="thin">
        <color rgb="FFA1AFC9"/>
      </top>
      <bottom style="thin">
        <color rgb="FFA1AFC9"/>
      </bottom>
      <diagonal/>
    </border>
    <border>
      <left style="thin">
        <color rgb="FFA1AFC9"/>
      </left>
      <right style="thin">
        <color rgb="FFA1AFC9"/>
      </right>
      <top style="thin">
        <color rgb="FFA1AFC9"/>
      </top>
      <bottom/>
      <diagonal/>
    </border>
    <border>
      <left style="thin">
        <color rgb="FF163861"/>
      </left>
      <right style="thin">
        <color rgb="FF163861"/>
      </right>
      <top style="thin">
        <color rgb="FF163861"/>
      </top>
      <bottom style="thin">
        <color rgb="FF163861"/>
      </bottom>
      <diagonal/>
    </border>
    <border>
      <left style="thin">
        <color rgb="FF163861"/>
      </left>
      <right style="thin">
        <color rgb="FF030404"/>
      </right>
      <top style="thin">
        <color rgb="FF030404"/>
      </top>
      <bottom style="thin">
        <color rgb="FF030404"/>
      </bottom>
      <diagonal/>
    </border>
    <border>
      <left style="thin">
        <color rgb="FF030404"/>
      </left>
      <right style="thin">
        <color rgb="FFFFFFFF"/>
      </right>
      <top style="thin">
        <color rgb="FF163861"/>
      </top>
      <bottom style="thin">
        <color rgb="FF163861"/>
      </bottom>
      <diagonal/>
    </border>
    <border>
      <left style="thin">
        <color rgb="FFFFFFFF"/>
      </left>
      <right style="thin">
        <color rgb="FFFFFFFF"/>
      </right>
      <top style="thin">
        <color rgb="FF163861"/>
      </top>
      <bottom style="thin">
        <color rgb="FF163861"/>
      </bottom>
      <diagonal/>
    </border>
    <border>
      <left style="thin">
        <color rgb="FF163861"/>
      </left>
      <right style="thin">
        <color rgb="FF163861"/>
      </right>
      <top/>
      <bottom style="thin">
        <color rgb="FF163861"/>
      </bottom>
      <diagonal/>
    </border>
    <border>
      <left style="thin">
        <color rgb="FF163861"/>
      </left>
      <right style="thin">
        <color rgb="FF030404"/>
      </right>
      <top/>
      <bottom style="thin">
        <color rgb="FF030404"/>
      </bottom>
      <diagonal/>
    </border>
    <border>
      <left style="thin">
        <color rgb="FF030404"/>
      </left>
      <right style="thin">
        <color rgb="FFFFFFFF"/>
      </right>
      <top/>
      <bottom style="thin">
        <color rgb="FF163861"/>
      </bottom>
      <diagonal/>
    </border>
    <border>
      <left style="thin">
        <color rgb="FFFFFFFF"/>
      </left>
      <right style="thin">
        <color rgb="FFFFFFFF"/>
      </right>
      <top/>
      <bottom style="thin">
        <color rgb="FF163861"/>
      </bottom>
      <diagonal/>
    </border>
    <border>
      <left style="thin">
        <color rgb="FFA1AFC9"/>
      </left>
      <right style="thin">
        <color rgb="FFA1AFC9"/>
      </right>
      <top/>
      <bottom style="thin">
        <color rgb="FFA1AFC9"/>
      </bottom>
      <diagonal/>
    </border>
    <border>
      <left style="thin">
        <color indexed="64"/>
      </left>
      <right style="thin">
        <color rgb="FFA1AFC9"/>
      </right>
      <top style="thin">
        <color indexed="64"/>
      </top>
      <bottom style="thin">
        <color indexed="64"/>
      </bottom>
      <diagonal/>
    </border>
    <border>
      <left style="thin">
        <color rgb="FFA1AFC9"/>
      </left>
      <right style="thin">
        <color rgb="FFA1AFC9"/>
      </right>
      <top style="thin">
        <color indexed="64"/>
      </top>
      <bottom style="thin">
        <color indexed="64"/>
      </bottom>
      <diagonal/>
    </border>
    <border>
      <left style="thin">
        <color rgb="FFA1AFC9"/>
      </left>
      <right style="thin">
        <color indexed="64"/>
      </right>
      <top style="thin">
        <color indexed="64"/>
      </top>
      <bottom style="thin">
        <color indexed="64"/>
      </bottom>
      <diagonal/>
    </border>
    <border>
      <left style="thin">
        <color rgb="FFA1AFC9"/>
      </left>
      <right/>
      <top style="thin">
        <color rgb="FFA1AFC9"/>
      </top>
      <bottom/>
      <diagonal/>
    </border>
    <border>
      <left style="thin">
        <color indexed="64"/>
      </left>
      <right style="thin">
        <color rgb="FFA1AFC9"/>
      </right>
      <top/>
      <bottom style="thin">
        <color rgb="FFA1AFC9"/>
      </bottom>
      <diagonal/>
    </border>
    <border>
      <left style="thin">
        <color rgb="FFA1AFC9"/>
      </left>
      <right style="thin">
        <color indexed="64"/>
      </right>
      <top/>
      <bottom style="thin">
        <color rgb="FFA1AFC9"/>
      </bottom>
      <diagonal/>
    </border>
    <border>
      <left style="thin">
        <color indexed="64"/>
      </left>
      <right style="thin">
        <color rgb="FFA1AFC9"/>
      </right>
      <top style="thin">
        <color rgb="FFA1AFC9"/>
      </top>
      <bottom style="thin">
        <color rgb="FFA1AFC9"/>
      </bottom>
      <diagonal/>
    </border>
    <border>
      <left style="thin">
        <color rgb="FFA1AFC9"/>
      </left>
      <right style="thin">
        <color indexed="64"/>
      </right>
      <top style="thin">
        <color rgb="FFA1AFC9"/>
      </top>
      <bottom style="thin">
        <color rgb="FFA1AFC9"/>
      </bottom>
      <diagonal/>
    </border>
    <border>
      <left style="thin">
        <color indexed="64"/>
      </left>
      <right style="thin">
        <color rgb="FFA1AFC9"/>
      </right>
      <top style="thin">
        <color rgb="FFA1AFC9"/>
      </top>
      <bottom/>
      <diagonal/>
    </border>
    <border>
      <left style="thin">
        <color rgb="FFA1AFC9"/>
      </left>
      <right style="thin">
        <color indexed="64"/>
      </right>
      <top style="thin">
        <color rgb="FFA1AFC9"/>
      </top>
      <bottom/>
      <diagonal/>
    </border>
    <border>
      <left style="thin">
        <color indexed="64"/>
      </left>
      <right/>
      <top style="thin">
        <color indexed="64"/>
      </top>
      <bottom style="thin">
        <color rgb="FFA1AFC9"/>
      </bottom>
      <diagonal/>
    </border>
    <border>
      <left/>
      <right style="thin">
        <color indexed="64"/>
      </right>
      <top style="thin">
        <color indexed="64"/>
      </top>
      <bottom style="thin">
        <color rgb="FFA1AFC9"/>
      </bottom>
      <diagonal/>
    </border>
    <border>
      <left style="thin">
        <color indexed="64"/>
      </left>
      <right style="thin">
        <color rgb="FFA1AFC9"/>
      </right>
      <top style="thin">
        <color rgb="FFA1AFC9"/>
      </top>
      <bottom style="thin">
        <color indexed="64"/>
      </bottom>
      <diagonal/>
    </border>
    <border>
      <left style="thin">
        <color rgb="FFA1AFC9"/>
      </left>
      <right style="thin">
        <color indexed="64"/>
      </right>
      <top style="thin">
        <color rgb="FFA1AFC9"/>
      </top>
      <bottom style="thin">
        <color indexed="64"/>
      </bottom>
      <diagonal/>
    </border>
    <border>
      <left style="hair">
        <color indexed="22"/>
      </left>
      <right style="hair">
        <color indexed="22"/>
      </right>
      <top style="hair">
        <color indexed="22"/>
      </top>
      <bottom/>
      <diagonal/>
    </border>
    <border>
      <left style="hair">
        <color indexed="22"/>
      </left>
      <right style="hair">
        <color indexed="22"/>
      </right>
      <top style="thin">
        <color indexed="64"/>
      </top>
      <bottom style="hair">
        <color indexed="22"/>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64"/>
      </top>
      <bottom style="dotted">
        <color indexed="22"/>
      </bottom>
      <diagonal/>
    </border>
    <border>
      <left/>
      <right/>
      <top style="dotted">
        <color indexed="22"/>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hair">
        <color indexed="22"/>
      </left>
      <right style="hair">
        <color indexed="22"/>
      </right>
      <top style="hair">
        <color indexed="22"/>
      </top>
      <bottom style="thin">
        <color indexed="64"/>
      </bottom>
      <diagonal/>
    </border>
    <border>
      <left style="hair">
        <color indexed="22"/>
      </left>
      <right/>
      <top style="thin">
        <color indexed="64"/>
      </top>
      <bottom/>
      <diagonal/>
    </border>
    <border>
      <left style="hair">
        <color indexed="22"/>
      </left>
      <right style="hair">
        <color indexed="22"/>
      </right>
      <top style="thin">
        <color indexed="64"/>
      </top>
      <bottom/>
      <diagonal/>
    </border>
    <border>
      <left/>
      <right/>
      <top style="thin">
        <color indexed="64"/>
      </top>
      <bottom style="medium">
        <color indexed="64"/>
      </bottom>
      <diagonal/>
    </border>
    <border>
      <left/>
      <right style="thin">
        <color indexed="9"/>
      </right>
      <top style="thin">
        <color indexed="9"/>
      </top>
      <bottom/>
      <diagonal/>
    </border>
    <border>
      <left style="hair">
        <color indexed="22"/>
      </left>
      <right style="hair">
        <color indexed="22"/>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style="hair">
        <color indexed="22"/>
      </right>
      <top style="thin">
        <color indexed="64"/>
      </top>
      <bottom style="hair">
        <color indexed="22"/>
      </bottom>
      <diagonal/>
    </border>
    <border>
      <left/>
      <right style="hair">
        <color indexed="22"/>
      </right>
      <top style="hair">
        <color indexed="22"/>
      </top>
      <bottom style="thin">
        <color indexed="64"/>
      </bottom>
      <diagonal/>
    </border>
    <border>
      <left style="thin">
        <color indexed="64"/>
      </left>
      <right/>
      <top style="hair">
        <color indexed="22"/>
      </top>
      <bottom style="thin">
        <color indexed="64"/>
      </bottom>
      <diagonal/>
    </border>
    <border>
      <left style="thin">
        <color indexed="64"/>
      </left>
      <right/>
      <top style="thin">
        <color indexed="64"/>
      </top>
      <bottom style="hair">
        <color indexed="22"/>
      </bottom>
      <diagonal/>
    </border>
    <border>
      <left/>
      <right style="thin">
        <color indexed="64"/>
      </right>
      <top style="thin">
        <color indexed="64"/>
      </top>
      <bottom style="hair">
        <color indexed="22"/>
      </bottom>
      <diagonal/>
    </border>
    <border>
      <left/>
      <right style="thin">
        <color indexed="64"/>
      </right>
      <top style="hair">
        <color indexed="22"/>
      </top>
      <bottom style="hair">
        <color indexed="22"/>
      </bottom>
      <diagonal/>
    </border>
    <border>
      <left/>
      <right style="hair">
        <color indexed="22"/>
      </right>
      <top style="hair">
        <color indexed="22"/>
      </top>
      <bottom/>
      <diagonal/>
    </border>
    <border>
      <left style="thin">
        <color indexed="64"/>
      </left>
      <right style="hair">
        <color indexed="22"/>
      </right>
      <top style="thin">
        <color indexed="64"/>
      </top>
      <bottom style="hair">
        <color indexed="22"/>
      </bottom>
      <diagonal/>
    </border>
    <border>
      <left style="thin">
        <color indexed="64"/>
      </left>
      <right style="hair">
        <color indexed="22"/>
      </right>
      <top style="hair">
        <color indexed="22"/>
      </top>
      <bottom/>
      <diagonal/>
    </border>
    <border>
      <left style="thin">
        <color indexed="64"/>
      </left>
      <right style="hair">
        <color indexed="22"/>
      </right>
      <top style="hair">
        <color indexed="22"/>
      </top>
      <bottom style="thin">
        <color indexed="64"/>
      </bottom>
      <diagonal/>
    </border>
    <border>
      <left/>
      <right style="thin">
        <color indexed="64"/>
      </right>
      <top style="hair">
        <color indexed="22"/>
      </top>
      <bottom/>
      <diagonal/>
    </border>
    <border>
      <left style="thin">
        <color indexed="64"/>
      </left>
      <right style="hair">
        <color indexed="22"/>
      </right>
      <top/>
      <bottom style="hair">
        <color indexed="22"/>
      </bottom>
      <diagonal/>
    </border>
    <border>
      <left style="thin">
        <color indexed="64"/>
      </left>
      <right/>
      <top style="hair">
        <color indexed="22"/>
      </top>
      <bottom/>
      <diagonal/>
    </border>
    <border>
      <left/>
      <right style="hair">
        <color indexed="22"/>
      </right>
      <top style="thin">
        <color indexed="64"/>
      </top>
      <bottom/>
      <diagonal/>
    </border>
    <border>
      <left style="hair">
        <color indexed="22"/>
      </left>
      <right/>
      <top style="thin">
        <color indexed="64"/>
      </top>
      <bottom style="hair">
        <color indexed="22"/>
      </bottom>
      <diagonal/>
    </border>
    <border>
      <left style="hair">
        <color indexed="22"/>
      </left>
      <right/>
      <top style="hair">
        <color indexed="22"/>
      </top>
      <bottom style="hair">
        <color indexed="22"/>
      </bottom>
      <diagonal/>
    </border>
    <border>
      <left style="hair">
        <color indexed="22"/>
      </left>
      <right/>
      <top style="hair">
        <color indexed="22"/>
      </top>
      <bottom/>
      <diagonal/>
    </border>
    <border>
      <left style="hair">
        <color indexed="22"/>
      </left>
      <right/>
      <top style="hair">
        <color indexed="22"/>
      </top>
      <bottom style="thin">
        <color indexed="64"/>
      </bottom>
      <diagonal/>
    </border>
    <border>
      <left style="thin">
        <color indexed="64"/>
      </left>
      <right style="hair">
        <color indexed="22"/>
      </right>
      <top style="thin">
        <color indexed="64"/>
      </top>
      <bottom style="thin">
        <color indexed="64"/>
      </bottom>
      <diagonal/>
    </border>
    <border>
      <left style="hair">
        <color indexed="22"/>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22"/>
      </top>
      <bottom style="thin">
        <color indexed="64"/>
      </bottom>
      <diagonal/>
    </border>
    <border>
      <left style="thin">
        <color indexed="64"/>
      </left>
      <right style="thin">
        <color indexed="64"/>
      </right>
      <top style="thin">
        <color indexed="64"/>
      </top>
      <bottom style="hair">
        <color indexed="22"/>
      </bottom>
      <diagonal/>
    </border>
    <border>
      <left style="thin">
        <color indexed="64"/>
      </left>
      <right style="thin">
        <color indexed="64"/>
      </right>
      <top style="hair">
        <color indexed="22"/>
      </top>
      <bottom style="hair">
        <color indexed="22"/>
      </bottom>
      <diagonal/>
    </border>
    <border>
      <left style="thin">
        <color indexed="64"/>
      </left>
      <right style="thin">
        <color indexed="64"/>
      </right>
      <top style="hair">
        <color indexed="22"/>
      </top>
      <bottom style="thin">
        <color indexed="64"/>
      </bottom>
      <diagonal/>
    </border>
    <border>
      <left/>
      <right/>
      <top style="dotted">
        <color indexed="22"/>
      </top>
      <bottom/>
      <diagonal/>
    </border>
    <border>
      <left style="thin">
        <color rgb="FF000000"/>
      </left>
      <right style="thin">
        <color rgb="FF000000"/>
      </right>
      <top style="thin">
        <color rgb="FF000000"/>
      </top>
      <bottom style="thin">
        <color rgb="FF000000"/>
      </bottom>
      <diagonal/>
    </border>
  </borders>
  <cellStyleXfs count="33112">
    <xf numFmtId="0" fontId="0" fillId="0" borderId="0"/>
    <xf numFmtId="44" fontId="4" fillId="0" borderId="0" applyFont="0" applyFill="0" applyBorder="0" applyAlignment="0" applyProtection="0"/>
    <xf numFmtId="0" fontId="5" fillId="0" borderId="1">
      <alignment horizontal="left"/>
    </xf>
    <xf numFmtId="49" fontId="4" fillId="0" borderId="2" applyFont="0" applyFill="0" applyBorder="0" applyAlignment="0" applyProtection="0">
      <alignment horizontal="right"/>
    </xf>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9" fontId="3" fillId="0" borderId="0" applyFont="0" applyFill="0" applyBorder="0" applyAlignment="0" applyProtection="0"/>
    <xf numFmtId="9" fontId="2" fillId="0" borderId="0" applyFont="0" applyFill="0" applyBorder="0" applyAlignment="0" applyProtection="0"/>
    <xf numFmtId="0" fontId="9" fillId="4" borderId="3" applyNumberFormat="0" applyAlignment="0" applyProtection="0">
      <alignment horizontal="center" vertical="top"/>
    </xf>
    <xf numFmtId="0" fontId="6" fillId="3" borderId="4" applyNumberFormat="0" applyFont="0" applyFill="0" applyAlignment="0"/>
    <xf numFmtId="0" fontId="17" fillId="0" borderId="0"/>
    <xf numFmtId="0" fontId="18" fillId="0" borderId="0" applyNumberFormat="0" applyFill="0" applyBorder="0" applyAlignment="0" applyProtection="0"/>
    <xf numFmtId="0" fontId="19" fillId="0" borderId="20" applyNumberFormat="0" applyFill="0" applyAlignment="0" applyProtection="0"/>
    <xf numFmtId="0" fontId="20" fillId="0" borderId="21" applyNumberFormat="0" applyFill="0" applyAlignment="0" applyProtection="0"/>
    <xf numFmtId="0" fontId="21" fillId="0" borderId="22" applyNumberFormat="0" applyFill="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23" applyNumberFormat="0" applyAlignment="0" applyProtection="0"/>
    <xf numFmtId="0" fontId="26" fillId="11" borderId="24" applyNumberFormat="0" applyAlignment="0" applyProtection="0"/>
    <xf numFmtId="0" fontId="27" fillId="11" borderId="23" applyNumberFormat="0" applyAlignment="0" applyProtection="0"/>
    <xf numFmtId="0" fontId="28" fillId="0" borderId="25" applyNumberFormat="0" applyFill="0" applyAlignment="0" applyProtection="0"/>
    <xf numFmtId="0" fontId="11" fillId="0" borderId="28" applyNumberFormat="0" applyFill="0" applyAlignment="0" applyProtection="0"/>
    <xf numFmtId="0" fontId="31"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1" fillId="29"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31" fillId="37" borderId="0" applyNumberFormat="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0" fontId="32" fillId="0" borderId="0" applyFont="0" applyFill="0" applyBorder="0" applyAlignment="0" applyProtection="0"/>
    <xf numFmtId="167"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2" fillId="0" borderId="30" applyNumberFormat="0" applyFont="0" applyFill="0" applyAlignment="0" applyProtection="0"/>
    <xf numFmtId="0" fontId="2" fillId="0" borderId="0"/>
    <xf numFmtId="43" fontId="2" fillId="0" borderId="0" applyFont="0" applyFill="0" applyBorder="0" applyAlignment="0" applyProtection="0"/>
    <xf numFmtId="3" fontId="3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9" fontId="2" fillId="0" borderId="0" applyFont="0" applyFill="0" applyBorder="0" applyAlignment="0" applyProtection="0"/>
    <xf numFmtId="0" fontId="32" fillId="0" borderId="30" applyNumberFormat="0" applyFont="0" applyFill="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33" fillId="0" borderId="0" applyNumberFormat="0" applyFill="0" applyBorder="0" applyAlignment="0" applyProtection="0"/>
    <xf numFmtId="168" fontId="34" fillId="0" borderId="0" applyNumberFormat="0" applyFill="0" applyBorder="0" applyAlignment="0" applyProtection="0"/>
    <xf numFmtId="168" fontId="8" fillId="0" borderId="0"/>
    <xf numFmtId="168" fontId="8" fillId="0" borderId="0"/>
    <xf numFmtId="168" fontId="32" fillId="0" borderId="0" applyFont="0" applyFill="0" applyBorder="0" applyAlignment="0" applyProtection="0"/>
    <xf numFmtId="168" fontId="2" fillId="0" borderId="0"/>
    <xf numFmtId="168" fontId="35" fillId="0" borderId="0" applyNumberFormat="0" applyFill="0" applyBorder="0" applyAlignment="0" applyProtection="0">
      <alignment vertical="top"/>
      <protection locked="0"/>
    </xf>
    <xf numFmtId="168" fontId="32" fillId="0" borderId="30" applyNumberFormat="0" applyFont="0" applyFill="0" applyAlignment="0" applyProtection="0"/>
    <xf numFmtId="168" fontId="8" fillId="0" borderId="0"/>
    <xf numFmtId="168" fontId="2" fillId="0" borderId="0"/>
    <xf numFmtId="0" fontId="8" fillId="0" borderId="0"/>
    <xf numFmtId="0" fontId="8" fillId="0" borderId="0"/>
    <xf numFmtId="0" fontId="8" fillId="0" borderId="0"/>
    <xf numFmtId="0" fontId="8" fillId="0" borderId="0"/>
    <xf numFmtId="168" fontId="2" fillId="0" borderId="0"/>
    <xf numFmtId="168"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0" fontId="8" fillId="0" borderId="0"/>
    <xf numFmtId="0" fontId="8" fillId="0" borderId="0"/>
    <xf numFmtId="0" fontId="2" fillId="0" borderId="0"/>
    <xf numFmtId="9" fontId="2" fillId="0" borderId="0" applyFont="0" applyFill="0" applyBorder="0" applyAlignment="0" applyProtection="0"/>
    <xf numFmtId="0" fontId="2" fillId="0" borderId="0"/>
    <xf numFmtId="0" fontId="8" fillId="0" borderId="0"/>
    <xf numFmtId="0" fontId="36" fillId="0" borderId="0"/>
    <xf numFmtId="0" fontId="36" fillId="0" borderId="0"/>
    <xf numFmtId="44" fontId="2" fillId="0" borderId="0" applyFont="0" applyFill="0" applyBorder="0" applyAlignment="0" applyProtection="0"/>
    <xf numFmtId="0" fontId="34" fillId="0" borderId="0" applyNumberFormat="0" applyFill="0" applyBorder="0" applyAlignment="0" applyProtection="0"/>
    <xf numFmtId="43" fontId="2" fillId="0" borderId="0" applyFont="0" applyFill="0" applyBorder="0" applyAlignment="0" applyProtection="0"/>
    <xf numFmtId="2" fontId="32" fillId="0" borderId="0" applyFont="0" applyFill="0" applyBorder="0" applyAlignment="0" applyProtection="0"/>
    <xf numFmtId="43" fontId="2" fillId="0" borderId="0" applyFont="0" applyFill="0" applyBorder="0" applyAlignment="0" applyProtection="0"/>
    <xf numFmtId="0" fontId="32" fillId="0" borderId="30" applyNumberFormat="0" applyFont="0" applyFill="0" applyAlignment="0" applyProtection="0"/>
    <xf numFmtId="0" fontId="2" fillId="0" borderId="0"/>
    <xf numFmtId="0" fontId="33" fillId="0" borderId="0" applyNumberFormat="0" applyFill="0" applyBorder="0" applyAlignment="0" applyProtection="0"/>
    <xf numFmtId="0" fontId="32" fillId="0" borderId="0" applyFont="0" applyFill="0" applyBorder="0" applyAlignment="0" applyProtection="0"/>
    <xf numFmtId="44" fontId="2" fillId="0" borderId="0" applyFont="0" applyFill="0" applyBorder="0" applyAlignment="0" applyProtection="0"/>
    <xf numFmtId="0" fontId="39" fillId="0" borderId="22" applyNumberFormat="0" applyFill="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8" fillId="0" borderId="0" applyNumberFormat="0" applyFill="0" applyBorder="0" applyAlignment="0" applyProtection="0"/>
    <xf numFmtId="167" fontId="32" fillId="0" borderId="0" applyFont="0" applyFill="0" applyBorder="0" applyAlignment="0" applyProtection="0"/>
    <xf numFmtId="0" fontId="36" fillId="0" borderId="0"/>
    <xf numFmtId="0" fontId="36" fillId="0" borderId="0"/>
    <xf numFmtId="0" fontId="2" fillId="0" borderId="0"/>
    <xf numFmtId="0" fontId="2" fillId="0" borderId="0"/>
    <xf numFmtId="41" fontId="37" fillId="0" borderId="0"/>
    <xf numFmtId="37" fontId="3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12" borderId="26"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8" fillId="20" borderId="0" applyNumberFormat="0" applyBorder="0" applyAlignment="0" applyProtection="0"/>
    <xf numFmtId="0" fontId="31" fillId="30" borderId="0" applyNumberFormat="0" applyBorder="0" applyAlignment="0" applyProtection="0"/>
    <xf numFmtId="0" fontId="8" fillId="31" borderId="0" applyNumberFormat="0" applyBorder="0" applyAlignment="0" applyProtection="0"/>
    <xf numFmtId="0" fontId="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0" fontId="50" fillId="0" borderId="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33" fillId="0" borderId="0" applyNumberFormat="0" applyFill="0" applyBorder="0" applyAlignment="0" applyProtection="0"/>
    <xf numFmtId="168"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53"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168"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54"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42"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6" fillId="0" borderId="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7"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40" fillId="0" borderId="0"/>
    <xf numFmtId="0" fontId="2" fillId="0" borderId="0"/>
    <xf numFmtId="0" fontId="2" fillId="0" borderId="0"/>
    <xf numFmtId="0" fontId="2" fillId="0" borderId="0"/>
    <xf numFmtId="0" fontId="36" fillId="0" borderId="0"/>
    <xf numFmtId="0" fontId="2" fillId="0" borderId="0"/>
    <xf numFmtId="0" fontId="2" fillId="0" borderId="0"/>
    <xf numFmtId="0" fontId="1" fillId="0" borderId="0"/>
    <xf numFmtId="0" fontId="2" fillId="0" borderId="0"/>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2" fillId="0" borderId="0" applyFill="0"/>
    <xf numFmtId="0" fontId="40" fillId="0" borderId="0"/>
    <xf numFmtId="168"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 fillId="0" borderId="0"/>
    <xf numFmtId="0" fontId="40" fillId="0" borderId="0"/>
    <xf numFmtId="0" fontId="2" fillId="0" borderId="0"/>
    <xf numFmtId="0" fontId="40" fillId="0" borderId="0"/>
    <xf numFmtId="0" fontId="8" fillId="0" borderId="0"/>
    <xf numFmtId="0" fontId="40" fillId="0" borderId="0"/>
    <xf numFmtId="168" fontId="2" fillId="0" borderId="0"/>
    <xf numFmtId="0" fontId="40" fillId="0" borderId="0"/>
    <xf numFmtId="0" fontId="2" fillId="0" borderId="0"/>
    <xf numFmtId="0" fontId="40" fillId="0" borderId="0"/>
    <xf numFmtId="0" fontId="40" fillId="0" borderId="0"/>
    <xf numFmtId="0" fontId="8" fillId="0" borderId="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50"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50" fillId="0" borderId="0"/>
    <xf numFmtId="0" fontId="49" fillId="0" borderId="0" applyNumberForma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32" fillId="0" borderId="30" applyNumberFormat="0" applyFon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4" borderId="0" applyNumberFormat="0" applyBorder="0" applyAlignment="0" applyProtection="0"/>
    <xf numFmtId="0" fontId="23" fillId="8" borderId="0" applyNumberFormat="0" applyBorder="0" applyAlignment="0" applyProtection="0"/>
    <xf numFmtId="0" fontId="27" fillId="11" borderId="23" applyNumberFormat="0" applyAlignment="0" applyProtection="0"/>
    <xf numFmtId="43" fontId="8" fillId="0" borderId="0" applyFont="0" applyFill="0" applyBorder="0" applyAlignment="0" applyProtection="0"/>
    <xf numFmtId="44" fontId="8" fillId="0" borderId="0" applyFont="0" applyFill="0" applyBorder="0" applyAlignment="0" applyProtection="0"/>
    <xf numFmtId="0" fontId="22" fillId="7" borderId="0" applyNumberFormat="0" applyBorder="0" applyAlignment="0" applyProtection="0"/>
    <xf numFmtId="0" fontId="19" fillId="0" borderId="20" applyNumberFormat="0" applyFill="0" applyAlignment="0" applyProtection="0"/>
    <xf numFmtId="0" fontId="20" fillId="0" borderId="21" applyNumberFormat="0" applyFill="0" applyAlignment="0" applyProtection="0"/>
    <xf numFmtId="0" fontId="21" fillId="0" borderId="22" applyNumberFormat="0" applyFill="0" applyAlignment="0" applyProtection="0"/>
    <xf numFmtId="0" fontId="21" fillId="0" borderId="0" applyNumberFormat="0" applyFill="0" applyBorder="0" applyAlignment="0" applyProtection="0"/>
    <xf numFmtId="0" fontId="25" fillId="10" borderId="23" applyNumberFormat="0" applyAlignment="0" applyProtection="0"/>
    <xf numFmtId="0" fontId="28" fillId="0" borderId="25" applyNumberFormat="0" applyFill="0" applyAlignment="0" applyProtection="0"/>
    <xf numFmtId="0" fontId="24" fillId="9" borderId="0" applyNumberFormat="0" applyBorder="0" applyAlignment="0" applyProtection="0"/>
    <xf numFmtId="0" fontId="8" fillId="0" borderId="0"/>
    <xf numFmtId="0" fontId="8" fillId="13" borderId="27" applyNumberFormat="0" applyFont="0" applyAlignment="0" applyProtection="0"/>
    <xf numFmtId="0" fontId="26" fillId="11" borderId="24" applyNumberFormat="0" applyAlignment="0" applyProtection="0"/>
    <xf numFmtId="9" fontId="8" fillId="0" borderId="0" applyFont="0" applyFill="0" applyBorder="0" applyAlignment="0" applyProtection="0"/>
    <xf numFmtId="0" fontId="18" fillId="0" borderId="0" applyNumberFormat="0" applyFill="0" applyBorder="0" applyAlignment="0" applyProtection="0"/>
    <xf numFmtId="0" fontId="11" fillId="0" borderId="28" applyNumberFormat="0" applyFill="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8" fillId="0" borderId="0"/>
    <xf numFmtId="0" fontId="2" fillId="0" borderId="0"/>
    <xf numFmtId="0" fontId="2" fillId="0" borderId="0"/>
    <xf numFmtId="0" fontId="2" fillId="0" borderId="0"/>
    <xf numFmtId="9" fontId="2" fillId="0" borderId="0" applyFont="0" applyFill="0" applyBorder="0" applyAlignment="0" applyProtection="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31" fillId="43"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0" borderId="0" applyNumberFormat="0" applyBorder="0" applyAlignment="0" applyProtection="0"/>
    <xf numFmtId="0" fontId="31" fillId="47"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23" fillId="50" borderId="0" applyNumberFormat="0" applyBorder="0" applyAlignment="0" applyProtection="0"/>
    <xf numFmtId="0" fontId="52" fillId="51" borderId="23"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3" borderId="0" applyNumberFormat="0" applyBorder="0" applyAlignment="0" applyProtection="0"/>
    <xf numFmtId="168"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168"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5" fillId="44" borderId="23" applyNumberFormat="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2"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2" fillId="0" borderId="0"/>
    <xf numFmtId="168" fontId="2" fillId="0" borderId="0"/>
    <xf numFmtId="168" fontId="2" fillId="0" borderId="0"/>
    <xf numFmtId="0" fontId="8" fillId="0" borderId="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26" fillId="51" borderId="24"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168" fontId="2" fillId="0" borderId="0"/>
    <xf numFmtId="0" fontId="8" fillId="0" borderId="0"/>
    <xf numFmtId="0" fontId="39" fillId="0" borderId="22"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168" fontId="34" fillId="0" borderId="0" applyNumberFormat="0" applyFill="0" applyBorder="0" applyAlignment="0" applyProtection="0"/>
    <xf numFmtId="0" fontId="8" fillId="0" borderId="0"/>
    <xf numFmtId="0" fontId="8" fillId="0" borderId="0"/>
    <xf numFmtId="0" fontId="8" fillId="0" borderId="0"/>
    <xf numFmtId="0" fontId="8" fillId="0" borderId="0"/>
    <xf numFmtId="168" fontId="2" fillId="0" borderId="0"/>
    <xf numFmtId="9" fontId="2" fillId="0" borderId="0" applyFont="0" applyFill="0" applyBorder="0" applyAlignment="0" applyProtection="0"/>
    <xf numFmtId="168" fontId="32" fillId="0" borderId="30" applyNumberFormat="0" applyFont="0" applyFill="0" applyAlignment="0" applyProtection="0"/>
    <xf numFmtId="43" fontId="2" fillId="0" borderId="0" applyFont="0" applyFill="0" applyBorder="0" applyAlignment="0" applyProtection="0"/>
    <xf numFmtId="0" fontId="8" fillId="0" borderId="0"/>
    <xf numFmtId="168" fontId="2" fillId="0" borderId="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4"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2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0" borderId="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13" borderId="27"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3" borderId="0" applyNumberFormat="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4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0" borderId="0"/>
    <xf numFmtId="0" fontId="8" fillId="41" borderId="0" applyNumberFormat="0" applyBorder="0" applyAlignment="0" applyProtection="0"/>
    <xf numFmtId="0" fontId="8" fillId="13" borderId="27" applyNumberFormat="0" applyFont="0" applyAlignment="0" applyProtection="0"/>
    <xf numFmtId="0" fontId="8" fillId="44"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1" borderId="0" applyNumberFormat="0" applyBorder="0" applyAlignment="0" applyProtection="0"/>
    <xf numFmtId="0" fontId="8" fillId="0" borderId="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4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19" fillId="0" borderId="20" applyNumberFormat="0" applyFill="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11" fillId="0" borderId="28" applyNumberFormat="0" applyFill="0" applyAlignment="0" applyProtection="0"/>
    <xf numFmtId="0" fontId="20" fillId="0" borderId="21" applyNumberFormat="0" applyFill="0" applyAlignment="0" applyProtection="0"/>
    <xf numFmtId="43" fontId="8" fillId="0" borderId="0" applyFont="0" applyFill="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0" fontId="8" fillId="43" borderId="0" applyNumberFormat="0" applyBorder="0" applyAlignment="0" applyProtection="0"/>
    <xf numFmtId="44" fontId="8" fillId="0" borderId="0" applyFont="0" applyFill="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0" borderId="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4" borderId="0" applyNumberFormat="0" applyBorder="0" applyAlignment="0" applyProtection="0"/>
    <xf numFmtId="0" fontId="8" fillId="0" borderId="0"/>
    <xf numFmtId="168" fontId="8" fillId="0" borderId="0"/>
    <xf numFmtId="0" fontId="8" fillId="0" borderId="0"/>
    <xf numFmtId="168" fontId="8" fillId="0" borderId="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8" fillId="19"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6"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2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4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31" fillId="17" borderId="0" applyNumberFormat="0" applyBorder="0" applyAlignment="0" applyProtection="0"/>
    <xf numFmtId="0" fontId="31"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0" fontId="31" fillId="25" borderId="0" applyNumberFormat="0" applyBorder="0" applyAlignment="0" applyProtection="0"/>
    <xf numFmtId="0" fontId="31" fillId="46" borderId="0" applyNumberFormat="0" applyBorder="0" applyAlignment="0" applyProtection="0"/>
    <xf numFmtId="0" fontId="31" fillId="29" borderId="0" applyNumberFormat="0" applyBorder="0" applyAlignment="0" applyProtection="0"/>
    <xf numFmtId="0" fontId="31" fillId="39" borderId="0" applyNumberFormat="0" applyBorder="0" applyAlignment="0" applyProtection="0"/>
    <xf numFmtId="0" fontId="31" fillId="33" borderId="0" applyNumberFormat="0" applyBorder="0" applyAlignment="0" applyProtection="0"/>
    <xf numFmtId="0" fontId="31" fillId="43" borderId="0" applyNumberFormat="0" applyBorder="0" applyAlignment="0" applyProtection="0"/>
    <xf numFmtId="0" fontId="31" fillId="37" borderId="0" applyNumberFormat="0" applyBorder="0" applyAlignment="0" applyProtection="0"/>
    <xf numFmtId="0" fontId="31" fillId="40"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0" fontId="31" fillId="22" borderId="0" applyNumberFormat="0" applyBorder="0" applyAlignment="0" applyProtection="0"/>
    <xf numFmtId="0" fontId="31" fillId="46" borderId="0" applyNumberFormat="0" applyBorder="0" applyAlignment="0" applyProtection="0"/>
    <xf numFmtId="0" fontId="31" fillId="26" borderId="0" applyNumberFormat="0" applyBorder="0" applyAlignment="0" applyProtection="0"/>
    <xf numFmtId="0" fontId="31" fillId="48" borderId="0" applyNumberFormat="0" applyBorder="0" applyAlignment="0" applyProtection="0"/>
    <xf numFmtId="0" fontId="31" fillId="34" borderId="0" applyNumberFormat="0" applyBorder="0" applyAlignment="0" applyProtection="0"/>
    <xf numFmtId="0" fontId="31" fillId="49" borderId="0" applyNumberFormat="0" applyBorder="0" applyAlignment="0" applyProtection="0"/>
    <xf numFmtId="0" fontId="23" fillId="8" borderId="0" applyNumberFormat="0" applyBorder="0" applyAlignment="0" applyProtection="0"/>
    <xf numFmtId="0" fontId="23" fillId="50" borderId="0" applyNumberFormat="0" applyBorder="0" applyAlignment="0" applyProtection="0"/>
    <xf numFmtId="0" fontId="27" fillId="11" borderId="23" applyNumberFormat="0" applyAlignment="0" applyProtection="0"/>
    <xf numFmtId="0" fontId="52" fillId="51" borderId="2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169" fontId="50" fillId="0" borderId="0"/>
    <xf numFmtId="44" fontId="2" fillId="0" borderId="0" applyFont="0" applyFill="0" applyBorder="0" applyAlignment="0" applyProtection="0"/>
    <xf numFmtId="170" fontId="50"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7" borderId="0" applyNumberFormat="0" applyBorder="0" applyAlignment="0" applyProtection="0"/>
    <xf numFmtId="0" fontId="22" fillId="43" borderId="0" applyNumberFormat="0" applyBorder="0" applyAlignment="0" applyProtection="0"/>
    <xf numFmtId="0" fontId="53" fillId="0" borderId="31" applyNumberFormat="0" applyFill="0" applyAlignment="0" applyProtection="0"/>
    <xf numFmtId="0" fontId="46" fillId="0" borderId="31" applyNumberFormat="0" applyFill="0" applyAlignment="0" applyProtection="0"/>
    <xf numFmtId="0" fontId="19" fillId="0" borderId="20" applyNumberFormat="0" applyFill="0" applyAlignment="0" applyProtection="0"/>
    <xf numFmtId="0" fontId="46" fillId="0" borderId="31" applyNumberFormat="0" applyFill="0" applyAlignment="0" applyProtection="0"/>
    <xf numFmtId="0" fontId="54" fillId="0" borderId="32" applyNumberFormat="0" applyFill="0" applyAlignment="0" applyProtection="0"/>
    <xf numFmtId="0" fontId="47" fillId="0" borderId="32" applyNumberFormat="0" applyFill="0" applyAlignment="0" applyProtection="0"/>
    <xf numFmtId="0" fontId="20" fillId="0" borderId="21" applyNumberFormat="0" applyFill="0" applyAlignment="0" applyProtection="0"/>
    <xf numFmtId="0" fontId="47" fillId="0" borderId="32"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48" fillId="0" borderId="33" applyNumberFormat="0" applyFill="0" applyAlignment="0" applyProtection="0"/>
    <xf numFmtId="0" fontId="21" fillId="0" borderId="22"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21" fillId="0" borderId="0" applyNumberFormat="0" applyFill="0" applyBorder="0" applyAlignment="0" applyProtection="0"/>
    <xf numFmtId="0" fontId="25" fillId="10" borderId="23" applyNumberFormat="0" applyAlignment="0" applyProtection="0"/>
    <xf numFmtId="0" fontId="25" fillId="44" borderId="23" applyNumberFormat="0" applyAlignment="0" applyProtection="0"/>
    <xf numFmtId="0" fontId="43" fillId="0" borderId="34" applyNumberFormat="0" applyFill="0" applyAlignment="0" applyProtection="0"/>
    <xf numFmtId="0" fontId="57" fillId="0" borderId="34" applyNumberFormat="0" applyFill="0" applyAlignment="0" applyProtection="0"/>
    <xf numFmtId="0" fontId="43" fillId="0" borderId="34" applyNumberFormat="0" applyFill="0" applyAlignment="0" applyProtection="0"/>
    <xf numFmtId="0" fontId="28" fillId="0" borderId="25" applyNumberFormat="0" applyFill="0" applyAlignment="0" applyProtection="0"/>
    <xf numFmtId="0" fontId="24" fillId="9" borderId="0" applyNumberFormat="0" applyBorder="0" applyAlignment="0" applyProtection="0"/>
    <xf numFmtId="0" fontId="5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50" fillId="0" borderId="0"/>
    <xf numFmtId="0" fontId="8" fillId="0" borderId="0"/>
    <xf numFmtId="0" fontId="2" fillId="0" borderId="0"/>
    <xf numFmtId="0" fontId="2" fillId="0" borderId="0"/>
    <xf numFmtId="0" fontId="2" fillId="0" borderId="0"/>
    <xf numFmtId="0" fontId="2" fillId="0" borderId="0"/>
    <xf numFmtId="0" fontId="44" fillId="0" borderId="0" applyNumberFormat="0" applyFill="0" applyBorder="0" applyProtection="0">
      <alignment vertical="top" wrapText="1"/>
    </xf>
    <xf numFmtId="0" fontId="50"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2" fillId="0" borderId="0"/>
    <xf numFmtId="0" fontId="2"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8" fillId="13" borderId="27" applyNumberFormat="0" applyFont="0" applyAlignment="0" applyProtection="0"/>
    <xf numFmtId="0" fontId="8" fillId="13" borderId="27" applyNumberFormat="0" applyFont="0" applyAlignment="0" applyProtection="0"/>
    <xf numFmtId="0" fontId="8"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26" fillId="11" borderId="24" applyNumberFormat="0" applyAlignment="0" applyProtection="0"/>
    <xf numFmtId="0" fontId="26" fillId="51" borderId="24" applyNumberForma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2"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18" fillId="0" borderId="0" applyNumberFormat="0" applyFill="0" applyBorder="0" applyAlignment="0" applyProtection="0"/>
    <xf numFmtId="0" fontId="11" fillId="0" borderId="28" applyNumberFormat="0" applyFill="0" applyAlignment="0" applyProtection="0"/>
    <xf numFmtId="0" fontId="11" fillId="0" borderId="35" applyNumberFormat="0" applyFill="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31" fillId="43"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0" borderId="0" applyNumberFormat="0" applyBorder="0" applyAlignment="0" applyProtection="0"/>
    <xf numFmtId="0" fontId="31" fillId="47"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23" fillId="50" borderId="0" applyNumberFormat="0" applyBorder="0" applyAlignment="0" applyProtection="0"/>
    <xf numFmtId="0" fontId="52" fillId="51" borderId="2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3" borderId="0" applyNumberFormat="0" applyBorder="0" applyAlignment="0" applyProtection="0"/>
    <xf numFmtId="0" fontId="46"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47"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5" fillId="44" borderId="23" applyNumberFormat="0" applyAlignment="0" applyProtection="0"/>
    <xf numFmtId="0" fontId="43"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26" fillId="51" borderId="24"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5"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8" fillId="0" borderId="0"/>
    <xf numFmtId="0" fontId="8" fillId="0" borderId="0"/>
    <xf numFmtId="0" fontId="8" fillId="0" borderId="0"/>
    <xf numFmtId="0" fontId="2" fillId="0" borderId="0"/>
    <xf numFmtId="0" fontId="2" fillId="0" borderId="0">
      <alignment vertical="top"/>
    </xf>
    <xf numFmtId="168" fontId="8" fillId="0" borderId="0"/>
    <xf numFmtId="0" fontId="8" fillId="0" borderId="0"/>
    <xf numFmtId="168" fontId="8" fillId="0" borderId="0"/>
    <xf numFmtId="168" fontId="8" fillId="0" borderId="0"/>
    <xf numFmtId="0" fontId="2" fillId="0" borderId="0">
      <alignment vertical="top"/>
    </xf>
    <xf numFmtId="0" fontId="8" fillId="0" borderId="0"/>
    <xf numFmtId="0" fontId="8" fillId="0" borderId="0"/>
    <xf numFmtId="0" fontId="8" fillId="0" borderId="0"/>
    <xf numFmtId="0" fontId="2" fillId="0" borderId="0"/>
    <xf numFmtId="0" fontId="8" fillId="0" borderId="0"/>
    <xf numFmtId="0" fontId="8" fillId="0" borderId="0"/>
    <xf numFmtId="0" fontId="8" fillId="13" borderId="27" applyNumberFormat="0" applyFont="0" applyAlignment="0" applyProtection="0"/>
    <xf numFmtId="0" fontId="8" fillId="13"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 fontId="51" fillId="44" borderId="36" applyNumberFormat="0" applyProtection="0">
      <alignment vertical="center"/>
    </xf>
    <xf numFmtId="4" fontId="60" fillId="44" borderId="36" applyNumberFormat="0" applyProtection="0">
      <alignment vertical="center"/>
    </xf>
    <xf numFmtId="4" fontId="51" fillId="44" borderId="36" applyNumberFormat="0" applyProtection="0">
      <alignment horizontal="left" vertical="center" indent="1"/>
    </xf>
    <xf numFmtId="0" fontId="51" fillId="44" borderId="36" applyNumberFormat="0" applyProtection="0">
      <alignment horizontal="left" vertical="top" indent="1"/>
    </xf>
    <xf numFmtId="4" fontId="51" fillId="52" borderId="0" applyNumberFormat="0" applyProtection="0">
      <alignment horizontal="left" vertical="center" indent="1"/>
    </xf>
    <xf numFmtId="4" fontId="45" fillId="39" borderId="36" applyNumberFormat="0" applyProtection="0">
      <alignment horizontal="right" vertical="center"/>
    </xf>
    <xf numFmtId="4" fontId="45" fillId="40" borderId="36" applyNumberFormat="0" applyProtection="0">
      <alignment horizontal="right" vertical="center"/>
    </xf>
    <xf numFmtId="4" fontId="45" fillId="49" borderId="36" applyNumberFormat="0" applyProtection="0">
      <alignment horizontal="right" vertical="center"/>
    </xf>
    <xf numFmtId="4" fontId="45" fillId="46" borderId="36" applyNumberFormat="0" applyProtection="0">
      <alignment horizontal="right" vertical="center"/>
    </xf>
    <xf numFmtId="4" fontId="45" fillId="53" borderId="36" applyNumberFormat="0" applyProtection="0">
      <alignment horizontal="right" vertical="center"/>
    </xf>
    <xf numFmtId="4" fontId="45" fillId="45" borderId="36" applyNumberFormat="0" applyProtection="0">
      <alignment horizontal="right" vertical="center"/>
    </xf>
    <xf numFmtId="4" fontId="45" fillId="54" borderId="36" applyNumberFormat="0" applyProtection="0">
      <alignment horizontal="right" vertical="center"/>
    </xf>
    <xf numFmtId="4" fontId="45" fillId="55" borderId="36" applyNumberFormat="0" applyProtection="0">
      <alignment horizontal="right" vertical="center"/>
    </xf>
    <xf numFmtId="4" fontId="45" fillId="56" borderId="36" applyNumberFormat="0" applyProtection="0">
      <alignment horizontal="right" vertical="center"/>
    </xf>
    <xf numFmtId="4" fontId="51" fillId="57" borderId="37" applyNumberFormat="0" applyProtection="0">
      <alignment horizontal="left" vertical="center" indent="1"/>
    </xf>
    <xf numFmtId="4" fontId="45" fillId="58" borderId="0" applyNumberFormat="0" applyProtection="0">
      <alignment horizontal="left" vertical="center" indent="1"/>
    </xf>
    <xf numFmtId="4" fontId="61" fillId="48" borderId="0" applyNumberFormat="0" applyProtection="0">
      <alignment horizontal="left" vertical="center" indent="1"/>
    </xf>
    <xf numFmtId="4" fontId="45" fillId="52" borderId="36" applyNumberFormat="0" applyProtection="0">
      <alignment horizontal="right" vertical="center"/>
    </xf>
    <xf numFmtId="4" fontId="45" fillId="58" borderId="0" applyNumberFormat="0" applyProtection="0">
      <alignment horizontal="left" vertical="center" indent="1"/>
    </xf>
    <xf numFmtId="4" fontId="45" fillId="52" borderId="0" applyNumberFormat="0" applyProtection="0">
      <alignment horizontal="left" vertical="center" indent="1"/>
    </xf>
    <xf numFmtId="0" fontId="2" fillId="48" borderId="36" applyNumberFormat="0" applyProtection="0">
      <alignment horizontal="left" vertical="center" indent="1"/>
    </xf>
    <xf numFmtId="0" fontId="2" fillId="48" borderId="36" applyNumberFormat="0" applyProtection="0">
      <alignment horizontal="left" vertical="top" indent="1"/>
    </xf>
    <xf numFmtId="0" fontId="2" fillId="52" borderId="36" applyNumberFormat="0" applyProtection="0">
      <alignment horizontal="left" vertical="center" indent="1"/>
    </xf>
    <xf numFmtId="0" fontId="2" fillId="52" borderId="36" applyNumberFormat="0" applyProtection="0">
      <alignment horizontal="left" vertical="top" indent="1"/>
    </xf>
    <xf numFmtId="0" fontId="2" fillId="38" borderId="36" applyNumberFormat="0" applyProtection="0">
      <alignment horizontal="left" vertical="center" indent="1"/>
    </xf>
    <xf numFmtId="0" fontId="2" fillId="38" borderId="36" applyNumberFormat="0" applyProtection="0">
      <alignment horizontal="left" vertical="top" indent="1"/>
    </xf>
    <xf numFmtId="0" fontId="2" fillId="58" borderId="36" applyNumberFormat="0" applyProtection="0">
      <alignment horizontal="left" vertical="center" indent="1"/>
    </xf>
    <xf numFmtId="0" fontId="2" fillId="58" borderId="36" applyNumberFormat="0" applyProtection="0">
      <alignment horizontal="left" vertical="top" indent="1"/>
    </xf>
    <xf numFmtId="0" fontId="2" fillId="51" borderId="29" applyNumberFormat="0">
      <protection locked="0"/>
    </xf>
    <xf numFmtId="4" fontId="45" fillId="41" borderId="36" applyNumberFormat="0" applyProtection="0">
      <alignment vertical="center"/>
    </xf>
    <xf numFmtId="4" fontId="62" fillId="41" borderId="36" applyNumberFormat="0" applyProtection="0">
      <alignment vertical="center"/>
    </xf>
    <xf numFmtId="4" fontId="45" fillId="41" borderId="36" applyNumberFormat="0" applyProtection="0">
      <alignment horizontal="left" vertical="center" indent="1"/>
    </xf>
    <xf numFmtId="0" fontId="45" fillId="41" borderId="36" applyNumberFormat="0" applyProtection="0">
      <alignment horizontal="left" vertical="top" indent="1"/>
    </xf>
    <xf numFmtId="4" fontId="45" fillId="58" borderId="36" applyNumberFormat="0" applyProtection="0">
      <alignment horizontal="right" vertical="center"/>
    </xf>
    <xf numFmtId="4" fontId="62" fillId="58" borderId="36" applyNumberFormat="0" applyProtection="0">
      <alignment horizontal="right" vertical="center"/>
    </xf>
    <xf numFmtId="4" fontId="45" fillId="52" borderId="36" applyNumberFormat="0" applyProtection="0">
      <alignment horizontal="left" vertical="center" indent="1"/>
    </xf>
    <xf numFmtId="0" fontId="45" fillId="52" borderId="36" applyNumberFormat="0" applyProtection="0">
      <alignment horizontal="left" vertical="top" indent="1"/>
    </xf>
    <xf numFmtId="4" fontId="63" fillId="59" borderId="0" applyNumberFormat="0" applyProtection="0">
      <alignment horizontal="left" vertical="center" indent="1"/>
    </xf>
    <xf numFmtId="4" fontId="41" fillId="58" borderId="36" applyNumberFormat="0" applyProtection="0">
      <alignment horizontal="right" vertical="center"/>
    </xf>
    <xf numFmtId="0" fontId="49" fillId="0" borderId="0" applyNumberForma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3" borderId="27" applyNumberFormat="0" applyFont="0" applyAlignment="0" applyProtection="0"/>
    <xf numFmtId="0" fontId="32" fillId="0" borderId="0" applyFont="0" applyFill="0" applyBorder="0" applyAlignment="0" applyProtection="0"/>
    <xf numFmtId="2" fontId="32" fillId="0" borderId="0" applyFont="0" applyFill="0" applyBorder="0" applyAlignment="0" applyProtection="0"/>
    <xf numFmtId="167" fontId="32" fillId="0" borderId="0" applyFont="0" applyFill="0" applyBorder="0" applyAlignment="0" applyProtection="0"/>
    <xf numFmtId="0" fontId="33" fillId="0" borderId="0" applyNumberFormat="0" applyFill="0" applyBorder="0" applyAlignment="0" applyProtection="0"/>
    <xf numFmtId="0" fontId="8" fillId="0" borderId="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4" fillId="0" borderId="0" applyNumberFormat="0" applyFill="0" applyBorder="0" applyAlignment="0" applyProtection="0"/>
    <xf numFmtId="0" fontId="32" fillId="0" borderId="30" applyNumberFormat="0" applyFon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170" fontId="50" fillId="0" borderId="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46" fillId="0" borderId="31" applyNumberFormat="0" applyFill="0" applyAlignment="0" applyProtection="0"/>
    <xf numFmtId="0" fontId="47" fillId="0" borderId="32" applyNumberFormat="0" applyFill="0" applyAlignment="0" applyProtection="0"/>
    <xf numFmtId="0" fontId="42" fillId="0" borderId="33" applyNumberFormat="0" applyFill="0" applyAlignment="0" applyProtection="0"/>
    <xf numFmtId="0" fontId="40" fillId="0" borderId="0"/>
    <xf numFmtId="0" fontId="2" fillId="0" borderId="0"/>
    <xf numFmtId="0" fontId="1" fillId="0" borderId="0"/>
    <xf numFmtId="0" fontId="40" fillId="0" borderId="0"/>
    <xf numFmtId="0" fontId="40" fillId="0" borderId="0"/>
    <xf numFmtId="0" fontId="40" fillId="0" borderId="0"/>
    <xf numFmtId="0" fontId="40" fillId="0" borderId="0"/>
    <xf numFmtId="0" fontId="2" fillId="0" borderId="0"/>
    <xf numFmtId="9" fontId="2" fillId="0" borderId="0" applyFont="0" applyFill="0" applyBorder="0" applyAlignment="0" applyProtection="0"/>
    <xf numFmtId="9" fontId="50" fillId="0" borderId="0"/>
    <xf numFmtId="9" fontId="2" fillId="0" borderId="0" applyFont="0" applyFill="0" applyBorder="0" applyAlignment="0" applyProtection="0"/>
    <xf numFmtId="9" fontId="1" fillId="0" borderId="0" applyFon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28" applyNumberFormat="0" applyFill="0" applyAlignment="0" applyProtection="0"/>
    <xf numFmtId="44" fontId="2" fillId="0" borderId="0" applyFont="0" applyFill="0" applyBorder="0" applyAlignment="0" applyProtection="0"/>
    <xf numFmtId="43" fontId="2" fillId="0" borderId="0" applyFont="0" applyFill="0" applyBorder="0" applyAlignment="0" applyProtection="0"/>
    <xf numFmtId="0" fontId="8" fillId="0" borderId="0"/>
    <xf numFmtId="168" fontId="2" fillId="0" borderId="0"/>
    <xf numFmtId="0" fontId="8" fillId="0" borderId="0"/>
    <xf numFmtId="0" fontId="8" fillId="13" borderId="27" applyNumberFormat="0" applyFont="0" applyAlignment="0" applyProtection="0"/>
    <xf numFmtId="9" fontId="8" fillId="0" borderId="0" applyFont="0" applyFill="0" applyBorder="0" applyAlignment="0" applyProtection="0"/>
    <xf numFmtId="0" fontId="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15" borderId="0" applyNumberFormat="0" applyBorder="0" applyAlignment="0" applyProtection="0"/>
    <xf numFmtId="0" fontId="8" fillId="16" borderId="0" applyNumberFormat="0" applyBorder="0" applyAlignment="0" applyProtection="0"/>
    <xf numFmtId="0" fontId="2" fillId="0" borderId="0"/>
    <xf numFmtId="0" fontId="2" fillId="0" borderId="0"/>
    <xf numFmtId="0" fontId="8" fillId="19" borderId="0" applyNumberFormat="0" applyBorder="0" applyAlignment="0" applyProtection="0"/>
    <xf numFmtId="0" fontId="2" fillId="0" borderId="0"/>
    <xf numFmtId="0" fontId="2" fillId="0" borderId="0"/>
    <xf numFmtId="0" fontId="8" fillId="23" borderId="0" applyNumberFormat="0" applyBorder="0" applyAlignment="0" applyProtection="0"/>
    <xf numFmtId="0" fontId="8" fillId="24" borderId="0" applyNumberFormat="0" applyBorder="0" applyAlignment="0" applyProtection="0"/>
    <xf numFmtId="0" fontId="2" fillId="0" borderId="0"/>
    <xf numFmtId="0" fontId="2" fillId="0" borderId="0"/>
    <xf numFmtId="0" fontId="8" fillId="27" borderId="0" applyNumberFormat="0" applyBorder="0" applyAlignment="0" applyProtection="0"/>
    <xf numFmtId="0" fontId="8" fillId="28" borderId="0" applyNumberFormat="0" applyBorder="0" applyAlignment="0" applyProtection="0"/>
    <xf numFmtId="0" fontId="2" fillId="0" borderId="0"/>
    <xf numFmtId="0" fontId="8" fillId="32" borderId="0" applyNumberFormat="0" applyBorder="0" applyAlignment="0" applyProtection="0"/>
    <xf numFmtId="0" fontId="2" fillId="0" borderId="0"/>
    <xf numFmtId="0" fontId="2" fillId="0" borderId="0"/>
    <xf numFmtId="0" fontId="8" fillId="35" borderId="0" applyNumberFormat="0" applyBorder="0" applyAlignment="0" applyProtection="0"/>
    <xf numFmtId="0" fontId="8" fillId="36" borderId="0" applyNumberFormat="0" applyBorder="0" applyAlignment="0" applyProtection="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20" borderId="0" applyNumberFormat="0" applyBorder="0" applyAlignment="0" applyProtection="0"/>
    <xf numFmtId="0" fontId="2" fillId="0" borderId="0"/>
    <xf numFmtId="0" fontId="8" fillId="3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2" fillId="0" borderId="0"/>
    <xf numFmtId="0" fontId="8" fillId="0" borderId="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4"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2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0" borderId="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13" borderId="27"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3" borderId="0" applyNumberFormat="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4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0" borderId="0"/>
    <xf numFmtId="0" fontId="8" fillId="41" borderId="0" applyNumberFormat="0" applyBorder="0" applyAlignment="0" applyProtection="0"/>
    <xf numFmtId="0" fontId="8" fillId="13" borderId="27" applyNumberFormat="0" applyFont="0" applyAlignment="0" applyProtection="0"/>
    <xf numFmtId="0" fontId="8" fillId="44"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1" borderId="0" applyNumberFormat="0" applyBorder="0" applyAlignment="0" applyProtection="0"/>
    <xf numFmtId="0" fontId="8" fillId="0" borderId="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4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0" fontId="8" fillId="43" borderId="0" applyNumberFormat="0" applyBorder="0" applyAlignment="0" applyProtection="0"/>
    <xf numFmtId="44" fontId="8" fillId="0" borderId="0" applyFont="0" applyFill="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0" borderId="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4" borderId="0" applyNumberFormat="0" applyBorder="0" applyAlignment="0" applyProtection="0"/>
    <xf numFmtId="0" fontId="8" fillId="0" borderId="0"/>
    <xf numFmtId="168" fontId="8" fillId="0" borderId="0"/>
    <xf numFmtId="0" fontId="8" fillId="0" borderId="0"/>
    <xf numFmtId="168" fontId="8" fillId="0" borderId="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8" fillId="19"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6"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2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4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3" borderId="27" applyNumberFormat="0" applyFont="0" applyAlignment="0" applyProtection="0"/>
    <xf numFmtId="0" fontId="8" fillId="13" borderId="27" applyNumberFormat="0" applyFont="0" applyAlignment="0" applyProtection="0"/>
    <xf numFmtId="0" fontId="8" fillId="13" borderId="27" applyNumberFormat="0" applyFont="0" applyAlignment="0" applyProtection="0"/>
    <xf numFmtId="0" fontId="8" fillId="13"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5"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13" borderId="27" applyNumberFormat="0" applyFont="0" applyAlignment="0" applyProtection="0"/>
    <xf numFmtId="0" fontId="8" fillId="13"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3" borderId="27" applyNumberFormat="0" applyFont="0" applyAlignment="0" applyProtection="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13" borderId="27" applyNumberFormat="0" applyFont="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40" fillId="0" borderId="0"/>
    <xf numFmtId="43" fontId="1" fillId="0" borderId="0" applyFont="0" applyFill="0" applyBorder="0" applyAlignment="0" applyProtection="0"/>
    <xf numFmtId="0" fontId="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43" fontId="2" fillId="0" borderId="0" applyFont="0" applyFill="0" applyBorder="0" applyAlignment="0" applyProtection="0"/>
    <xf numFmtId="0" fontId="8" fillId="0" borderId="0"/>
    <xf numFmtId="0" fontId="8" fillId="0" borderId="0"/>
    <xf numFmtId="0" fontId="8" fillId="0" borderId="0"/>
    <xf numFmtId="0" fontId="8" fillId="0" borderId="0"/>
    <xf numFmtId="37" fontId="40"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36" fillId="0" borderId="0"/>
    <xf numFmtId="0" fontId="8" fillId="0" borderId="0"/>
    <xf numFmtId="0" fontId="8" fillId="0" borderId="0"/>
    <xf numFmtId="0" fontId="8" fillId="0" borderId="0"/>
    <xf numFmtId="0" fontId="8" fillId="0" borderId="0"/>
    <xf numFmtId="168" fontId="8" fillId="0" borderId="0"/>
    <xf numFmtId="0" fontId="36" fillId="0" borderId="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9" fontId="8" fillId="0" borderId="0" applyFont="0" applyFill="0" applyBorder="0" applyAlignment="0" applyProtection="0"/>
    <xf numFmtId="43" fontId="8" fillId="0" borderId="0" applyFont="0" applyFill="0" applyBorder="0" applyAlignment="0" applyProtection="0"/>
    <xf numFmtId="0" fontId="2" fillId="0" borderId="0"/>
    <xf numFmtId="0" fontId="12" fillId="12" borderId="26" applyNumberFormat="0" applyAlignment="0" applyProtection="0"/>
    <xf numFmtId="0" fontId="29" fillId="0" borderId="0" applyNumberFormat="0" applyFill="0" applyBorder="0" applyAlignment="0" applyProtection="0"/>
    <xf numFmtId="0" fontId="8" fillId="13" borderId="27" applyNumberFormat="0" applyFont="0" applyAlignment="0" applyProtection="0"/>
    <xf numFmtId="0" fontId="30" fillId="0" borderId="0" applyNumberFormat="0" applyFill="0" applyBorder="0" applyAlignment="0" applyProtection="0"/>
    <xf numFmtId="0" fontId="31" fillId="30" borderId="0" applyNumberFormat="0" applyBorder="0" applyAlignment="0" applyProtection="0"/>
    <xf numFmtId="37" fontId="36" fillId="0" borderId="0"/>
    <xf numFmtId="0" fontId="36" fillId="0" borderId="0"/>
    <xf numFmtId="0" fontId="36" fillId="0" borderId="0"/>
    <xf numFmtId="0" fontId="36" fillId="0" borderId="0"/>
    <xf numFmtId="0" fontId="36" fillId="0" borderId="0"/>
    <xf numFmtId="0" fontId="65" fillId="0" borderId="0"/>
    <xf numFmtId="0" fontId="65" fillId="0" borderId="0"/>
    <xf numFmtId="0" fontId="66" fillId="0" borderId="20" applyNumberFormat="0" applyFill="0" applyAlignment="0" applyProtection="0"/>
    <xf numFmtId="0" fontId="67" fillId="0" borderId="21" applyNumberFormat="0" applyFill="0" applyAlignment="0" applyProtection="0"/>
    <xf numFmtId="0" fontId="68" fillId="0" borderId="22" applyNumberFormat="0" applyFill="0" applyAlignment="0" applyProtection="0"/>
    <xf numFmtId="0" fontId="68" fillId="0" borderId="0" applyNumberFormat="0" applyFill="0" applyBorder="0" applyAlignment="0" applyProtection="0"/>
    <xf numFmtId="0" fontId="69" fillId="7" borderId="0" applyNumberFormat="0" applyBorder="0" applyAlignment="0" applyProtection="0"/>
    <xf numFmtId="0" fontId="70" fillId="8" borderId="0" applyNumberFormat="0" applyBorder="0" applyAlignment="0" applyProtection="0"/>
    <xf numFmtId="0" fontId="71" fillId="9" borderId="0" applyNumberFormat="0" applyBorder="0" applyAlignment="0" applyProtection="0"/>
    <xf numFmtId="0" fontId="72" fillId="10" borderId="23" applyNumberFormat="0" applyAlignment="0" applyProtection="0"/>
    <xf numFmtId="0" fontId="73" fillId="11" borderId="24" applyNumberFormat="0" applyAlignment="0" applyProtection="0"/>
    <xf numFmtId="0" fontId="74" fillId="11" borderId="23" applyNumberFormat="0" applyAlignment="0" applyProtection="0"/>
    <xf numFmtId="0" fontId="75" fillId="0" borderId="25" applyNumberFormat="0" applyFill="0" applyAlignment="0" applyProtection="0"/>
    <xf numFmtId="0" fontId="76" fillId="12" borderId="26" applyNumberFormat="0" applyAlignment="0" applyProtection="0"/>
    <xf numFmtId="0" fontId="77" fillId="0" borderId="0" applyNumberFormat="0" applyFill="0" applyBorder="0" applyAlignment="0" applyProtection="0"/>
    <xf numFmtId="0" fontId="65" fillId="13" borderId="27" applyNumberFormat="0" applyFont="0" applyAlignment="0" applyProtection="0"/>
    <xf numFmtId="0" fontId="78" fillId="0" borderId="0" applyNumberFormat="0" applyFill="0" applyBorder="0" applyAlignment="0" applyProtection="0"/>
    <xf numFmtId="0" fontId="79" fillId="0" borderId="28" applyNumberFormat="0" applyFill="0" applyAlignment="0" applyProtection="0"/>
    <xf numFmtId="0" fontId="80"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65" fillId="27" borderId="0" applyNumberFormat="0" applyBorder="0" applyAlignment="0" applyProtection="0"/>
    <xf numFmtId="0" fontId="65" fillId="28"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65" fillId="31" borderId="0" applyNumberFormat="0" applyBorder="0" applyAlignment="0" applyProtection="0"/>
    <xf numFmtId="0" fontId="65" fillId="32"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65" fillId="35" borderId="0" applyNumberFormat="0" applyBorder="0" applyAlignment="0" applyProtection="0"/>
    <xf numFmtId="0" fontId="65" fillId="36" borderId="0" applyNumberFormat="0" applyBorder="0" applyAlignment="0" applyProtection="0"/>
    <xf numFmtId="0" fontId="80" fillId="37" borderId="0" applyNumberFormat="0" applyBorder="0" applyAlignment="0" applyProtection="0"/>
    <xf numFmtId="44" fontId="65" fillId="0" borderId="0" applyFont="0" applyFill="0" applyBorder="0" applyAlignment="0" applyProtection="0"/>
    <xf numFmtId="43" fontId="65" fillId="0" borderId="0" applyFont="0" applyFill="0" applyBorder="0" applyAlignment="0" applyProtection="0"/>
    <xf numFmtId="0" fontId="2" fillId="0" borderId="0">
      <alignment vertical="top"/>
    </xf>
    <xf numFmtId="4" fontId="2" fillId="0" borderId="0" applyFont="0" applyFill="0" applyBorder="0" applyAlignment="0" applyProtection="0"/>
    <xf numFmtId="7" fontId="2" fillId="0" borderId="0" applyFont="0" applyFill="0" applyBorder="0" applyAlignment="0" applyProtection="0"/>
    <xf numFmtId="0" fontId="81" fillId="0" borderId="0" applyNumberFormat="0" applyFont="0" applyFill="0" applyAlignment="0" applyProtection="0"/>
    <xf numFmtId="0" fontId="64" fillId="0" borderId="0" applyNumberFormat="0" applyFont="0" applyFill="0" applyAlignment="0" applyProtection="0"/>
    <xf numFmtId="0" fontId="2" fillId="0" borderId="38" applyNumberFormat="0" applyFont="0" applyBorder="0" applyAlignment="0" applyProtection="0"/>
    <xf numFmtId="0" fontId="2" fillId="0" borderId="0">
      <alignment vertical="top"/>
    </xf>
    <xf numFmtId="0" fontId="2" fillId="0" borderId="0">
      <alignment vertical="top"/>
    </xf>
    <xf numFmtId="44" fontId="65" fillId="0" borderId="0" applyFont="0" applyFill="0" applyBorder="0" applyAlignment="0" applyProtection="0"/>
    <xf numFmtId="9" fontId="65" fillId="0" borderId="0" applyFont="0" applyFill="0" applyBorder="0" applyAlignment="0" applyProtection="0"/>
    <xf numFmtId="0" fontId="35" fillId="0" borderId="0" applyNumberFormat="0" applyFill="0" applyBorder="0" applyAlignment="0" applyProtection="0">
      <alignment vertical="top"/>
      <protection locked="0"/>
    </xf>
    <xf numFmtId="43" fontId="2" fillId="0" borderId="0" applyFont="0" applyFill="0" applyBorder="0" applyAlignment="0" applyProtection="0"/>
    <xf numFmtId="0" fontId="82" fillId="0" borderId="0" applyNumberFormat="0" applyFill="0" applyBorder="0" applyAlignment="0" applyProtection="0"/>
    <xf numFmtId="43" fontId="8" fillId="0" borderId="0" applyFont="0" applyFill="0" applyBorder="0" applyAlignment="0" applyProtection="0"/>
    <xf numFmtId="0" fontId="18" fillId="0" borderId="0" applyNumberFormat="0" applyFill="0" applyBorder="0" applyAlignment="0" applyProtection="0"/>
    <xf numFmtId="0" fontId="83" fillId="0" borderId="0"/>
    <xf numFmtId="0" fontId="84" fillId="9"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4" fontId="8" fillId="0" borderId="0" applyFont="0" applyFill="0" applyBorder="0" applyAlignment="0" applyProtection="0"/>
    <xf numFmtId="0" fontId="119" fillId="0" borderId="0"/>
  </cellStyleXfs>
  <cellXfs count="2214">
    <xf numFmtId="0" fontId="0" fillId="0" borderId="0" xfId="0"/>
    <xf numFmtId="0" fontId="11" fillId="0" borderId="0" xfId="0" applyFont="1"/>
    <xf numFmtId="0" fontId="0" fillId="0" borderId="0" xfId="0" applyAlignment="1">
      <alignment wrapText="1"/>
    </xf>
    <xf numFmtId="0" fontId="13" fillId="0" borderId="0" xfId="0" applyFont="1" applyAlignment="1">
      <alignment wrapText="1"/>
    </xf>
    <xf numFmtId="43" fontId="8" fillId="0" borderId="0" xfId="4" applyFont="1" applyProtection="1"/>
    <xf numFmtId="0" fontId="0" fillId="0" borderId="0" xfId="0" applyProtection="1"/>
    <xf numFmtId="172" fontId="0" fillId="0" borderId="0" xfId="0" applyNumberFormat="1" applyProtection="1"/>
    <xf numFmtId="0" fontId="2" fillId="0" borderId="0" xfId="6628"/>
    <xf numFmtId="172" fontId="2" fillId="0" borderId="0" xfId="6628" applyNumberFormat="1"/>
    <xf numFmtId="0" fontId="85" fillId="0" borderId="0" xfId="6628" applyFont="1"/>
    <xf numFmtId="0" fontId="86" fillId="0" borderId="0" xfId="6628" applyFont="1"/>
    <xf numFmtId="0" fontId="87" fillId="0" borderId="0" xfId="6628" applyFont="1"/>
    <xf numFmtId="0" fontId="91" fillId="0" borderId="0" xfId="0" applyFont="1" applyAlignment="1">
      <alignment vertical="center"/>
    </xf>
    <xf numFmtId="0" fontId="95" fillId="0" borderId="0" xfId="8" applyFont="1" applyProtection="1"/>
    <xf numFmtId="0" fontId="95" fillId="0" borderId="0" xfId="8" applyFont="1" applyFill="1" applyProtection="1"/>
    <xf numFmtId="0" fontId="95" fillId="0" borderId="0" xfId="8" applyFont="1" applyFill="1" applyBorder="1" applyProtection="1"/>
    <xf numFmtId="0" fontId="94" fillId="0" borderId="0" xfId="8" applyFont="1" applyProtection="1"/>
    <xf numFmtId="9" fontId="94" fillId="0" borderId="0" xfId="10" applyFont="1" applyProtection="1"/>
    <xf numFmtId="172" fontId="93" fillId="0" borderId="0" xfId="6628" applyNumberFormat="1" applyFont="1"/>
    <xf numFmtId="174" fontId="2" fillId="0" borderId="0" xfId="6628" applyNumberFormat="1"/>
    <xf numFmtId="172" fontId="2" fillId="0" borderId="1" xfId="6628" applyNumberFormat="1" applyBorder="1"/>
    <xf numFmtId="172" fontId="95" fillId="0" borderId="0" xfId="6628" applyNumberFormat="1" applyFont="1"/>
    <xf numFmtId="0" fontId="87" fillId="0" borderId="0" xfId="0" applyFont="1" applyProtection="1"/>
    <xf numFmtId="0" fontId="86" fillId="0" borderId="0" xfId="0" applyFont="1" applyProtection="1"/>
    <xf numFmtId="0" fontId="88" fillId="65" borderId="0" xfId="0" applyFont="1" applyFill="1" applyProtection="1"/>
    <xf numFmtId="0" fontId="64" fillId="6" borderId="0" xfId="0" applyFont="1" applyFill="1" applyProtection="1"/>
    <xf numFmtId="0" fontId="88" fillId="65" borderId="0" xfId="0" applyFont="1" applyFill="1"/>
    <xf numFmtId="0" fontId="99" fillId="65" borderId="0" xfId="0" quotePrefix="1" applyFont="1" applyFill="1"/>
    <xf numFmtId="0" fontId="15" fillId="0" borderId="0" xfId="6628" applyFont="1"/>
    <xf numFmtId="0" fontId="98" fillId="6" borderId="0" xfId="6628" applyFont="1" applyFill="1"/>
    <xf numFmtId="0" fontId="64" fillId="6" borderId="0" xfId="6628" applyFont="1" applyFill="1"/>
    <xf numFmtId="0" fontId="14" fillId="0" borderId="0" xfId="8" applyFont="1" applyAlignment="1" applyProtection="1">
      <alignment horizontal="center"/>
    </xf>
    <xf numFmtId="0" fontId="14" fillId="0" borderId="0" xfId="8" applyFont="1" applyAlignment="1" applyProtection="1">
      <alignment horizontal="left"/>
    </xf>
    <xf numFmtId="0" fontId="15" fillId="6" borderId="0" xfId="6628" applyFont="1" applyFill="1"/>
    <xf numFmtId="44" fontId="95" fillId="0" borderId="0" xfId="8" applyNumberFormat="1" applyFont="1" applyFill="1" applyBorder="1" applyProtection="1"/>
    <xf numFmtId="173" fontId="95" fillId="0" borderId="0" xfId="8" applyNumberFormat="1" applyFont="1" applyProtection="1"/>
    <xf numFmtId="0" fontId="103" fillId="0" borderId="0" xfId="0" applyFont="1" applyProtection="1"/>
    <xf numFmtId="0" fontId="92" fillId="0" borderId="0" xfId="0" applyFont="1" applyProtection="1"/>
    <xf numFmtId="0" fontId="92" fillId="0" borderId="0" xfId="0" applyFont="1" applyFill="1" applyProtection="1"/>
    <xf numFmtId="0" fontId="92" fillId="0" borderId="0" xfId="0" applyFont="1" applyAlignment="1" applyProtection="1">
      <alignment horizontal="center"/>
    </xf>
    <xf numFmtId="0" fontId="91" fillId="0" borderId="0" xfId="0" applyFont="1" applyProtection="1"/>
    <xf numFmtId="174" fontId="92" fillId="0" borderId="0" xfId="0" applyNumberFormat="1" applyFont="1" applyFill="1" applyBorder="1" applyAlignment="1" applyProtection="1">
      <alignment horizontal="center"/>
    </xf>
    <xf numFmtId="0" fontId="104" fillId="65" borderId="0" xfId="0" applyFont="1" applyFill="1" applyProtection="1"/>
    <xf numFmtId="0" fontId="91" fillId="0" borderId="0" xfId="0" applyFont="1" applyFill="1" applyProtection="1"/>
    <xf numFmtId="0" fontId="94" fillId="0" borderId="0" xfId="6628" applyFont="1"/>
    <xf numFmtId="0" fontId="104" fillId="6" borderId="0" xfId="0" applyFont="1" applyFill="1" applyProtection="1"/>
    <xf numFmtId="0" fontId="92" fillId="6" borderId="0" xfId="0" applyFont="1" applyFill="1" applyProtection="1"/>
    <xf numFmtId="0" fontId="94" fillId="0" borderId="0" xfId="0" applyFont="1" applyProtection="1"/>
    <xf numFmtId="0" fontId="100" fillId="0" borderId="0" xfId="0" applyFont="1" applyProtection="1"/>
    <xf numFmtId="0" fontId="91" fillId="3" borderId="0" xfId="0" applyFont="1" applyFill="1" applyBorder="1" applyProtection="1"/>
    <xf numFmtId="0" fontId="91" fillId="0" borderId="0" xfId="0" applyFont="1" applyAlignment="1" applyProtection="1">
      <alignment horizontal="center"/>
    </xf>
    <xf numFmtId="0" fontId="91" fillId="0" borderId="0" xfId="0" applyFont="1" applyAlignment="1" applyProtection="1">
      <alignment wrapText="1"/>
    </xf>
    <xf numFmtId="0" fontId="91" fillId="0" borderId="0" xfId="0" applyFont="1" applyAlignment="1" applyProtection="1">
      <alignment horizontal="left" wrapText="1"/>
    </xf>
    <xf numFmtId="8" fontId="91" fillId="3" borderId="0" xfId="0" applyNumberFormat="1" applyFont="1" applyFill="1" applyBorder="1" applyProtection="1"/>
    <xf numFmtId="0" fontId="91" fillId="0" borderId="0" xfId="0" applyFont="1" applyFill="1" applyBorder="1" applyProtection="1"/>
    <xf numFmtId="0" fontId="91" fillId="0" borderId="0" xfId="0" applyFont="1" applyAlignment="1" applyProtection="1"/>
    <xf numFmtId="0" fontId="92" fillId="0" borderId="0" xfId="0" applyFont="1" applyFill="1" applyBorder="1" applyProtection="1"/>
    <xf numFmtId="0" fontId="92" fillId="3" borderId="0" xfId="0" applyFont="1" applyFill="1" applyBorder="1" applyProtection="1"/>
    <xf numFmtId="6" fontId="92" fillId="0" borderId="0" xfId="0" applyNumberFormat="1" applyFont="1" applyBorder="1" applyAlignment="1" applyProtection="1">
      <alignment horizontal="center" wrapText="1"/>
    </xf>
    <xf numFmtId="0" fontId="92" fillId="0" borderId="0" xfId="0" applyFont="1" applyFill="1" applyBorder="1" applyAlignment="1" applyProtection="1">
      <alignment horizontal="center" wrapText="1"/>
    </xf>
    <xf numFmtId="0" fontId="92" fillId="0" borderId="0" xfId="0" applyFont="1" applyFill="1" applyBorder="1" applyAlignment="1" applyProtection="1">
      <alignment horizontal="center"/>
    </xf>
    <xf numFmtId="8" fontId="91" fillId="0" borderId="0" xfId="0" applyNumberFormat="1" applyFont="1" applyProtection="1"/>
    <xf numFmtId="172" fontId="91" fillId="0" borderId="0" xfId="0" applyNumberFormat="1" applyFont="1" applyProtection="1"/>
    <xf numFmtId="172" fontId="91" fillId="0" borderId="0" xfId="0" applyNumberFormat="1" applyFont="1" applyAlignment="1" applyProtection="1">
      <alignment horizontal="center"/>
    </xf>
    <xf numFmtId="165" fontId="91" fillId="0" borderId="0" xfId="0" applyNumberFormat="1" applyFont="1" applyAlignment="1" applyProtection="1">
      <alignment horizontal="center"/>
    </xf>
    <xf numFmtId="164" fontId="91" fillId="3" borderId="0" xfId="0" applyNumberFormat="1" applyFont="1" applyFill="1" applyBorder="1" applyProtection="1"/>
    <xf numFmtId="172" fontId="91" fillId="0" borderId="0" xfId="0" applyNumberFormat="1" applyFont="1" applyAlignment="1" applyProtection="1">
      <alignment horizontal="center" vertical="top"/>
    </xf>
    <xf numFmtId="172" fontId="91" fillId="0" borderId="0" xfId="0" applyNumberFormat="1" applyFont="1" applyFill="1" applyAlignment="1" applyProtection="1">
      <alignment horizontal="center" vertical="top"/>
    </xf>
    <xf numFmtId="0" fontId="91" fillId="0" borderId="0" xfId="0" applyFont="1" applyBorder="1" applyProtection="1"/>
    <xf numFmtId="172" fontId="91" fillId="0" borderId="0" xfId="0" applyNumberFormat="1" applyFont="1" applyBorder="1" applyAlignment="1" applyProtection="1">
      <alignment horizontal="center" vertical="top"/>
    </xf>
    <xf numFmtId="174" fontId="91" fillId="0" borderId="0" xfId="0" applyNumberFormat="1" applyFont="1" applyProtection="1"/>
    <xf numFmtId="0" fontId="103" fillId="0" borderId="0" xfId="0" applyFont="1"/>
    <xf numFmtId="0" fontId="92" fillId="0" borderId="0" xfId="0" applyFont="1" applyAlignment="1">
      <alignment horizontal="center"/>
    </xf>
    <xf numFmtId="0" fontId="92" fillId="60" borderId="0" xfId="0" applyFont="1" applyFill="1"/>
    <xf numFmtId="0" fontId="104" fillId="65" borderId="0" xfId="0" applyFont="1" applyFill="1"/>
    <xf numFmtId="0" fontId="91" fillId="0" borderId="0" xfId="0" applyFont="1"/>
    <xf numFmtId="0" fontId="92" fillId="6" borderId="0" xfId="0" applyFont="1" applyFill="1"/>
    <xf numFmtId="0" fontId="92" fillId="0" borderId="0" xfId="0" applyFont="1" applyFill="1"/>
    <xf numFmtId="0" fontId="94" fillId="0" borderId="0" xfId="0" applyFont="1"/>
    <xf numFmtId="0" fontId="91" fillId="0" borderId="0" xfId="0" applyFont="1" applyFill="1"/>
    <xf numFmtId="0" fontId="100" fillId="0" borderId="0" xfId="0" applyFont="1"/>
    <xf numFmtId="0" fontId="92" fillId="0" borderId="0" xfId="0" applyFont="1"/>
    <xf numFmtId="0" fontId="92" fillId="0" borderId="0" xfId="0" applyFont="1" applyFill="1" applyBorder="1" applyAlignment="1">
      <alignment horizontal="center"/>
    </xf>
    <xf numFmtId="0" fontId="92" fillId="0" borderId="1" xfId="0" applyFont="1" applyFill="1" applyBorder="1" applyAlignment="1">
      <alignment horizontal="center"/>
    </xf>
    <xf numFmtId="172" fontId="91" fillId="0" borderId="0" xfId="0" applyNumberFormat="1" applyFont="1" applyFill="1" applyBorder="1" applyAlignment="1">
      <alignment horizontal="center"/>
    </xf>
    <xf numFmtId="0" fontId="91" fillId="0" borderId="0" xfId="0" applyFont="1" applyFill="1" applyBorder="1" applyAlignment="1">
      <alignment horizontal="center"/>
    </xf>
    <xf numFmtId="172" fontId="91" fillId="0" borderId="0" xfId="0" applyNumberFormat="1" applyFont="1" applyAlignment="1">
      <alignment horizontal="center" vertical="top"/>
    </xf>
    <xf numFmtId="165" fontId="91" fillId="0" borderId="0" xfId="0" applyNumberFormat="1" applyFont="1"/>
    <xf numFmtId="165" fontId="91" fillId="0" borderId="0" xfId="0" applyNumberFormat="1" applyFont="1" applyAlignment="1">
      <alignment horizontal="center" vertical="top"/>
    </xf>
    <xf numFmtId="5" fontId="91" fillId="0" borderId="0" xfId="0" applyNumberFormat="1" applyFont="1"/>
    <xf numFmtId="7" fontId="91" fillId="0" borderId="0" xfId="0" applyNumberFormat="1" applyFont="1"/>
    <xf numFmtId="0" fontId="91" fillId="63" borderId="1" xfId="0" applyFont="1" applyFill="1" applyBorder="1"/>
    <xf numFmtId="165" fontId="91" fillId="0" borderId="0" xfId="0" applyNumberFormat="1" applyFont="1" applyFill="1"/>
    <xf numFmtId="0" fontId="92" fillId="0" borderId="1" xfId="0" applyFont="1" applyBorder="1" applyAlignment="1">
      <alignment horizontal="center"/>
    </xf>
    <xf numFmtId="0" fontId="91" fillId="0" borderId="1" xfId="0" applyFont="1" applyBorder="1"/>
    <xf numFmtId="0" fontId="91" fillId="0" borderId="0" xfId="0" applyFont="1" applyAlignment="1">
      <alignment horizontal="left" indent="1"/>
    </xf>
    <xf numFmtId="0" fontId="92" fillId="0" borderId="0" xfId="0" applyFont="1" applyAlignment="1">
      <alignment horizontal="right"/>
    </xf>
    <xf numFmtId="0" fontId="92" fillId="0" borderId="0" xfId="0" applyFont="1" applyFill="1" applyAlignment="1">
      <alignment horizontal="center"/>
    </xf>
    <xf numFmtId="0" fontId="91" fillId="0" borderId="0" xfId="0" applyFont="1" applyBorder="1" applyAlignment="1">
      <alignment horizontal="left" indent="1"/>
    </xf>
    <xf numFmtId="0" fontId="100" fillId="0" borderId="0" xfId="7" applyFont="1" applyFill="1" applyBorder="1" applyAlignment="1" applyProtection="1">
      <alignment horizontal="right" wrapText="1" indent="1"/>
    </xf>
    <xf numFmtId="0" fontId="91" fillId="0" borderId="0" xfId="0" applyFont="1" applyFill="1" applyBorder="1"/>
    <xf numFmtId="0" fontId="100" fillId="0" borderId="0" xfId="7" applyFont="1" applyBorder="1" applyAlignment="1" applyProtection="1">
      <alignment horizontal="right" wrapText="1" indent="1"/>
    </xf>
    <xf numFmtId="0" fontId="91" fillId="3" borderId="0" xfId="0" applyFont="1" applyFill="1" applyBorder="1"/>
    <xf numFmtId="164" fontId="91" fillId="3" borderId="0" xfId="0" applyNumberFormat="1" applyFont="1" applyFill="1" applyBorder="1" applyAlignment="1">
      <alignment horizontal="center" vertical="top"/>
    </xf>
    <xf numFmtId="0" fontId="91" fillId="3" borderId="1" xfId="0" applyFont="1" applyFill="1" applyBorder="1"/>
    <xf numFmtId="0" fontId="91" fillId="0" borderId="1" xfId="0" applyFont="1" applyFill="1" applyBorder="1"/>
    <xf numFmtId="0" fontId="91" fillId="3" borderId="47" xfId="0" applyFont="1" applyFill="1" applyBorder="1"/>
    <xf numFmtId="164" fontId="91" fillId="3" borderId="47" xfId="0" applyNumberFormat="1" applyFont="1" applyFill="1" applyBorder="1" applyAlignment="1">
      <alignment horizontal="center" vertical="top"/>
    </xf>
    <xf numFmtId="0" fontId="91" fillId="0" borderId="47" xfId="0" applyFont="1" applyFill="1" applyBorder="1"/>
    <xf numFmtId="0" fontId="92" fillId="3" borderId="0" xfId="0" applyFont="1" applyFill="1" applyBorder="1"/>
    <xf numFmtId="0" fontId="92" fillId="3" borderId="0" xfId="0" applyFont="1" applyFill="1" applyBorder="1" applyAlignment="1">
      <alignment horizontal="right"/>
    </xf>
    <xf numFmtId="0" fontId="92" fillId="3" borderId="0" xfId="0" applyFont="1" applyFill="1" applyBorder="1" applyAlignment="1">
      <alignment horizontal="center"/>
    </xf>
    <xf numFmtId="0" fontId="92" fillId="0" borderId="1" xfId="0" applyFont="1" applyFill="1" applyBorder="1" applyAlignment="1">
      <alignment horizontal="right"/>
    </xf>
    <xf numFmtId="9" fontId="91" fillId="3" borderId="0" xfId="9" applyFont="1" applyFill="1" applyBorder="1" applyAlignment="1">
      <alignment horizontal="center" vertical="top"/>
    </xf>
    <xf numFmtId="0" fontId="100" fillId="0" borderId="0" xfId="7" applyFont="1" applyFill="1" applyBorder="1" applyAlignment="1" applyProtection="1">
      <alignment horizontal="right" wrapText="1"/>
    </xf>
    <xf numFmtId="0" fontId="102" fillId="0" borderId="0" xfId="0" applyFont="1" applyProtection="1"/>
    <xf numFmtId="0" fontId="100" fillId="0" borderId="0" xfId="7" applyFont="1" applyBorder="1" applyAlignment="1" applyProtection="1">
      <alignment horizontal="right" wrapText="1"/>
    </xf>
    <xf numFmtId="0" fontId="105" fillId="0" borderId="0" xfId="0" applyFont="1" applyProtection="1"/>
    <xf numFmtId="44" fontId="92" fillId="0" borderId="0" xfId="6" applyFont="1" applyAlignment="1" applyProtection="1">
      <alignment horizontal="center"/>
    </xf>
    <xf numFmtId="44" fontId="94" fillId="0" borderId="0" xfId="6" applyFont="1" applyProtection="1"/>
    <xf numFmtId="0" fontId="94" fillId="63" borderId="0" xfId="8" applyFont="1" applyFill="1" applyProtection="1"/>
    <xf numFmtId="0" fontId="94" fillId="60" borderId="0" xfId="8" applyFont="1" applyFill="1" applyProtection="1"/>
    <xf numFmtId="0" fontId="92" fillId="0" borderId="0" xfId="8" applyFont="1" applyAlignment="1" applyProtection="1">
      <alignment horizontal="center"/>
    </xf>
    <xf numFmtId="44" fontId="95" fillId="0" borderId="1" xfId="8" applyNumberFormat="1" applyFont="1" applyBorder="1" applyProtection="1"/>
    <xf numFmtId="44" fontId="95" fillId="0" borderId="1" xfId="6" applyFont="1" applyBorder="1" applyProtection="1"/>
    <xf numFmtId="44" fontId="94" fillId="0" borderId="0" xfId="6" applyFont="1" applyBorder="1" applyProtection="1"/>
    <xf numFmtId="0" fontId="94" fillId="61" borderId="0" xfId="8" applyFont="1" applyFill="1" applyProtection="1"/>
    <xf numFmtId="44" fontId="94" fillId="61" borderId="0" xfId="6" applyFont="1" applyFill="1" applyBorder="1" applyProtection="1"/>
    <xf numFmtId="173" fontId="94" fillId="61" borderId="0" xfId="6" applyNumberFormat="1" applyFont="1" applyFill="1" applyBorder="1" applyProtection="1"/>
    <xf numFmtId="0" fontId="94" fillId="63" borderId="0" xfId="8" applyFont="1" applyFill="1" applyBorder="1" applyProtection="1"/>
    <xf numFmtId="0" fontId="94" fillId="63" borderId="0" xfId="8" applyFont="1" applyFill="1" applyBorder="1" applyAlignment="1" applyProtection="1">
      <alignment horizontal="center" wrapText="1"/>
    </xf>
    <xf numFmtId="44" fontId="94" fillId="63" borderId="0" xfId="6" applyFont="1" applyFill="1" applyBorder="1" applyAlignment="1" applyProtection="1">
      <alignment horizontal="center"/>
    </xf>
    <xf numFmtId="0" fontId="94" fillId="0" borderId="0" xfId="8" applyFont="1" applyFill="1" applyProtection="1"/>
    <xf numFmtId="9" fontId="95" fillId="0" borderId="0" xfId="10" applyFont="1" applyProtection="1"/>
    <xf numFmtId="0" fontId="91" fillId="0" borderId="0" xfId="0" quotePrefix="1" applyFont="1" applyProtection="1"/>
    <xf numFmtId="10" fontId="91" fillId="0" borderId="7" xfId="9" applyNumberFormat="1" applyFont="1" applyFill="1" applyBorder="1" applyAlignment="1">
      <alignment horizontal="left" vertical="top"/>
    </xf>
    <xf numFmtId="10" fontId="91" fillId="3" borderId="0" xfId="9" applyNumberFormat="1" applyFont="1" applyFill="1" applyBorder="1" applyAlignment="1">
      <alignment horizontal="left" vertical="top"/>
    </xf>
    <xf numFmtId="10" fontId="91" fillId="0" borderId="0" xfId="9" applyNumberFormat="1" applyFont="1" applyFill="1" applyBorder="1" applyAlignment="1">
      <alignment horizontal="left" vertical="top"/>
    </xf>
    <xf numFmtId="0" fontId="92" fillId="0" borderId="0" xfId="0" applyFont="1" applyFill="1" applyAlignment="1">
      <alignment horizontal="left"/>
    </xf>
    <xf numFmtId="0" fontId="92" fillId="0" borderId="0" xfId="0" applyFont="1" applyBorder="1"/>
    <xf numFmtId="164" fontId="92" fillId="0" borderId="0" xfId="0" applyNumberFormat="1" applyFont="1" applyFill="1" applyBorder="1" applyAlignment="1">
      <alignment horizontal="center"/>
    </xf>
    <xf numFmtId="0" fontId="105" fillId="0" borderId="0" xfId="0" applyFont="1"/>
    <xf numFmtId="0" fontId="105" fillId="0" borderId="0" xfId="0" applyFont="1" applyBorder="1"/>
    <xf numFmtId="0" fontId="105" fillId="0" borderId="0" xfId="0" applyFont="1" applyFill="1" applyBorder="1"/>
    <xf numFmtId="0" fontId="91" fillId="0" borderId="0" xfId="0" applyFont="1" applyBorder="1"/>
    <xf numFmtId="0" fontId="91" fillId="3" borderId="0" xfId="0" applyFont="1" applyFill="1" applyBorder="1" applyAlignment="1">
      <alignment horizontal="center" vertical="top"/>
    </xf>
    <xf numFmtId="0" fontId="91" fillId="0" borderId="0" xfId="0" applyFont="1" applyFill="1" applyBorder="1" applyAlignment="1">
      <alignment horizontal="left"/>
    </xf>
    <xf numFmtId="0" fontId="91" fillId="3" borderId="0" xfId="0" applyFont="1" applyFill="1" applyBorder="1" applyAlignment="1">
      <alignment horizontal="center"/>
    </xf>
    <xf numFmtId="164" fontId="91" fillId="0" borderId="0" xfId="0" applyNumberFormat="1" applyFont="1" applyBorder="1" applyAlignment="1">
      <alignment horizontal="center" vertical="top"/>
    </xf>
    <xf numFmtId="172" fontId="91" fillId="0" borderId="0" xfId="0" applyNumberFormat="1" applyFont="1" applyAlignment="1">
      <alignment horizontal="right" vertical="top"/>
    </xf>
    <xf numFmtId="0" fontId="91" fillId="3" borderId="7" xfId="0" applyFont="1" applyFill="1" applyBorder="1"/>
    <xf numFmtId="9" fontId="92" fillId="3" borderId="0" xfId="9" applyNumberFormat="1" applyFont="1" applyFill="1" applyBorder="1" applyAlignment="1">
      <alignment horizontal="center" vertical="top"/>
    </xf>
    <xf numFmtId="172" fontId="91" fillId="0" borderId="0" xfId="0" applyNumberFormat="1" applyFont="1" applyFill="1" applyBorder="1" applyAlignment="1">
      <alignment horizontal="center" vertical="top"/>
    </xf>
    <xf numFmtId="164" fontId="91" fillId="0" borderId="0" xfId="0" applyNumberFormat="1" applyFont="1" applyFill="1" applyBorder="1" applyAlignment="1">
      <alignment horizontal="center"/>
    </xf>
    <xf numFmtId="1" fontId="92" fillId="0" borderId="0" xfId="0" applyNumberFormat="1" applyFont="1" applyFill="1" applyBorder="1" applyAlignment="1">
      <alignment horizontal="center"/>
    </xf>
    <xf numFmtId="0" fontId="104" fillId="62" borderId="0" xfId="0" applyFont="1" applyFill="1"/>
    <xf numFmtId="1" fontId="92" fillId="0" borderId="0" xfId="0" applyNumberFormat="1" applyFont="1" applyFill="1" applyBorder="1" applyAlignment="1">
      <alignment horizontal="left"/>
    </xf>
    <xf numFmtId="174" fontId="91" fillId="0" borderId="0" xfId="0" applyNumberFormat="1" applyFont="1" applyFill="1" applyBorder="1" applyAlignment="1">
      <alignment horizontal="center"/>
    </xf>
    <xf numFmtId="172" fontId="91" fillId="0" borderId="1" xfId="0" applyNumberFormat="1" applyFont="1" applyFill="1" applyBorder="1" applyAlignment="1">
      <alignment horizontal="center"/>
    </xf>
    <xf numFmtId="172" fontId="91" fillId="0" borderId="0" xfId="0" applyNumberFormat="1" applyFont="1" applyFill="1" applyBorder="1"/>
    <xf numFmtId="0" fontId="91" fillId="0" borderId="0" xfId="0" applyFont="1" applyFill="1" applyBorder="1" applyProtection="1">
      <protection hidden="1"/>
    </xf>
    <xf numFmtId="1" fontId="92" fillId="0" borderId="0" xfId="0" applyNumberFormat="1" applyFont="1" applyFill="1" applyBorder="1" applyAlignment="1" applyProtection="1">
      <alignment horizontal="center"/>
      <protection hidden="1"/>
    </xf>
    <xf numFmtId="172" fontId="91" fillId="0" borderId="0" xfId="0" applyNumberFormat="1" applyFont="1" applyFill="1" applyBorder="1" applyAlignment="1" applyProtection="1">
      <alignment horizontal="center"/>
      <protection hidden="1"/>
    </xf>
    <xf numFmtId="0" fontId="91" fillId="0" borderId="0" xfId="0" applyFont="1" applyProtection="1">
      <protection hidden="1"/>
    </xf>
    <xf numFmtId="0" fontId="91" fillId="0" borderId="0" xfId="0" applyFont="1" applyFill="1" applyProtection="1">
      <protection hidden="1"/>
    </xf>
    <xf numFmtId="172" fontId="91" fillId="0" borderId="0" xfId="0" applyNumberFormat="1" applyFont="1" applyBorder="1"/>
    <xf numFmtId="0" fontId="91" fillId="0" borderId="0" xfId="0" applyFont="1" applyFill="1" applyAlignment="1">
      <alignment horizontal="left"/>
    </xf>
    <xf numFmtId="165" fontId="91" fillId="0" borderId="0" xfId="0" applyNumberFormat="1" applyFont="1" applyBorder="1"/>
    <xf numFmtId="0" fontId="91" fillId="0" borderId="0" xfId="0" applyFont="1" applyFill="1" applyAlignment="1">
      <alignment wrapText="1"/>
    </xf>
    <xf numFmtId="0" fontId="91" fillId="0" borderId="0" xfId="0" applyFont="1" applyAlignment="1">
      <alignment wrapText="1"/>
    </xf>
    <xf numFmtId="0" fontId="91" fillId="0" borderId="0" xfId="0" applyFont="1" applyAlignment="1">
      <alignment horizontal="center"/>
    </xf>
    <xf numFmtId="174" fontId="91" fillId="0" borderId="0" xfId="0" applyNumberFormat="1" applyFont="1" applyFill="1" applyProtection="1"/>
    <xf numFmtId="172" fontId="91" fillId="0" borderId="0" xfId="0" applyNumberFormat="1" applyFont="1" applyFill="1" applyProtection="1"/>
    <xf numFmtId="0" fontId="109" fillId="65" borderId="0" xfId="0" applyFont="1" applyFill="1" applyProtection="1"/>
    <xf numFmtId="0" fontId="61" fillId="65" borderId="0" xfId="0" applyFont="1" applyFill="1" applyProtection="1"/>
    <xf numFmtId="0" fontId="61" fillId="6" borderId="0" xfId="0" applyFont="1" applyFill="1" applyProtection="1"/>
    <xf numFmtId="0" fontId="110" fillId="6" borderId="0" xfId="0" applyFont="1" applyFill="1" applyProtection="1"/>
    <xf numFmtId="0" fontId="91" fillId="0" borderId="1" xfId="0" applyFont="1" applyFill="1" applyBorder="1" applyProtection="1"/>
    <xf numFmtId="0" fontId="92" fillId="0" borderId="0" xfId="0" applyFont="1" applyBorder="1" applyProtection="1"/>
    <xf numFmtId="0" fontId="92" fillId="0" borderId="0" xfId="0" applyFont="1" applyFill="1" applyAlignment="1">
      <alignment horizontal="right"/>
    </xf>
    <xf numFmtId="0" fontId="95" fillId="0" borderId="0" xfId="0" applyFont="1" applyFill="1" applyProtection="1"/>
    <xf numFmtId="0" fontId="92" fillId="0" borderId="0" xfId="8" applyFont="1" applyAlignment="1" applyProtection="1">
      <alignment horizontal="left"/>
    </xf>
    <xf numFmtId="0" fontId="91" fillId="0" borderId="0" xfId="0" applyFont="1" applyFill="1" applyAlignment="1">
      <alignment horizontal="center" wrapText="1"/>
    </xf>
    <xf numFmtId="0" fontId="112" fillId="0" borderId="0" xfId="0" applyFont="1"/>
    <xf numFmtId="0" fontId="87" fillId="0" borderId="0" xfId="0" applyFont="1"/>
    <xf numFmtId="0" fontId="86" fillId="0" borderId="0" xfId="0" applyFont="1"/>
    <xf numFmtId="0" fontId="85" fillId="0" borderId="0" xfId="0" applyFont="1"/>
    <xf numFmtId="0" fontId="64" fillId="6" borderId="0" xfId="0" applyFont="1" applyFill="1"/>
    <xf numFmtId="0" fontId="16" fillId="6" borderId="0" xfId="0" applyFont="1" applyFill="1"/>
    <xf numFmtId="0" fontId="61" fillId="6" borderId="0" xfId="0" applyFont="1" applyFill="1"/>
    <xf numFmtId="0" fontId="106" fillId="3" borderId="0" xfId="0" applyFont="1" applyFill="1" applyBorder="1"/>
    <xf numFmtId="0" fontId="113" fillId="65" borderId="0" xfId="0" quotePrefix="1" applyFont="1" applyFill="1"/>
    <xf numFmtId="172" fontId="91" fillId="3" borderId="0" xfId="13330" applyNumberFormat="1" applyFont="1" applyFill="1" applyBorder="1" applyAlignment="1">
      <alignment horizontal="center" vertical="top"/>
    </xf>
    <xf numFmtId="0" fontId="91" fillId="0" borderId="57" xfId="0" applyFont="1" applyBorder="1"/>
    <xf numFmtId="172" fontId="92" fillId="3" borderId="57" xfId="0" applyNumberFormat="1" applyFont="1" applyFill="1" applyBorder="1" applyAlignment="1">
      <alignment horizontal="center"/>
    </xf>
    <xf numFmtId="9" fontId="91" fillId="0" borderId="0" xfId="9" applyFont="1" applyFill="1" applyBorder="1" applyAlignment="1">
      <alignment horizontal="center" vertical="top"/>
    </xf>
    <xf numFmtId="0" fontId="92" fillId="0" borderId="57" xfId="0" applyFont="1" applyBorder="1"/>
    <xf numFmtId="174" fontId="91" fillId="0" borderId="0" xfId="0" applyNumberFormat="1" applyFont="1" applyFill="1" applyBorder="1"/>
    <xf numFmtId="0" fontId="92" fillId="0" borderId="57" xfId="0" applyFont="1" applyFill="1" applyBorder="1"/>
    <xf numFmtId="1" fontId="92" fillId="0" borderId="57" xfId="0" applyNumberFormat="1" applyFont="1" applyFill="1" applyBorder="1" applyAlignment="1">
      <alignment horizontal="center"/>
    </xf>
    <xf numFmtId="174" fontId="91" fillId="0" borderId="0" xfId="0" applyNumberFormat="1" applyFont="1"/>
    <xf numFmtId="0" fontId="114" fillId="0" borderId="0" xfId="0" applyFont="1" applyAlignment="1" applyProtection="1">
      <alignment horizontal="center"/>
    </xf>
    <xf numFmtId="174" fontId="91" fillId="0" borderId="0" xfId="0" applyNumberFormat="1" applyFont="1" applyFill="1" applyAlignment="1">
      <alignment horizontal="right"/>
    </xf>
    <xf numFmtId="174" fontId="91" fillId="0" borderId="0" xfId="0" applyNumberFormat="1" applyFont="1" applyFill="1" applyAlignment="1" applyProtection="1">
      <alignment horizontal="right"/>
      <protection hidden="1"/>
    </xf>
    <xf numFmtId="174" fontId="92" fillId="0" borderId="0" xfId="0" applyNumberFormat="1" applyFont="1" applyFill="1" applyBorder="1" applyAlignment="1" applyProtection="1">
      <alignment horizontal="right"/>
      <protection hidden="1"/>
    </xf>
    <xf numFmtId="174" fontId="92" fillId="0" borderId="0" xfId="0" applyNumberFormat="1" applyFont="1" applyBorder="1" applyAlignment="1">
      <alignment horizontal="right"/>
    </xf>
    <xf numFmtId="174" fontId="92" fillId="0" borderId="0" xfId="0" applyNumberFormat="1" applyFont="1" applyFill="1" applyBorder="1" applyAlignment="1">
      <alignment horizontal="right"/>
    </xf>
    <xf numFmtId="174" fontId="91" fillId="0" borderId="0" xfId="0" applyNumberFormat="1" applyFont="1" applyFill="1" applyBorder="1" applyAlignment="1">
      <alignment horizontal="right"/>
    </xf>
    <xf numFmtId="174" fontId="91" fillId="0" borderId="0" xfId="0" applyNumberFormat="1" applyFont="1" applyBorder="1" applyAlignment="1">
      <alignment horizontal="right"/>
    </xf>
    <xf numFmtId="174" fontId="105" fillId="0" borderId="0" xfId="0" applyNumberFormat="1" applyFont="1" applyAlignment="1">
      <alignment horizontal="right"/>
    </xf>
    <xf numFmtId="174" fontId="91" fillId="0" borderId="0" xfId="0" applyNumberFormat="1" applyFont="1" applyAlignment="1">
      <alignment horizontal="right"/>
    </xf>
    <xf numFmtId="174" fontId="101" fillId="4" borderId="3" xfId="11" applyNumberFormat="1" applyFont="1" applyAlignment="1" applyProtection="1">
      <alignment horizontal="right"/>
      <protection locked="0"/>
    </xf>
    <xf numFmtId="174" fontId="92" fillId="0" borderId="0" xfId="0" applyNumberFormat="1" applyFont="1" applyAlignment="1">
      <alignment horizontal="right"/>
    </xf>
    <xf numFmtId="174" fontId="105" fillId="0" borderId="0" xfId="0" applyNumberFormat="1" applyFont="1" applyBorder="1" applyAlignment="1">
      <alignment horizontal="right"/>
    </xf>
    <xf numFmtId="174" fontId="91" fillId="3" borderId="0" xfId="0" applyNumberFormat="1" applyFont="1" applyFill="1" applyBorder="1" applyAlignment="1">
      <alignment horizontal="right"/>
    </xf>
    <xf numFmtId="174" fontId="91" fillId="0" borderId="1" xfId="0" applyNumberFormat="1" applyFont="1" applyBorder="1" applyAlignment="1">
      <alignment horizontal="right"/>
    </xf>
    <xf numFmtId="172" fontId="91" fillId="0" borderId="0" xfId="0" applyNumberFormat="1" applyFont="1" applyFill="1" applyBorder="1" applyAlignment="1">
      <alignment horizontal="right"/>
    </xf>
    <xf numFmtId="172" fontId="91" fillId="0" borderId="1" xfId="0" applyNumberFormat="1" applyFont="1" applyFill="1" applyBorder="1" applyAlignment="1">
      <alignment horizontal="right"/>
    </xf>
    <xf numFmtId="0" fontId="92" fillId="0" borderId="0" xfId="0" applyFont="1" applyFill="1" applyBorder="1"/>
    <xf numFmtId="172" fontId="91" fillId="0" borderId="0" xfId="0" applyNumberFormat="1" applyFont="1" applyFill="1" applyBorder="1" applyAlignment="1" applyProtection="1">
      <alignment horizontal="center" vertical="top"/>
      <protection locked="0"/>
    </xf>
    <xf numFmtId="186" fontId="91" fillId="0" borderId="0" xfId="7" applyNumberFormat="1" applyFont="1" applyFill="1" applyBorder="1" applyAlignment="1" applyProtection="1">
      <alignment horizontal="center" wrapText="1"/>
    </xf>
    <xf numFmtId="0" fontId="91" fillId="0" borderId="0" xfId="7" applyFont="1" applyFill="1" applyBorder="1" applyAlignment="1" applyProtection="1">
      <alignment horizontal="left" wrapText="1"/>
    </xf>
    <xf numFmtId="0" fontId="91" fillId="0" borderId="47" xfId="0" applyFont="1" applyBorder="1"/>
    <xf numFmtId="0" fontId="91" fillId="3" borderId="57" xfId="0" applyFont="1" applyFill="1" applyBorder="1"/>
    <xf numFmtId="172" fontId="91" fillId="0" borderId="0" xfId="0" quotePrefix="1" applyNumberFormat="1" applyFont="1" applyFill="1"/>
    <xf numFmtId="172" fontId="91" fillId="0" borderId="0" xfId="0" applyNumberFormat="1" applyFont="1" applyFill="1"/>
    <xf numFmtId="174" fontId="91" fillId="0" borderId="0" xfId="0" applyNumberFormat="1" applyFont="1" applyFill="1"/>
    <xf numFmtId="0" fontId="96" fillId="4" borderId="3" xfId="11" applyFont="1" applyAlignment="1" applyProtection="1">
      <protection locked="0"/>
    </xf>
    <xf numFmtId="1" fontId="96" fillId="2" borderId="3" xfId="0" applyNumberFormat="1" applyFont="1" applyFill="1" applyBorder="1" applyAlignment="1" applyProtection="1">
      <alignment horizontal="center"/>
      <protection locked="0"/>
    </xf>
    <xf numFmtId="172" fontId="96" fillId="4" borderId="55" xfId="11" applyNumberFormat="1" applyFont="1" applyBorder="1" applyAlignment="1" applyProtection="1">
      <alignment horizontal="center"/>
      <protection locked="0"/>
    </xf>
    <xf numFmtId="172" fontId="96" fillId="4" borderId="55" xfId="11" applyNumberFormat="1" applyFont="1" applyBorder="1" applyAlignment="1" applyProtection="1">
      <alignment horizontal="center" vertical="top"/>
      <protection locked="0"/>
    </xf>
    <xf numFmtId="182" fontId="96" fillId="4" borderId="55" xfId="11" applyNumberFormat="1" applyFont="1" applyBorder="1" applyAlignment="1" applyProtection="1">
      <alignment horizontal="center" vertical="top"/>
      <protection locked="0"/>
    </xf>
    <xf numFmtId="0" fontId="96" fillId="4" borderId="55" xfId="11" applyFont="1" applyBorder="1" applyAlignment="1" applyProtection="1">
      <protection locked="0"/>
    </xf>
    <xf numFmtId="1" fontId="96" fillId="4" borderId="55" xfId="11" applyNumberFormat="1" applyFont="1" applyBorder="1" applyAlignment="1" applyProtection="1">
      <alignment horizontal="center"/>
      <protection locked="0"/>
    </xf>
    <xf numFmtId="0" fontId="91" fillId="0" borderId="1" xfId="0" applyFont="1" applyFill="1" applyBorder="1" applyAlignment="1">
      <alignment horizontal="center" wrapText="1"/>
    </xf>
    <xf numFmtId="172" fontId="96" fillId="4" borderId="55" xfId="11" applyNumberFormat="1" applyFont="1" applyBorder="1" applyAlignment="1" applyProtection="1">
      <alignment horizontal="right"/>
      <protection locked="0"/>
    </xf>
    <xf numFmtId="172" fontId="96" fillId="4" borderId="3" xfId="11" applyNumberFormat="1" applyFont="1" applyAlignment="1" applyProtection="1">
      <alignment horizontal="right"/>
      <protection locked="0"/>
    </xf>
    <xf numFmtId="0" fontId="91" fillId="0" borderId="0" xfId="0" applyFont="1" applyAlignment="1">
      <alignment horizontal="left"/>
    </xf>
    <xf numFmtId="172" fontId="92" fillId="6" borderId="0" xfId="0" applyNumberFormat="1" applyFont="1" applyFill="1" applyBorder="1" applyAlignment="1" applyProtection="1">
      <alignment horizontal="center"/>
    </xf>
    <xf numFmtId="172" fontId="91" fillId="3" borderId="0" xfId="0" applyNumberFormat="1" applyFont="1" applyFill="1" applyBorder="1"/>
    <xf numFmtId="172" fontId="89" fillId="0" borderId="52" xfId="0" applyNumberFormat="1" applyFont="1" applyFill="1" applyBorder="1" applyAlignment="1">
      <alignment horizontal="center"/>
    </xf>
    <xf numFmtId="172" fontId="89" fillId="0" borderId="65" xfId="0" applyNumberFormat="1" applyFont="1" applyFill="1" applyBorder="1" applyAlignment="1">
      <alignment horizontal="center"/>
    </xf>
    <xf numFmtId="0" fontId="92" fillId="0" borderId="57" xfId="0" applyFont="1" applyBorder="1" applyAlignment="1" applyProtection="1">
      <alignment horizontal="center"/>
    </xf>
    <xf numFmtId="0" fontId="91" fillId="0" borderId="57" xfId="0" applyFont="1" applyBorder="1" applyProtection="1"/>
    <xf numFmtId="0" fontId="105" fillId="3" borderId="0" xfId="0" applyFont="1" applyFill="1" applyBorder="1"/>
    <xf numFmtId="172" fontId="89" fillId="0" borderId="52" xfId="0" applyNumberFormat="1" applyFont="1" applyFill="1" applyBorder="1" applyAlignment="1">
      <alignment horizontal="left"/>
    </xf>
    <xf numFmtId="172" fontId="89" fillId="0" borderId="65" xfId="0" applyNumberFormat="1" applyFont="1" applyFill="1" applyBorder="1" applyAlignment="1">
      <alignment horizontal="left"/>
    </xf>
    <xf numFmtId="0" fontId="91" fillId="0" borderId="57" xfId="0" applyFont="1" applyFill="1" applyBorder="1" applyProtection="1">
      <protection hidden="1"/>
    </xf>
    <xf numFmtId="172" fontId="91" fillId="0" borderId="0" xfId="0" applyNumberFormat="1" applyFont="1" applyFill="1" applyAlignment="1">
      <alignment horizontal="left"/>
    </xf>
    <xf numFmtId="0" fontId="91" fillId="62" borderId="0" xfId="0" applyFont="1" applyFill="1"/>
    <xf numFmtId="0" fontId="91" fillId="62" borderId="0" xfId="0" applyFont="1" applyFill="1" applyBorder="1" applyProtection="1"/>
    <xf numFmtId="172" fontId="91" fillId="62" borderId="0" xfId="0" applyNumberFormat="1" applyFont="1" applyFill="1" applyBorder="1" applyAlignment="1">
      <alignment horizontal="center" vertical="top"/>
    </xf>
    <xf numFmtId="0" fontId="92" fillId="62" borderId="0" xfId="0" applyFont="1" applyFill="1" applyBorder="1"/>
    <xf numFmtId="0" fontId="92" fillId="62" borderId="0" xfId="0" applyFont="1" applyFill="1" applyBorder="1" applyAlignment="1">
      <alignment horizontal="center"/>
    </xf>
    <xf numFmtId="0" fontId="91" fillId="62" borderId="0" xfId="0" applyFont="1" applyFill="1" applyBorder="1" applyAlignment="1">
      <alignment horizontal="center" wrapText="1"/>
    </xf>
    <xf numFmtId="0" fontId="92" fillId="3" borderId="57" xfId="0" applyFont="1" applyFill="1" applyBorder="1"/>
    <xf numFmtId="0" fontId="91" fillId="0" borderId="0" xfId="0" applyFont="1" applyFill="1" applyAlignment="1">
      <alignment horizontal="center"/>
    </xf>
    <xf numFmtId="0" fontId="92" fillId="0" borderId="1" xfId="0" applyFont="1" applyFill="1" applyBorder="1"/>
    <xf numFmtId="165" fontId="91" fillId="0" borderId="0" xfId="11" applyNumberFormat="1" applyFont="1" applyFill="1" applyBorder="1" applyAlignment="1" applyProtection="1">
      <alignment horizontal="center" vertical="top"/>
    </xf>
    <xf numFmtId="0" fontId="91" fillId="0" borderId="0" xfId="0" applyFont="1" applyFill="1" applyBorder="1" applyAlignment="1">
      <alignment horizontal="center" wrapText="1"/>
    </xf>
    <xf numFmtId="0" fontId="104" fillId="0" borderId="1" xfId="0" applyFont="1" applyFill="1" applyBorder="1"/>
    <xf numFmtId="172" fontId="91" fillId="0" borderId="1" xfId="0" applyNumberFormat="1" applyFont="1" applyFill="1" applyBorder="1" applyAlignment="1">
      <alignment horizontal="center" vertical="top"/>
    </xf>
    <xf numFmtId="0" fontId="104" fillId="0" borderId="57" xfId="0" applyFont="1" applyBorder="1"/>
    <xf numFmtId="174" fontId="92" fillId="0" borderId="57" xfId="0" applyNumberFormat="1" applyFont="1" applyBorder="1" applyAlignment="1">
      <alignment horizontal="right"/>
    </xf>
    <xf numFmtId="0" fontId="92" fillId="0" borderId="57" xfId="0" applyFont="1" applyBorder="1" applyProtection="1">
      <protection hidden="1"/>
    </xf>
    <xf numFmtId="174" fontId="92" fillId="0" borderId="57" xfId="0" applyNumberFormat="1" applyFont="1" applyBorder="1" applyAlignment="1" applyProtection="1">
      <alignment horizontal="right"/>
      <protection hidden="1"/>
    </xf>
    <xf numFmtId="0" fontId="91" fillId="0" borderId="57" xfId="0" applyFont="1" applyBorder="1" applyProtection="1">
      <protection hidden="1"/>
    </xf>
    <xf numFmtId="172" fontId="91" fillId="0" borderId="0" xfId="0" applyNumberFormat="1" applyFont="1" applyFill="1" applyBorder="1" applyAlignment="1" applyProtection="1">
      <alignment horizontal="left"/>
      <protection hidden="1"/>
    </xf>
    <xf numFmtId="177" fontId="91" fillId="0" borderId="0" xfId="0" applyNumberFormat="1" applyFont="1" applyAlignment="1" applyProtection="1">
      <alignment horizontal="center"/>
    </xf>
    <xf numFmtId="0" fontId="105" fillId="0" borderId="0" xfId="0" applyFont="1" applyFill="1" applyProtection="1"/>
    <xf numFmtId="188" fontId="92" fillId="0" borderId="0" xfId="0" applyNumberFormat="1" applyFont="1" applyAlignment="1">
      <alignment horizontal="center"/>
    </xf>
    <xf numFmtId="172" fontId="92" fillId="3" borderId="0" xfId="0" applyNumberFormat="1" applyFont="1" applyFill="1" applyBorder="1" applyAlignment="1">
      <alignment horizontal="center"/>
    </xf>
    <xf numFmtId="9" fontId="91" fillId="3" borderId="0" xfId="13330" applyFont="1" applyFill="1" applyBorder="1" applyAlignment="1">
      <alignment horizontal="center" vertical="top"/>
    </xf>
    <xf numFmtId="0" fontId="106" fillId="0" borderId="0" xfId="0" applyFont="1" applyProtection="1"/>
    <xf numFmtId="0" fontId="96" fillId="4" borderId="66" xfId="11" applyFont="1" applyBorder="1" applyAlignment="1" applyProtection="1">
      <protection locked="0"/>
    </xf>
    <xf numFmtId="1" fontId="96" fillId="4" borderId="66" xfId="11" applyNumberFormat="1" applyFont="1" applyBorder="1" applyAlignment="1" applyProtection="1">
      <alignment horizontal="center"/>
      <protection locked="0"/>
    </xf>
    <xf numFmtId="182" fontId="96" fillId="2" borderId="66" xfId="0" applyNumberFormat="1" applyFont="1" applyFill="1" applyBorder="1" applyAlignment="1" applyProtection="1">
      <alignment horizontal="center"/>
      <protection locked="0"/>
    </xf>
    <xf numFmtId="182" fontId="96" fillId="4" borderId="66" xfId="11" applyNumberFormat="1" applyFont="1" applyBorder="1" applyAlignment="1" applyProtection="1">
      <alignment horizontal="center"/>
      <protection locked="0"/>
    </xf>
    <xf numFmtId="0" fontId="96" fillId="4" borderId="54" xfId="11" applyFont="1" applyBorder="1" applyAlignment="1" applyProtection="1">
      <protection locked="0"/>
    </xf>
    <xf numFmtId="1" fontId="96" fillId="2" borderId="54" xfId="0" applyNumberFormat="1" applyFont="1" applyFill="1" applyBorder="1" applyAlignment="1" applyProtection="1">
      <alignment horizontal="center"/>
      <protection locked="0"/>
    </xf>
    <xf numFmtId="182" fontId="96" fillId="4" borderId="54" xfId="11" applyNumberFormat="1" applyFont="1" applyBorder="1" applyAlignment="1" applyProtection="1">
      <alignment horizontal="center"/>
      <protection locked="0"/>
    </xf>
    <xf numFmtId="1" fontId="96" fillId="4" borderId="55" xfId="11" applyNumberFormat="1" applyFont="1" applyBorder="1" applyAlignment="1" applyProtection="1">
      <alignment horizontal="left"/>
      <protection locked="0"/>
    </xf>
    <xf numFmtId="174" fontId="96" fillId="4" borderId="55" xfId="11" applyNumberFormat="1" applyFont="1" applyBorder="1" applyAlignment="1" applyProtection="1">
      <alignment horizontal="center"/>
      <protection locked="0"/>
    </xf>
    <xf numFmtId="172" fontId="104" fillId="0" borderId="0" xfId="0" applyNumberFormat="1" applyFont="1" applyFill="1" applyBorder="1" applyAlignment="1">
      <alignment horizontal="center"/>
    </xf>
    <xf numFmtId="3" fontId="96" fillId="2" borderId="19" xfId="11" applyNumberFormat="1" applyFont="1" applyFill="1" applyBorder="1" applyAlignment="1" applyProtection="1">
      <alignment horizontal="center"/>
      <protection locked="0"/>
    </xf>
    <xf numFmtId="172" fontId="89" fillId="0" borderId="0" xfId="0" applyNumberFormat="1" applyFont="1" applyFill="1" applyBorder="1" applyAlignment="1">
      <alignment horizontal="center"/>
    </xf>
    <xf numFmtId="0" fontId="92" fillId="0" borderId="0" xfId="0" applyFont="1" applyFill="1" applyBorder="1" applyAlignment="1">
      <alignment horizontal="center" wrapText="1"/>
    </xf>
    <xf numFmtId="0" fontId="91" fillId="0" borderId="69" xfId="0" applyFont="1" applyBorder="1" applyAlignment="1">
      <alignment horizontal="left" indent="1"/>
    </xf>
    <xf numFmtId="0" fontId="104" fillId="0" borderId="0" xfId="0" applyFont="1" applyBorder="1" applyAlignment="1">
      <alignment horizontal="left" indent="1"/>
    </xf>
    <xf numFmtId="0" fontId="119" fillId="0" borderId="0" xfId="33111" applyFill="1" applyBorder="1" applyAlignment="1">
      <alignment horizontal="left" vertical="top"/>
    </xf>
    <xf numFmtId="0" fontId="87" fillId="0" borderId="0" xfId="33111" applyFont="1" applyFill="1" applyBorder="1" applyAlignment="1">
      <alignment horizontal="left" vertical="top"/>
    </xf>
    <xf numFmtId="0" fontId="86" fillId="0" borderId="0" xfId="33111" applyFont="1" applyFill="1" applyBorder="1" applyAlignment="1">
      <alignment horizontal="left" vertical="top"/>
    </xf>
    <xf numFmtId="0" fontId="88" fillId="65" borderId="0" xfId="33111" applyFont="1" applyFill="1" applyBorder="1" applyAlignment="1">
      <alignment horizontal="left" vertical="top"/>
    </xf>
    <xf numFmtId="0" fontId="64" fillId="6" borderId="0" xfId="33111" applyFont="1" applyFill="1" applyBorder="1" applyAlignment="1">
      <alignment horizontal="left" vertical="top"/>
    </xf>
    <xf numFmtId="0" fontId="91" fillId="0" borderId="57" xfId="33111" applyFont="1" applyFill="1" applyBorder="1" applyAlignment="1">
      <alignment horizontal="left" vertical="top" wrapText="1"/>
    </xf>
    <xf numFmtId="0" fontId="91" fillId="0" borderId="1" xfId="33111" applyFont="1" applyFill="1" applyBorder="1" applyAlignment="1">
      <alignment horizontal="left" vertical="top" wrapText="1"/>
    </xf>
    <xf numFmtId="0" fontId="121" fillId="0" borderId="0" xfId="33111" applyFont="1" applyFill="1" applyBorder="1" applyAlignment="1">
      <alignment vertical="top" wrapText="1"/>
    </xf>
    <xf numFmtId="172" fontId="91" fillId="0" borderId="57" xfId="33111" applyNumberFormat="1" applyFont="1" applyFill="1" applyBorder="1" applyAlignment="1">
      <alignment vertical="top" wrapText="1"/>
    </xf>
    <xf numFmtId="0" fontId="91" fillId="68" borderId="76" xfId="33111" applyFont="1" applyFill="1" applyBorder="1" applyAlignment="1">
      <alignment vertical="center" wrapText="1"/>
    </xf>
    <xf numFmtId="172" fontId="91" fillId="68" borderId="76" xfId="33111" applyNumberFormat="1" applyFont="1" applyFill="1" applyBorder="1" applyAlignment="1">
      <alignment vertical="center" wrapText="1"/>
    </xf>
    <xf numFmtId="172" fontId="91" fillId="68" borderId="78" xfId="33111" applyNumberFormat="1" applyFont="1" applyFill="1" applyBorder="1" applyAlignment="1">
      <alignment vertical="center" wrapText="1"/>
    </xf>
    <xf numFmtId="0" fontId="91" fillId="0" borderId="83" xfId="33111" applyFont="1" applyFill="1" applyBorder="1" applyAlignment="1">
      <alignment horizontal="left" vertical="top" wrapText="1"/>
    </xf>
    <xf numFmtId="0" fontId="91" fillId="0" borderId="84" xfId="33111" applyFont="1" applyFill="1" applyBorder="1" applyAlignment="1">
      <alignment vertical="top" wrapText="1"/>
    </xf>
    <xf numFmtId="0" fontId="91" fillId="0" borderId="79" xfId="33111" applyFont="1" applyFill="1" applyBorder="1" applyAlignment="1">
      <alignment horizontal="left" vertical="top" wrapText="1"/>
    </xf>
    <xf numFmtId="0" fontId="91" fillId="0" borderId="80" xfId="33111" applyFont="1" applyFill="1" applyBorder="1" applyAlignment="1">
      <alignment vertical="top" wrapText="1"/>
    </xf>
    <xf numFmtId="0" fontId="64" fillId="62" borderId="77" xfId="33111" applyFont="1" applyFill="1" applyBorder="1" applyAlignment="1">
      <alignment horizontal="left" vertical="top" wrapText="1"/>
    </xf>
    <xf numFmtId="0" fontId="91" fillId="68" borderId="87" xfId="33111" applyFont="1" applyFill="1" applyBorder="1" applyAlignment="1">
      <alignment vertical="center" wrapText="1"/>
    </xf>
    <xf numFmtId="0" fontId="64" fillId="62" borderId="88" xfId="33111" applyFont="1" applyFill="1" applyBorder="1" applyAlignment="1">
      <alignment horizontal="center" vertical="top" wrapText="1"/>
    </xf>
    <xf numFmtId="0" fontId="64" fillId="62" borderId="89" xfId="33111" applyFont="1" applyFill="1" applyBorder="1" applyAlignment="1">
      <alignment horizontal="center" vertical="top" wrapText="1"/>
    </xf>
    <xf numFmtId="181" fontId="91" fillId="68" borderId="76" xfId="33111" applyNumberFormat="1" applyFont="1" applyFill="1" applyBorder="1" applyAlignment="1">
      <alignment vertical="center" wrapText="1"/>
    </xf>
    <xf numFmtId="0" fontId="120" fillId="0" borderId="0" xfId="33111" applyFont="1" applyFill="1" applyBorder="1" applyAlignment="1">
      <alignment horizontal="left" vertical="top" wrapText="1"/>
    </xf>
    <xf numFmtId="0" fontId="123" fillId="0" borderId="0" xfId="33111" applyFont="1" applyFill="1" applyBorder="1" applyAlignment="1">
      <alignment horizontal="left" vertical="top"/>
    </xf>
    <xf numFmtId="0" fontId="94" fillId="0" borderId="0" xfId="8" applyFont="1" applyAlignment="1" applyProtection="1">
      <alignment horizontal="center"/>
    </xf>
    <xf numFmtId="175" fontId="91" fillId="0" borderId="0" xfId="0" applyNumberFormat="1" applyFont="1" applyFill="1"/>
    <xf numFmtId="0" fontId="104" fillId="68" borderId="0" xfId="0" applyFont="1" applyFill="1" applyProtection="1"/>
    <xf numFmtId="0" fontId="92" fillId="68" borderId="0" xfId="0" applyFont="1" applyFill="1" applyProtection="1"/>
    <xf numFmtId="0" fontId="92" fillId="0" borderId="0" xfId="0" applyFont="1" applyBorder="1" applyAlignment="1" applyProtection="1">
      <alignment horizontal="center"/>
    </xf>
    <xf numFmtId="0" fontId="91" fillId="62" borderId="57" xfId="0" applyFont="1" applyFill="1" applyBorder="1" applyAlignment="1">
      <alignment horizontal="center" wrapText="1"/>
    </xf>
    <xf numFmtId="0" fontId="91" fillId="62" borderId="57" xfId="0" applyFont="1" applyFill="1" applyBorder="1"/>
    <xf numFmtId="0" fontId="92" fillId="0" borderId="77" xfId="33111" applyFont="1" applyFill="1" applyBorder="1" applyAlignment="1">
      <alignment horizontal="left" vertical="center" wrapText="1"/>
    </xf>
    <xf numFmtId="0" fontId="91" fillId="0" borderId="77" xfId="33111" applyFont="1" applyFill="1" applyBorder="1" applyAlignment="1">
      <alignment horizontal="left" vertical="center" wrapText="1"/>
    </xf>
    <xf numFmtId="0" fontId="91" fillId="0" borderId="91" xfId="33111" applyFont="1" applyFill="1" applyBorder="1" applyAlignment="1">
      <alignment horizontal="left" vertical="center" wrapText="1"/>
    </xf>
    <xf numFmtId="0" fontId="91" fillId="68" borderId="92" xfId="33111" applyFont="1" applyFill="1" applyBorder="1" applyAlignment="1">
      <alignment vertical="center" wrapText="1"/>
    </xf>
    <xf numFmtId="0" fontId="91" fillId="68" borderId="94" xfId="33111" applyFont="1" applyFill="1" applyBorder="1" applyAlignment="1">
      <alignment vertical="center" wrapText="1"/>
    </xf>
    <xf numFmtId="0" fontId="91" fillId="68" borderId="96" xfId="33111" applyFont="1" applyFill="1" applyBorder="1" applyAlignment="1">
      <alignment vertical="center" wrapText="1"/>
    </xf>
    <xf numFmtId="0" fontId="91" fillId="0" borderId="59" xfId="33111" applyFont="1" applyFill="1" applyBorder="1" applyAlignment="1">
      <alignment vertical="top" wrapText="1"/>
    </xf>
    <xf numFmtId="0" fontId="119" fillId="0" borderId="1" xfId="33111" applyFont="1" applyFill="1" applyBorder="1" applyAlignment="1">
      <alignment horizontal="left" vertical="top"/>
    </xf>
    <xf numFmtId="0" fontId="91" fillId="0" borderId="15" xfId="33111" quotePrefix="1" applyFont="1" applyFill="1" applyBorder="1" applyAlignment="1">
      <alignment vertical="top" wrapText="1"/>
    </xf>
    <xf numFmtId="172" fontId="91" fillId="0" borderId="1" xfId="33111" quotePrefix="1" applyNumberFormat="1" applyFont="1" applyFill="1" applyBorder="1" applyAlignment="1">
      <alignment vertical="top" wrapText="1"/>
    </xf>
    <xf numFmtId="174" fontId="96" fillId="4" borderId="3" xfId="11" applyNumberFormat="1" applyFont="1" applyAlignment="1" applyProtection="1">
      <alignment horizontal="right"/>
      <protection locked="0"/>
    </xf>
    <xf numFmtId="174" fontId="91" fillId="0" borderId="0" xfId="0" applyNumberFormat="1" applyFont="1" applyAlignment="1" applyProtection="1">
      <alignment horizontal="right"/>
    </xf>
    <xf numFmtId="172" fontId="91" fillId="0" borderId="0" xfId="0" applyNumberFormat="1" applyFont="1" applyAlignment="1" applyProtection="1">
      <alignment horizontal="right"/>
    </xf>
    <xf numFmtId="0" fontId="92" fillId="62" borderId="1" xfId="0" applyFont="1" applyFill="1" applyBorder="1" applyProtection="1"/>
    <xf numFmtId="0" fontId="91" fillId="62" borderId="1" xfId="0" applyFont="1" applyFill="1" applyBorder="1" applyProtection="1"/>
    <xf numFmtId="3" fontId="92" fillId="62" borderId="1" xfId="11" applyNumberFormat="1" applyFont="1" applyFill="1" applyBorder="1" applyAlignment="1" applyProtection="1">
      <alignment horizontal="center"/>
    </xf>
    <xf numFmtId="174" fontId="104" fillId="64" borderId="57" xfId="0" applyNumberFormat="1" applyFont="1" applyFill="1" applyBorder="1" applyProtection="1"/>
    <xf numFmtId="0" fontId="0" fillId="68" borderId="0" xfId="0" applyFill="1"/>
    <xf numFmtId="172" fontId="96" fillId="0" borderId="0" xfId="0" applyNumberFormat="1" applyFont="1" applyFill="1" applyAlignment="1" applyProtection="1">
      <alignment horizontal="right"/>
    </xf>
    <xf numFmtId="172" fontId="96" fillId="0" borderId="0" xfId="0" applyNumberFormat="1" applyFont="1" applyFill="1" applyProtection="1"/>
    <xf numFmtId="10" fontId="125" fillId="0" borderId="0" xfId="8" applyNumberFormat="1" applyFont="1" applyFill="1" applyAlignment="1" applyProtection="1">
      <alignment horizontal="center"/>
    </xf>
    <xf numFmtId="0" fontId="113" fillId="65" borderId="0" xfId="0" quotePrefix="1" applyFont="1" applyFill="1" applyProtection="1"/>
    <xf numFmtId="0" fontId="92" fillId="0" borderId="0" xfId="0" applyFont="1" applyFill="1" applyBorder="1" applyAlignment="1" applyProtection="1">
      <alignment horizontal="left"/>
    </xf>
    <xf numFmtId="0" fontId="124" fillId="0" borderId="0" xfId="0" applyFont="1" applyFill="1" applyProtection="1"/>
    <xf numFmtId="0" fontId="91" fillId="0" borderId="0" xfId="0" applyFont="1" applyFill="1" applyBorder="1" applyAlignment="1" applyProtection="1">
      <alignment horizontal="left"/>
    </xf>
    <xf numFmtId="0" fontId="91" fillId="0" borderId="0" xfId="0" applyFont="1" applyAlignment="1" applyProtection="1">
      <alignment horizontal="left" indent="1"/>
    </xf>
    <xf numFmtId="0" fontId="92" fillId="0" borderId="0" xfId="0" applyFont="1" applyAlignment="1" applyProtection="1">
      <alignment horizontal="right"/>
    </xf>
    <xf numFmtId="0" fontId="92" fillId="0" borderId="0" xfId="0" applyFont="1" applyFill="1" applyBorder="1" applyAlignment="1" applyProtection="1">
      <alignment horizontal="center" vertical="top"/>
    </xf>
    <xf numFmtId="0" fontId="92" fillId="0" borderId="0" xfId="0" applyFont="1" applyFill="1" applyAlignment="1" applyProtection="1">
      <alignment horizontal="center"/>
    </xf>
    <xf numFmtId="0" fontId="107" fillId="0" borderId="57" xfId="0" applyFont="1" applyFill="1" applyBorder="1" applyAlignment="1" applyProtection="1">
      <alignment horizontal="center" vertical="top"/>
    </xf>
    <xf numFmtId="0" fontId="104" fillId="0" borderId="1" xfId="0" applyFont="1" applyFill="1" applyBorder="1" applyAlignment="1" applyProtection="1">
      <alignment horizontal="center" vertical="top"/>
    </xf>
    <xf numFmtId="174" fontId="91" fillId="0" borderId="0" xfId="0" applyNumberFormat="1" applyFont="1" applyFill="1" applyBorder="1" applyAlignment="1" applyProtection="1">
      <alignment horizontal="center" vertical="top"/>
    </xf>
    <xf numFmtId="0" fontId="96" fillId="0" borderId="0" xfId="0" applyFont="1" applyFill="1" applyBorder="1" applyProtection="1"/>
    <xf numFmtId="175" fontId="96" fillId="0" borderId="0" xfId="0" applyNumberFormat="1" applyFont="1" applyFill="1" applyBorder="1" applyProtection="1"/>
    <xf numFmtId="0" fontId="91" fillId="0" borderId="0" xfId="0" applyFont="1" applyFill="1" applyBorder="1" applyAlignment="1" applyProtection="1">
      <alignment horizontal="center" vertical="top"/>
    </xf>
    <xf numFmtId="172" fontId="91" fillId="0" borderId="0" xfId="0" applyNumberFormat="1" applyFont="1" applyFill="1" applyBorder="1" applyAlignment="1" applyProtection="1">
      <alignment horizontal="center" vertical="top"/>
    </xf>
    <xf numFmtId="0" fontId="105" fillId="3" borderId="0" xfId="0" applyFont="1" applyFill="1" applyBorder="1" applyProtection="1"/>
    <xf numFmtId="0" fontId="92" fillId="3" borderId="0" xfId="0" applyFont="1" applyFill="1" applyBorder="1" applyAlignment="1" applyProtection="1">
      <alignment horizontal="center"/>
    </xf>
    <xf numFmtId="9" fontId="91" fillId="3" borderId="0" xfId="9" applyFont="1" applyFill="1" applyBorder="1" applyAlignment="1" applyProtection="1">
      <alignment horizontal="center" vertical="top"/>
    </xf>
    <xf numFmtId="0" fontId="96" fillId="2" borderId="51" xfId="0" applyFont="1" applyFill="1" applyBorder="1" applyProtection="1">
      <protection locked="0"/>
    </xf>
    <xf numFmtId="0" fontId="96" fillId="2" borderId="55" xfId="0" applyFont="1" applyFill="1" applyBorder="1" applyAlignment="1" applyProtection="1">
      <alignment horizontal="center"/>
      <protection locked="0"/>
    </xf>
    <xf numFmtId="0" fontId="96" fillId="2" borderId="55" xfId="0" applyFont="1" applyFill="1" applyBorder="1" applyAlignment="1" applyProtection="1">
      <alignment horizontal="center" vertical="center"/>
      <protection locked="0"/>
    </xf>
    <xf numFmtId="172" fontId="96" fillId="2" borderId="70" xfId="0" applyNumberFormat="1" applyFont="1" applyFill="1" applyBorder="1" applyAlignment="1" applyProtection="1">
      <alignment horizontal="center" vertical="center"/>
      <protection locked="0"/>
    </xf>
    <xf numFmtId="172" fontId="96" fillId="2" borderId="47" xfId="0" applyNumberFormat="1" applyFont="1" applyFill="1" applyBorder="1" applyProtection="1">
      <protection locked="0"/>
    </xf>
    <xf numFmtId="0" fontId="96" fillId="2" borderId="47" xfId="0" applyFont="1" applyFill="1" applyBorder="1" applyAlignment="1" applyProtection="1">
      <alignment vertical="center"/>
      <protection locked="0"/>
    </xf>
    <xf numFmtId="172" fontId="96" fillId="2" borderId="50" xfId="0" applyNumberFormat="1" applyFont="1" applyFill="1" applyBorder="1" applyProtection="1">
      <protection locked="0"/>
    </xf>
    <xf numFmtId="0" fontId="91" fillId="0" borderId="65" xfId="0" applyFont="1" applyFill="1" applyBorder="1" applyAlignment="1" applyProtection="1">
      <alignment horizontal="center" vertical="top"/>
    </xf>
    <xf numFmtId="0" fontId="91" fillId="0" borderId="47" xfId="0" applyFont="1" applyFill="1" applyBorder="1" applyProtection="1"/>
    <xf numFmtId="0" fontId="115" fillId="0" borderId="0" xfId="0" applyFont="1" applyFill="1" applyBorder="1" applyAlignment="1" applyProtection="1">
      <alignment horizontal="center" vertical="top"/>
    </xf>
    <xf numFmtId="174" fontId="96" fillId="2" borderId="57" xfId="33110" applyNumberFormat="1" applyFont="1" applyFill="1" applyBorder="1" applyProtection="1">
      <protection locked="0"/>
    </xf>
    <xf numFmtId="172" fontId="96" fillId="2" borderId="47" xfId="33110" applyNumberFormat="1" applyFont="1" applyFill="1" applyBorder="1" applyProtection="1">
      <protection locked="0"/>
    </xf>
    <xf numFmtId="172" fontId="91" fillId="2" borderId="1" xfId="33110" applyNumberFormat="1" applyFont="1" applyFill="1" applyBorder="1" applyProtection="1">
      <protection locked="0"/>
    </xf>
    <xf numFmtId="0" fontId="96" fillId="2" borderId="94" xfId="33111" applyFont="1" applyFill="1" applyBorder="1" applyAlignment="1" applyProtection="1">
      <alignment horizontal="right" vertical="center" wrapText="1"/>
      <protection locked="0"/>
    </xf>
    <xf numFmtId="193" fontId="96" fillId="2" borderId="94" xfId="33111" applyNumberFormat="1" applyFont="1" applyFill="1" applyBorder="1" applyAlignment="1" applyProtection="1">
      <alignment horizontal="right" vertical="center" wrapText="1"/>
      <protection locked="0"/>
    </xf>
    <xf numFmtId="181" fontId="91" fillId="2" borderId="95" xfId="33111" applyNumberFormat="1" applyFont="1" applyFill="1" applyBorder="1" applyAlignment="1" applyProtection="1">
      <alignment vertical="center" wrapText="1"/>
      <protection locked="0"/>
    </xf>
    <xf numFmtId="172" fontId="90" fillId="2" borderId="95" xfId="33111" applyNumberFormat="1" applyFont="1" applyFill="1" applyBorder="1" applyAlignment="1" applyProtection="1">
      <alignment vertical="center" wrapText="1"/>
      <protection locked="0"/>
    </xf>
    <xf numFmtId="172" fontId="96" fillId="2" borderId="94" xfId="33111" applyNumberFormat="1" applyFont="1" applyFill="1" applyBorder="1" applyAlignment="1" applyProtection="1">
      <alignment horizontal="right" vertical="center" wrapText="1"/>
      <protection locked="0"/>
    </xf>
    <xf numFmtId="0" fontId="96" fillId="2" borderId="94" xfId="33111" applyFont="1" applyFill="1" applyBorder="1" applyAlignment="1" applyProtection="1">
      <alignment vertical="center" wrapText="1"/>
      <protection locked="0"/>
    </xf>
    <xf numFmtId="191" fontId="96" fillId="2" borderId="94" xfId="33111" applyNumberFormat="1" applyFont="1" applyFill="1" applyBorder="1" applyAlignment="1" applyProtection="1">
      <alignment vertical="center" wrapText="1"/>
      <protection locked="0"/>
    </xf>
    <xf numFmtId="0" fontId="96" fillId="2" borderId="100" xfId="33111" applyFont="1" applyFill="1" applyBorder="1" applyAlignment="1" applyProtection="1">
      <alignment vertical="center" wrapText="1"/>
      <protection locked="0"/>
    </xf>
    <xf numFmtId="172" fontId="90" fillId="2" borderId="97" xfId="33111" applyNumberFormat="1" applyFont="1" applyFill="1" applyBorder="1" applyAlignment="1" applyProtection="1">
      <alignment vertical="center" wrapText="1"/>
      <protection locked="0"/>
    </xf>
    <xf numFmtId="0" fontId="96" fillId="2" borderId="74" xfId="33111" applyFont="1" applyFill="1" applyBorder="1" applyAlignment="1" applyProtection="1">
      <alignment horizontal="right" vertical="center" wrapText="1"/>
      <protection locked="0"/>
    </xf>
    <xf numFmtId="193" fontId="96" fillId="2" borderId="74" xfId="33111" applyNumberFormat="1" applyFont="1" applyFill="1" applyBorder="1" applyAlignment="1" applyProtection="1">
      <alignment horizontal="right" vertical="center" wrapText="1"/>
      <protection locked="0"/>
    </xf>
    <xf numFmtId="0" fontId="96" fillId="2" borderId="100" xfId="33111" applyFont="1" applyFill="1" applyBorder="1" applyAlignment="1" applyProtection="1">
      <alignment horizontal="right" vertical="center" wrapText="1"/>
      <protection locked="0"/>
    </xf>
    <xf numFmtId="173" fontId="96" fillId="2" borderId="94" xfId="33111" applyNumberFormat="1" applyFont="1" applyFill="1" applyBorder="1" applyAlignment="1" applyProtection="1">
      <alignment horizontal="right" vertical="center" wrapText="1"/>
      <protection locked="0"/>
    </xf>
    <xf numFmtId="173" fontId="96" fillId="2" borderId="100" xfId="33111" applyNumberFormat="1" applyFont="1" applyFill="1" applyBorder="1" applyAlignment="1" applyProtection="1">
      <alignment horizontal="right" vertical="center" wrapText="1"/>
      <protection locked="0"/>
    </xf>
    <xf numFmtId="172" fontId="96" fillId="2" borderId="74" xfId="33111" applyNumberFormat="1" applyFont="1" applyFill="1" applyBorder="1" applyAlignment="1" applyProtection="1">
      <alignment horizontal="right" vertical="center" wrapText="1"/>
      <protection locked="0"/>
    </xf>
    <xf numFmtId="175" fontId="96" fillId="2" borderId="14" xfId="33111" quotePrefix="1" applyNumberFormat="1" applyFont="1" applyFill="1" applyBorder="1" applyAlignment="1" applyProtection="1">
      <alignment vertical="top" wrapText="1"/>
      <protection locked="0"/>
    </xf>
    <xf numFmtId="172" fontId="96" fillId="2" borderId="55" xfId="0" applyNumberFormat="1" applyFont="1" applyFill="1" applyBorder="1" applyAlignment="1" applyProtection="1">
      <alignment horizontal="right" wrapText="1"/>
      <protection locked="0"/>
    </xf>
    <xf numFmtId="172" fontId="96" fillId="2" borderId="0" xfId="0" applyNumberFormat="1" applyFont="1" applyFill="1" applyAlignment="1" applyProtection="1">
      <alignment horizontal="right" wrapText="1"/>
      <protection locked="0"/>
    </xf>
    <xf numFmtId="172" fontId="96" fillId="2" borderId="0" xfId="0" applyNumberFormat="1" applyFont="1" applyFill="1" applyAlignment="1" applyProtection="1">
      <alignment horizontal="right"/>
      <protection locked="0"/>
    </xf>
    <xf numFmtId="0" fontId="107" fillId="0" borderId="0" xfId="0" applyFont="1" applyFill="1" applyBorder="1" applyAlignment="1" applyProtection="1">
      <alignment horizontal="center" vertical="top"/>
    </xf>
    <xf numFmtId="172" fontId="90" fillId="0" borderId="61" xfId="0" applyNumberFormat="1" applyFont="1" applyFill="1" applyBorder="1" applyAlignment="1" applyProtection="1">
      <alignment horizontal="center" vertical="top"/>
    </xf>
    <xf numFmtId="172" fontId="90" fillId="0" borderId="62" xfId="0" applyNumberFormat="1" applyFont="1" applyFill="1" applyBorder="1" applyAlignment="1" applyProtection="1">
      <alignment horizontal="center" vertical="top"/>
    </xf>
    <xf numFmtId="0" fontId="91" fillId="3" borderId="0" xfId="0" applyFont="1" applyFill="1" applyBorder="1" applyAlignment="1" applyProtection="1">
      <alignment horizontal="left"/>
    </xf>
    <xf numFmtId="174" fontId="91" fillId="0" borderId="0" xfId="0" applyNumberFormat="1" applyFont="1" applyFill="1" applyBorder="1" applyProtection="1"/>
    <xf numFmtId="172" fontId="91" fillId="0" borderId="0" xfId="11" applyNumberFormat="1" applyFont="1" applyFill="1" applyBorder="1" applyAlignment="1" applyProtection="1">
      <alignment horizontal="center"/>
    </xf>
    <xf numFmtId="172" fontId="91" fillId="0" borderId="0" xfId="11" applyNumberFormat="1" applyFont="1" applyFill="1" applyBorder="1" applyAlignment="1" applyProtection="1">
      <alignment horizontal="center" vertical="top"/>
    </xf>
    <xf numFmtId="182" fontId="91" fillId="0" borderId="0" xfId="11" applyNumberFormat="1" applyFont="1" applyFill="1" applyBorder="1" applyAlignment="1" applyProtection="1">
      <alignment horizontal="center" vertical="top"/>
    </xf>
    <xf numFmtId="172" fontId="90" fillId="0" borderId="60" xfId="0" applyNumberFormat="1" applyFont="1" applyFill="1" applyBorder="1" applyAlignment="1" applyProtection="1">
      <alignment horizontal="center" vertical="top"/>
    </xf>
    <xf numFmtId="172" fontId="90" fillId="2" borderId="45" xfId="0" applyNumberFormat="1" applyFont="1" applyFill="1" applyBorder="1" applyAlignment="1" applyProtection="1">
      <alignment horizontal="center" vertical="top"/>
    </xf>
    <xf numFmtId="0" fontId="104" fillId="0" borderId="0" xfId="0" applyFont="1" applyFill="1" applyBorder="1" applyAlignment="1" applyProtection="1">
      <alignment horizontal="center" vertical="top"/>
    </xf>
    <xf numFmtId="188" fontId="104" fillId="0" borderId="0" xfId="0" applyNumberFormat="1" applyFont="1" applyFill="1" applyBorder="1" applyAlignment="1" applyProtection="1">
      <alignment horizontal="center" vertical="top"/>
    </xf>
    <xf numFmtId="0" fontId="90" fillId="0" borderId="0" xfId="0" applyFont="1" applyFill="1" applyBorder="1" applyAlignment="1" applyProtection="1">
      <alignment horizontal="center" vertical="top"/>
    </xf>
    <xf numFmtId="172" fontId="92" fillId="3" borderId="0" xfId="0" applyNumberFormat="1" applyFont="1" applyFill="1" applyBorder="1" applyAlignment="1" applyProtection="1">
      <alignment horizontal="center"/>
    </xf>
    <xf numFmtId="172" fontId="90" fillId="0" borderId="45" xfId="0" applyNumberFormat="1" applyFont="1" applyFill="1" applyBorder="1" applyAlignment="1" applyProtection="1">
      <alignment horizontal="center" vertical="top"/>
    </xf>
    <xf numFmtId="172" fontId="90" fillId="0" borderId="41" xfId="0" applyNumberFormat="1" applyFont="1" applyFill="1" applyBorder="1" applyAlignment="1" applyProtection="1">
      <alignment horizontal="center" vertical="top"/>
    </xf>
    <xf numFmtId="172" fontId="90" fillId="0" borderId="46" xfId="0" applyNumberFormat="1" applyFont="1" applyFill="1" applyBorder="1" applyAlignment="1" applyProtection="1">
      <alignment horizontal="center" vertical="top"/>
    </xf>
    <xf numFmtId="0" fontId="96" fillId="2" borderId="47" xfId="0" applyFont="1" applyFill="1" applyBorder="1" applyAlignment="1" applyProtection="1">
      <alignment horizontal="center"/>
      <protection locked="0"/>
    </xf>
    <xf numFmtId="49" fontId="96" fillId="2" borderId="47" xfId="0" applyNumberFormat="1" applyFont="1" applyFill="1" applyBorder="1" applyAlignment="1" applyProtection="1">
      <alignment horizontal="center"/>
      <protection locked="0"/>
    </xf>
    <xf numFmtId="0" fontId="101" fillId="2" borderId="55" xfId="0" applyFont="1" applyFill="1" applyBorder="1" applyAlignment="1" applyProtection="1">
      <alignment horizontal="center"/>
      <protection locked="0"/>
    </xf>
    <xf numFmtId="186" fontId="96" fillId="2" borderId="51" xfId="7" applyNumberFormat="1" applyFont="1" applyFill="1" applyBorder="1" applyAlignment="1" applyProtection="1">
      <alignment horizontal="center" wrapText="1"/>
      <protection locked="0"/>
    </xf>
    <xf numFmtId="0" fontId="96" fillId="2" borderId="0" xfId="0" applyFont="1" applyFill="1" applyAlignment="1">
      <alignment wrapText="1"/>
    </xf>
    <xf numFmtId="0" fontId="0" fillId="68" borderId="0" xfId="0" applyFill="1" applyAlignment="1">
      <alignment wrapText="1"/>
    </xf>
    <xf numFmtId="0" fontId="126" fillId="68" borderId="0" xfId="0" applyFont="1" applyFill="1"/>
    <xf numFmtId="0" fontId="88" fillId="65" borderId="0" xfId="6628" applyFont="1" applyFill="1"/>
    <xf numFmtId="0" fontId="91" fillId="3" borderId="65" xfId="0" applyFont="1" applyFill="1" applyBorder="1" applyProtection="1"/>
    <xf numFmtId="0" fontId="91" fillId="0" borderId="0" xfId="0" applyFont="1" applyProtection="1">
      <protection locked="0"/>
    </xf>
    <xf numFmtId="0" fontId="64" fillId="69" borderId="0" xfId="6628" applyFont="1" applyFill="1"/>
    <xf numFmtId="172" fontId="91" fillId="0" borderId="0" xfId="0" applyNumberFormat="1" applyFont="1" applyFill="1" applyBorder="1" applyAlignment="1" applyProtection="1">
      <alignment horizontal="center"/>
    </xf>
    <xf numFmtId="172" fontId="91" fillId="0" borderId="57" xfId="0" applyNumberFormat="1" applyFont="1" applyFill="1" applyBorder="1" applyAlignment="1" applyProtection="1">
      <alignment horizontal="center"/>
    </xf>
    <xf numFmtId="165" fontId="91" fillId="0" borderId="0" xfId="0" applyNumberFormat="1" applyFont="1" applyFill="1" applyAlignment="1" applyProtection="1">
      <alignment horizontal="center" vertical="top"/>
    </xf>
    <xf numFmtId="165" fontId="91" fillId="0" borderId="1" xfId="0" applyNumberFormat="1" applyFont="1" applyFill="1" applyBorder="1" applyAlignment="1" applyProtection="1">
      <alignment horizontal="center" vertical="top"/>
    </xf>
    <xf numFmtId="165" fontId="91" fillId="0" borderId="0" xfId="0" applyNumberFormat="1" applyFont="1" applyAlignment="1" applyProtection="1">
      <alignment horizontal="center" vertical="top"/>
    </xf>
    <xf numFmtId="165" fontId="91" fillId="0" borderId="0" xfId="0" applyNumberFormat="1" applyFont="1" applyProtection="1"/>
    <xf numFmtId="165" fontId="91" fillId="0" borderId="0" xfId="0" applyNumberFormat="1" applyFont="1" applyBorder="1" applyAlignment="1" applyProtection="1">
      <alignment horizontal="center" vertical="top"/>
    </xf>
    <xf numFmtId="164" fontId="91" fillId="0" borderId="0" xfId="0" applyNumberFormat="1" applyFont="1" applyBorder="1" applyAlignment="1" applyProtection="1">
      <alignment horizontal="center"/>
    </xf>
    <xf numFmtId="10" fontId="91" fillId="3" borderId="0" xfId="9" applyNumberFormat="1" applyFont="1" applyFill="1" applyBorder="1" applyAlignment="1" applyProtection="1">
      <alignment horizontal="center"/>
    </xf>
    <xf numFmtId="10" fontId="91" fillId="3" borderId="0" xfId="9" applyNumberFormat="1" applyFont="1" applyFill="1" applyBorder="1" applyAlignment="1" applyProtection="1">
      <alignment horizontal="center" vertical="top"/>
    </xf>
    <xf numFmtId="0" fontId="91" fillId="0" borderId="1" xfId="0" applyFont="1" applyBorder="1" applyAlignment="1" applyProtection="1">
      <alignment horizontal="center"/>
    </xf>
    <xf numFmtId="165" fontId="91" fillId="0" borderId="0" xfId="0" applyNumberFormat="1" applyFont="1" applyBorder="1" applyAlignment="1" applyProtection="1">
      <alignment horizontal="center"/>
    </xf>
    <xf numFmtId="184" fontId="91" fillId="0" borderId="0" xfId="0" applyNumberFormat="1" applyFont="1" applyBorder="1" applyAlignment="1" applyProtection="1">
      <alignment horizontal="center"/>
    </xf>
    <xf numFmtId="164" fontId="91" fillId="0" borderId="0" xfId="0" applyNumberFormat="1" applyFont="1" applyFill="1" applyBorder="1" applyAlignment="1" applyProtection="1">
      <alignment horizontal="center"/>
    </xf>
    <xf numFmtId="164" fontId="104" fillId="62" borderId="0" xfId="0" applyNumberFormat="1" applyFont="1" applyFill="1" applyBorder="1" applyAlignment="1" applyProtection="1">
      <alignment horizontal="center"/>
    </xf>
    <xf numFmtId="172" fontId="104" fillId="62" borderId="0" xfId="0" applyNumberFormat="1" applyFont="1" applyFill="1" applyBorder="1" applyAlignment="1" applyProtection="1">
      <alignment horizontal="center"/>
    </xf>
    <xf numFmtId="172" fontId="92" fillId="0" borderId="0" xfId="0" applyNumberFormat="1" applyFont="1" applyFill="1" applyBorder="1" applyAlignment="1">
      <alignment horizontal="center" wrapText="1"/>
    </xf>
    <xf numFmtId="194" fontId="91" fillId="3" borderId="0" xfId="0" quotePrefix="1" applyNumberFormat="1" applyFont="1" applyFill="1" applyBorder="1" applyAlignment="1">
      <alignment horizontal="center"/>
    </xf>
    <xf numFmtId="172" fontId="96" fillId="4" borderId="55" xfId="11" applyNumberFormat="1" applyFont="1" applyBorder="1" applyAlignment="1" applyProtection="1">
      <alignment horizontal="right" vertical="top"/>
      <protection locked="0"/>
    </xf>
    <xf numFmtId="172" fontId="96" fillId="2" borderId="55" xfId="11" applyNumberFormat="1" applyFont="1" applyFill="1" applyBorder="1" applyAlignment="1" applyProtection="1">
      <alignment horizontal="right" vertical="top"/>
      <protection locked="0"/>
    </xf>
    <xf numFmtId="0" fontId="61" fillId="65" borderId="0" xfId="0" applyFont="1" applyFill="1" applyProtection="1">
      <protection locked="0"/>
    </xf>
    <xf numFmtId="0" fontId="91" fillId="0" borderId="1" xfId="0" applyFont="1" applyFill="1" applyBorder="1" applyAlignment="1" applyProtection="1">
      <alignment horizontal="center" vertical="top"/>
    </xf>
    <xf numFmtId="174" fontId="96" fillId="4" borderId="55" xfId="11" applyNumberFormat="1" applyFont="1" applyBorder="1" applyAlignment="1" applyProtection="1">
      <alignment horizontal="right"/>
      <protection locked="0"/>
    </xf>
    <xf numFmtId="0" fontId="97" fillId="0" borderId="0" xfId="8" applyFont="1" applyAlignment="1" applyProtection="1">
      <alignment horizontal="center"/>
    </xf>
    <xf numFmtId="0" fontId="90" fillId="0" borderId="0" xfId="0" quotePrefix="1" applyFont="1"/>
    <xf numFmtId="0" fontId="96" fillId="0" borderId="0" xfId="0" applyFont="1"/>
    <xf numFmtId="0" fontId="92" fillId="0" borderId="0" xfId="0" quotePrefix="1" applyFont="1" applyAlignment="1">
      <alignment horizontal="center"/>
    </xf>
    <xf numFmtId="0" fontId="115" fillId="0" borderId="1" xfId="0" applyFont="1" applyBorder="1"/>
    <xf numFmtId="0" fontId="91" fillId="3" borderId="0" xfId="0" applyFont="1" applyFill="1" applyAlignment="1">
      <alignment wrapText="1"/>
    </xf>
    <xf numFmtId="0" fontId="91" fillId="3" borderId="0" xfId="0" applyFont="1" applyFill="1"/>
    <xf numFmtId="0" fontId="91" fillId="3" borderId="67" xfId="0" applyFont="1" applyFill="1" applyBorder="1"/>
    <xf numFmtId="0" fontId="96" fillId="2" borderId="47" xfId="0" quotePrefix="1" applyFont="1" applyFill="1" applyBorder="1" applyAlignment="1" applyProtection="1">
      <alignment vertical="center"/>
      <protection locked="0"/>
    </xf>
    <xf numFmtId="0" fontId="128" fillId="0" borderId="0" xfId="33111" applyFont="1" applyFill="1" applyBorder="1" applyAlignment="1">
      <alignment horizontal="left" vertical="top"/>
    </xf>
    <xf numFmtId="172" fontId="2" fillId="0" borderId="57" xfId="6628" applyNumberFormat="1" applyBorder="1"/>
    <xf numFmtId="0" fontId="2" fillId="0" borderId="1" xfId="6628" applyBorder="1"/>
    <xf numFmtId="172" fontId="15" fillId="0" borderId="1" xfId="6628" applyNumberFormat="1" applyFont="1" applyBorder="1" applyAlignment="1">
      <alignment horizontal="center"/>
    </xf>
    <xf numFmtId="172" fontId="15" fillId="0" borderId="1" xfId="6628" applyNumberFormat="1" applyFont="1" applyBorder="1"/>
    <xf numFmtId="172" fontId="2" fillId="0" borderId="51" xfId="6628" applyNumberFormat="1" applyBorder="1"/>
    <xf numFmtId="172" fontId="2" fillId="0" borderId="66" xfId="6628" applyNumberFormat="1" applyBorder="1"/>
    <xf numFmtId="172" fontId="2" fillId="0" borderId="47" xfId="6628" applyNumberFormat="1" applyBorder="1"/>
    <xf numFmtId="172" fontId="2" fillId="0" borderId="55" xfId="6628" applyNumberFormat="1" applyBorder="1"/>
    <xf numFmtId="172" fontId="2" fillId="0" borderId="47" xfId="6628" quotePrefix="1" applyNumberFormat="1" applyBorder="1"/>
    <xf numFmtId="172" fontId="2" fillId="0" borderId="0" xfId="6628" quotePrefix="1" applyNumberFormat="1"/>
    <xf numFmtId="172" fontId="2" fillId="0" borderId="0" xfId="6628" applyNumberFormat="1" applyAlignment="1">
      <alignment horizontal="left"/>
    </xf>
    <xf numFmtId="0" fontId="91" fillId="2" borderId="47" xfId="0" applyFont="1" applyFill="1" applyBorder="1" applyProtection="1">
      <protection locked="0"/>
    </xf>
    <xf numFmtId="0" fontId="91" fillId="0" borderId="0" xfId="0" quotePrefix="1" applyFont="1" applyFill="1" applyAlignment="1" applyProtection="1"/>
    <xf numFmtId="172" fontId="92" fillId="0" borderId="57" xfId="0" applyNumberFormat="1" applyFont="1" applyBorder="1" applyAlignment="1">
      <alignment horizontal="center" vertical="top"/>
    </xf>
    <xf numFmtId="172" fontId="92" fillId="0" borderId="57" xfId="0" applyNumberFormat="1" applyFont="1" applyFill="1" applyBorder="1" applyAlignment="1">
      <alignment horizontal="center" vertical="top"/>
    </xf>
    <xf numFmtId="172" fontId="91" fillId="2" borderId="47" xfId="0" applyNumberFormat="1" applyFont="1" applyFill="1" applyBorder="1" applyProtection="1">
      <protection locked="0"/>
    </xf>
    <xf numFmtId="0" fontId="129" fillId="0" borderId="0" xfId="0" applyFont="1" applyAlignment="1" applyProtection="1">
      <alignment horizontal="center"/>
    </xf>
    <xf numFmtId="0" fontId="91" fillId="0" borderId="0" xfId="0" quotePrefix="1" applyFont="1"/>
    <xf numFmtId="14" fontId="91" fillId="0" borderId="0" xfId="0" applyNumberFormat="1" applyFont="1"/>
    <xf numFmtId="187" fontId="96" fillId="4" borderId="55" xfId="11" applyNumberFormat="1" applyFont="1" applyBorder="1" applyAlignment="1" applyProtection="1">
      <alignment horizontal="center"/>
      <protection locked="0"/>
    </xf>
    <xf numFmtId="174" fontId="91" fillId="0" borderId="57" xfId="0" applyNumberFormat="1" applyFont="1" applyBorder="1" applyAlignment="1" applyProtection="1">
      <alignment horizontal="right" wrapText="1"/>
    </xf>
    <xf numFmtId="174" fontId="91" fillId="0" borderId="57" xfId="0" applyNumberFormat="1" applyFont="1" applyBorder="1" applyAlignment="1" applyProtection="1">
      <alignment horizontal="right"/>
    </xf>
    <xf numFmtId="172" fontId="91" fillId="0" borderId="57" xfId="0" applyNumberFormat="1" applyFont="1" applyBorder="1" applyAlignment="1" applyProtection="1">
      <alignment horizontal="right"/>
    </xf>
    <xf numFmtId="174" fontId="91" fillId="0" borderId="0" xfId="0" quotePrefix="1" applyNumberFormat="1" applyFont="1" applyProtection="1"/>
    <xf numFmtId="172" fontId="96" fillId="0" borderId="0" xfId="0" applyNumberFormat="1" applyFont="1" applyFill="1" applyBorder="1" applyProtection="1">
      <protection locked="0"/>
    </xf>
    <xf numFmtId="0" fontId="90" fillId="0" borderId="0" xfId="0" applyFont="1" applyFill="1" applyBorder="1" applyProtection="1">
      <protection locked="0"/>
    </xf>
    <xf numFmtId="172" fontId="90" fillId="0" borderId="0" xfId="0" quotePrefix="1" applyNumberFormat="1" applyFont="1" applyFill="1" applyBorder="1" applyProtection="1"/>
    <xf numFmtId="172" fontId="90" fillId="0" borderId="0" xfId="0" applyNumberFormat="1" applyFont="1" applyFill="1" applyBorder="1" applyProtection="1"/>
    <xf numFmtId="0" fontId="90" fillId="0" borderId="57" xfId="0" applyFont="1" applyFill="1" applyBorder="1" applyProtection="1">
      <protection locked="0"/>
    </xf>
    <xf numFmtId="172" fontId="96" fillId="0" borderId="57" xfId="0" applyNumberFormat="1" applyFont="1" applyFill="1" applyBorder="1" applyProtection="1">
      <protection locked="0"/>
    </xf>
    <xf numFmtId="172" fontId="91" fillId="0" borderId="57" xfId="0" applyNumberFormat="1" applyFont="1" applyFill="1" applyBorder="1" applyProtection="1"/>
    <xf numFmtId="172" fontId="90" fillId="0" borderId="103" xfId="0" applyNumberFormat="1" applyFont="1" applyFill="1" applyBorder="1" applyProtection="1"/>
    <xf numFmtId="0" fontId="105" fillId="0" borderId="0" xfId="0" quotePrefix="1" applyFont="1" applyProtection="1"/>
    <xf numFmtId="9" fontId="95" fillId="0" borderId="0" xfId="10" applyFont="1" applyFill="1" applyProtection="1"/>
    <xf numFmtId="174" fontId="104" fillId="63" borderId="57" xfId="0" applyNumberFormat="1" applyFont="1" applyFill="1" applyBorder="1"/>
    <xf numFmtId="174" fontId="107" fillId="63" borderId="57" xfId="0" applyNumberFormat="1" applyFont="1" applyFill="1" applyBorder="1"/>
    <xf numFmtId="182" fontId="92" fillId="63" borderId="57" xfId="0" applyNumberFormat="1" applyFont="1" applyFill="1" applyBorder="1" applyAlignment="1">
      <alignment horizontal="center" vertical="top"/>
    </xf>
    <xf numFmtId="0" fontId="91" fillId="70" borderId="0" xfId="0" applyFont="1" applyFill="1"/>
    <xf numFmtId="0" fontId="91" fillId="70" borderId="47" xfId="0" applyFont="1" applyFill="1" applyBorder="1"/>
    <xf numFmtId="0" fontId="2" fillId="0" borderId="0" xfId="6628" quotePrefix="1"/>
    <xf numFmtId="172" fontId="2" fillId="0" borderId="0" xfId="6628" applyNumberFormat="1" applyFill="1"/>
    <xf numFmtId="0" fontId="92" fillId="0" borderId="1" xfId="0" applyFont="1" applyBorder="1" applyProtection="1"/>
    <xf numFmtId="0" fontId="0" fillId="0" borderId="0" xfId="0" applyAlignment="1">
      <alignment horizontal="left" wrapText="1"/>
    </xf>
    <xf numFmtId="175" fontId="91" fillId="3" borderId="0" xfId="13330" applyNumberFormat="1" applyFont="1" applyFill="1" applyBorder="1" applyAlignment="1">
      <alignment horizontal="center" vertical="top"/>
    </xf>
    <xf numFmtId="175" fontId="91" fillId="3" borderId="0" xfId="13330" applyNumberFormat="1" applyFont="1" applyFill="1" applyAlignment="1">
      <alignment horizontal="center" vertical="top"/>
    </xf>
    <xf numFmtId="0" fontId="104" fillId="0" borderId="0" xfId="0" applyFont="1" applyAlignment="1">
      <alignment horizontal="left"/>
    </xf>
    <xf numFmtId="0" fontId="104" fillId="0" borderId="0" xfId="0" applyFont="1"/>
    <xf numFmtId="0" fontId="107" fillId="0" borderId="0" xfId="0" applyFont="1"/>
    <xf numFmtId="0" fontId="131" fillId="0" borderId="47" xfId="7" applyFont="1" applyBorder="1" applyAlignment="1" applyProtection="1">
      <alignment horizontal="left"/>
    </xf>
    <xf numFmtId="0" fontId="107" fillId="0" borderId="47" xfId="0" applyFont="1" applyBorder="1"/>
    <xf numFmtId="0" fontId="0" fillId="0" borderId="47" xfId="0" applyBorder="1"/>
    <xf numFmtId="0" fontId="132" fillId="0" borderId="0" xfId="0" applyFont="1"/>
    <xf numFmtId="0" fontId="133" fillId="0" borderId="0" xfId="0" applyFont="1"/>
    <xf numFmtId="0" fontId="15" fillId="0" borderId="0" xfId="8" applyFont="1" applyAlignment="1" applyProtection="1">
      <alignment horizontal="center"/>
    </xf>
    <xf numFmtId="0" fontId="83" fillId="0" borderId="0" xfId="0" applyFont="1" applyProtection="1"/>
    <xf numFmtId="0" fontId="120" fillId="0" borderId="0" xfId="8" applyFont="1" applyAlignment="1" applyProtection="1">
      <alignment horizontal="left"/>
    </xf>
    <xf numFmtId="0" fontId="120" fillId="0" borderId="0" xfId="8" applyFont="1" applyAlignment="1" applyProtection="1">
      <alignment horizontal="center"/>
    </xf>
    <xf numFmtId="172" fontId="83" fillId="0" borderId="0" xfId="0" applyNumberFormat="1" applyFont="1" applyProtection="1"/>
    <xf numFmtId="0" fontId="83" fillId="0" borderId="0" xfId="0" applyFont="1"/>
    <xf numFmtId="175" fontId="120" fillId="2" borderId="0" xfId="8" applyNumberFormat="1" applyFont="1" applyFill="1" applyAlignment="1" applyProtection="1">
      <alignment horizontal="center"/>
    </xf>
    <xf numFmtId="0" fontId="64" fillId="0" borderId="0" xfId="8" applyFont="1" applyAlignment="1" applyProtection="1">
      <alignment horizontal="center"/>
    </xf>
    <xf numFmtId="0" fontId="107" fillId="0" borderId="0" xfId="0" applyFont="1" applyAlignment="1" applyProtection="1">
      <alignment horizontal="center"/>
    </xf>
    <xf numFmtId="174" fontId="83" fillId="0" borderId="0" xfId="0" applyNumberFormat="1" applyFont="1" applyProtection="1"/>
    <xf numFmtId="172" fontId="83" fillId="0" borderId="0" xfId="0" applyNumberFormat="1" applyFont="1"/>
    <xf numFmtId="43" fontId="107" fillId="0" borderId="57" xfId="4" applyFont="1" applyBorder="1" applyProtection="1"/>
    <xf numFmtId="0" fontId="107" fillId="0" borderId="0" xfId="8" applyFont="1" applyFill="1" applyAlignment="1" applyProtection="1">
      <alignment horizontal="right"/>
    </xf>
    <xf numFmtId="166" fontId="107" fillId="0" borderId="0" xfId="6" applyNumberFormat="1" applyFont="1" applyFill="1" applyBorder="1" applyAlignment="1" applyProtection="1">
      <alignment horizontal="center"/>
    </xf>
    <xf numFmtId="43" fontId="107" fillId="0" borderId="0" xfId="4" applyFont="1" applyBorder="1" applyProtection="1"/>
    <xf numFmtId="172" fontId="107" fillId="0" borderId="0" xfId="5" applyNumberFormat="1" applyFont="1" applyBorder="1" applyAlignment="1" applyProtection="1">
      <alignment horizontal="center"/>
    </xf>
    <xf numFmtId="0" fontId="104" fillId="0" borderId="0" xfId="8" quotePrefix="1" applyFont="1" applyFill="1" applyAlignment="1" applyProtection="1">
      <alignment horizontal="right"/>
    </xf>
    <xf numFmtId="174" fontId="107" fillId="0" borderId="0" xfId="5" applyNumberFormat="1" applyFont="1" applyBorder="1" applyAlignment="1" applyProtection="1">
      <alignment horizontal="right"/>
    </xf>
    <xf numFmtId="43" fontId="83" fillId="0" borderId="0" xfId="4" applyFont="1" applyProtection="1"/>
    <xf numFmtId="0" fontId="136" fillId="0" borderId="0" xfId="0" applyFont="1" applyProtection="1"/>
    <xf numFmtId="0" fontId="135" fillId="0" borderId="0" xfId="0" applyFont="1" applyProtection="1"/>
    <xf numFmtId="0" fontId="135" fillId="0" borderId="69" xfId="0" applyFont="1" applyFill="1" applyBorder="1" applyAlignment="1" applyProtection="1">
      <alignment horizontal="center"/>
    </xf>
    <xf numFmtId="0" fontId="135" fillId="0" borderId="65" xfId="0" applyFont="1" applyFill="1" applyBorder="1" applyAlignment="1" applyProtection="1">
      <alignment horizontal="center"/>
    </xf>
    <xf numFmtId="0" fontId="135" fillId="0" borderId="65" xfId="0" applyFont="1" applyBorder="1" applyAlignment="1" applyProtection="1">
      <alignment horizontal="center" wrapText="1"/>
    </xf>
    <xf numFmtId="0" fontId="107" fillId="0" borderId="51" xfId="0" applyFont="1" applyFill="1" applyBorder="1" applyProtection="1"/>
    <xf numFmtId="166" fontId="107" fillId="0" borderId="51" xfId="0" applyNumberFormat="1" applyFont="1" applyFill="1" applyBorder="1" applyProtection="1"/>
    <xf numFmtId="172" fontId="107" fillId="0" borderId="51" xfId="0" applyNumberFormat="1" applyFont="1" applyFill="1" applyBorder="1" applyProtection="1"/>
    <xf numFmtId="0" fontId="107" fillId="0" borderId="47" xfId="0" applyFont="1" applyFill="1" applyBorder="1" applyProtection="1"/>
    <xf numFmtId="172" fontId="107" fillId="0" borderId="47" xfId="0" applyNumberFormat="1" applyFont="1" applyFill="1" applyBorder="1" applyProtection="1"/>
    <xf numFmtId="174" fontId="107" fillId="0" borderId="47" xfId="0" applyNumberFormat="1" applyFont="1" applyFill="1" applyBorder="1" applyProtection="1"/>
    <xf numFmtId="0" fontId="137" fillId="0" borderId="0" xfId="0" applyFont="1" applyFill="1" applyBorder="1" applyProtection="1"/>
    <xf numFmtId="174" fontId="120" fillId="2" borderId="0" xfId="8" applyNumberFormat="1" applyFont="1" applyFill="1" applyAlignment="1" applyProtection="1">
      <alignment horizontal="center"/>
    </xf>
    <xf numFmtId="174" fontId="120" fillId="0" borderId="0" xfId="8" applyNumberFormat="1" applyFont="1" applyFill="1" applyAlignment="1" applyProtection="1">
      <alignment horizontal="center"/>
    </xf>
    <xf numFmtId="0" fontId="107" fillId="0" borderId="57" xfId="8" applyFont="1" applyFill="1" applyBorder="1" applyAlignment="1" applyProtection="1">
      <alignment horizontal="left"/>
    </xf>
    <xf numFmtId="0" fontId="95" fillId="0" borderId="0" xfId="0" applyFont="1"/>
    <xf numFmtId="172" fontId="96" fillId="2" borderId="51" xfId="0" applyNumberFormat="1" applyFont="1" applyFill="1" applyBorder="1" applyProtection="1">
      <protection locked="0"/>
    </xf>
    <xf numFmtId="172" fontId="96" fillId="0" borderId="75" xfId="0" applyNumberFormat="1" applyFont="1" applyFill="1" applyBorder="1" applyProtection="1">
      <protection locked="0"/>
    </xf>
    <xf numFmtId="0" fontId="96" fillId="0" borderId="51" xfId="0" applyFont="1" applyFill="1" applyBorder="1" applyProtection="1">
      <protection locked="0"/>
    </xf>
    <xf numFmtId="174" fontId="96" fillId="0" borderId="51" xfId="0" applyNumberFormat="1" applyFont="1" applyFill="1" applyBorder="1" applyProtection="1">
      <protection locked="0"/>
    </xf>
    <xf numFmtId="172" fontId="96" fillId="0" borderId="47" xfId="0" applyNumberFormat="1" applyFont="1" applyFill="1" applyBorder="1" applyProtection="1">
      <protection locked="0"/>
    </xf>
    <xf numFmtId="0" fontId="89" fillId="0" borderId="75" xfId="0" applyFont="1" applyFill="1" applyBorder="1" applyAlignment="1" applyProtection="1">
      <alignment vertical="center"/>
      <protection locked="0"/>
    </xf>
    <xf numFmtId="174" fontId="90" fillId="0" borderId="55" xfId="0" applyNumberFormat="1" applyFont="1" applyFill="1" applyBorder="1" applyProtection="1"/>
    <xf numFmtId="183" fontId="91" fillId="0" borderId="0" xfId="4" applyNumberFormat="1" applyFont="1" applyFill="1" applyProtection="1"/>
    <xf numFmtId="183" fontId="91" fillId="0" borderId="0" xfId="4" applyNumberFormat="1" applyFont="1" applyProtection="1"/>
    <xf numFmtId="0" fontId="96" fillId="0" borderId="47" xfId="0" applyFont="1" applyFill="1" applyBorder="1" applyAlignment="1" applyProtection="1">
      <alignment vertical="center"/>
      <protection locked="0"/>
    </xf>
    <xf numFmtId="0" fontId="91" fillId="0" borderId="0" xfId="0" applyFont="1" applyFill="1" applyAlignment="1" applyProtection="1">
      <alignment wrapText="1"/>
    </xf>
    <xf numFmtId="0" fontId="107" fillId="0" borderId="51" xfId="0" applyFont="1" applyBorder="1"/>
    <xf numFmtId="0" fontId="91" fillId="0" borderId="51" xfId="0" applyFont="1" applyBorder="1"/>
    <xf numFmtId="0" fontId="0" fillId="0" borderId="51" xfId="0" applyBorder="1"/>
    <xf numFmtId="0" fontId="112" fillId="0" borderId="1" xfId="0" applyFont="1" applyBorder="1"/>
    <xf numFmtId="0" fontId="0" fillId="0" borderId="1" xfId="0" applyBorder="1"/>
    <xf numFmtId="0" fontId="12" fillId="71" borderId="0" xfId="0" applyFont="1" applyFill="1"/>
    <xf numFmtId="0" fontId="139" fillId="71" borderId="0" xfId="0" applyFont="1" applyFill="1"/>
    <xf numFmtId="0" fontId="131" fillId="0" borderId="0" xfId="7" applyFont="1" applyBorder="1" applyAlignment="1" applyProtection="1">
      <alignment horizontal="left"/>
    </xf>
    <xf numFmtId="0" fontId="131" fillId="0" borderId="0" xfId="7" applyFont="1" applyBorder="1" applyAlignment="1" applyProtection="1">
      <alignment horizontal="center"/>
    </xf>
    <xf numFmtId="0" fontId="104" fillId="0" borderId="0" xfId="0" applyFont="1" applyFill="1" applyProtection="1"/>
    <xf numFmtId="0" fontId="94" fillId="0" borderId="0" xfId="6628" applyFont="1" applyProtection="1"/>
    <xf numFmtId="1" fontId="91" fillId="0" borderId="57" xfId="0" applyNumberFormat="1" applyFont="1" applyFill="1" applyBorder="1" applyAlignment="1" applyProtection="1">
      <alignment horizontal="left"/>
    </xf>
    <xf numFmtId="1" fontId="91" fillId="0" borderId="0" xfId="0" applyNumberFormat="1" applyFont="1" applyFill="1" applyAlignment="1" applyProtection="1">
      <alignment horizontal="left"/>
    </xf>
    <xf numFmtId="164" fontId="91" fillId="0" borderId="0" xfId="0" applyNumberFormat="1" applyFont="1" applyAlignment="1" applyProtection="1">
      <alignment horizontal="center" vertical="top"/>
    </xf>
    <xf numFmtId="5" fontId="91" fillId="0" borderId="0" xfId="0" applyNumberFormat="1" applyFont="1" applyAlignment="1" applyProtection="1">
      <alignment horizontal="center" vertical="top"/>
    </xf>
    <xf numFmtId="175" fontId="91" fillId="0" borderId="0" xfId="0" applyNumberFormat="1" applyFont="1" applyAlignment="1" applyProtection="1">
      <alignment horizontal="center" vertical="top"/>
    </xf>
    <xf numFmtId="175" fontId="92" fillId="0" borderId="0" xfId="0" applyNumberFormat="1" applyFont="1" applyBorder="1" applyAlignment="1" applyProtection="1">
      <alignment horizontal="center" vertical="top"/>
    </xf>
    <xf numFmtId="175" fontId="91" fillId="0" borderId="0" xfId="0" applyNumberFormat="1" applyFont="1" applyBorder="1" applyAlignment="1" applyProtection="1">
      <alignment horizontal="center" vertical="top"/>
    </xf>
    <xf numFmtId="165" fontId="92" fillId="0" borderId="0" xfId="0" applyNumberFormat="1" applyFont="1" applyAlignment="1" applyProtection="1">
      <alignment horizontal="center" vertical="top"/>
    </xf>
    <xf numFmtId="175" fontId="92" fillId="0" borderId="0" xfId="0" applyNumberFormat="1" applyFont="1" applyAlignment="1" applyProtection="1">
      <alignment horizontal="center" vertical="top"/>
    </xf>
    <xf numFmtId="0" fontId="92" fillId="0" borderId="5" xfId="0" applyFont="1" applyBorder="1" applyAlignment="1" applyProtection="1">
      <alignment horizontal="left"/>
    </xf>
    <xf numFmtId="175" fontId="92" fillId="0" borderId="6" xfId="0" applyNumberFormat="1" applyFont="1" applyBorder="1" applyAlignment="1" applyProtection="1">
      <alignment horizontal="center"/>
    </xf>
    <xf numFmtId="0" fontId="106" fillId="0" borderId="0" xfId="0" applyFont="1" applyFill="1" applyBorder="1" applyProtection="1"/>
    <xf numFmtId="165" fontId="105" fillId="0" borderId="0" xfId="0" applyNumberFormat="1" applyFont="1" applyAlignment="1" applyProtection="1">
      <alignment horizontal="center"/>
    </xf>
    <xf numFmtId="165" fontId="106" fillId="0" borderId="0" xfId="0" applyNumberFormat="1" applyFont="1" applyAlignment="1" applyProtection="1">
      <alignment horizontal="center"/>
    </xf>
    <xf numFmtId="0" fontId="106" fillId="0" borderId="5" xfId="0" applyFont="1" applyBorder="1" applyAlignment="1" applyProtection="1">
      <alignment horizontal="left"/>
    </xf>
    <xf numFmtId="6" fontId="92" fillId="0" borderId="6" xfId="0" applyNumberFormat="1" applyFont="1" applyBorder="1" applyAlignment="1" applyProtection="1">
      <alignment horizontal="center"/>
    </xf>
    <xf numFmtId="172" fontId="92" fillId="0" borderId="0" xfId="0" applyNumberFormat="1" applyFont="1" applyFill="1" applyAlignment="1" applyProtection="1">
      <alignment horizontal="center"/>
    </xf>
    <xf numFmtId="180" fontId="92" fillId="0" borderId="0" xfId="0" applyNumberFormat="1" applyFont="1" applyFill="1" applyAlignment="1" applyProtection="1">
      <alignment horizontal="center"/>
    </xf>
    <xf numFmtId="6" fontId="91" fillId="0" borderId="57" xfId="0" applyNumberFormat="1" applyFont="1" applyBorder="1" applyAlignment="1" applyProtection="1">
      <alignment horizontal="center"/>
    </xf>
    <xf numFmtId="6" fontId="91" fillId="0" borderId="0" xfId="0" applyNumberFormat="1" applyFont="1" applyFill="1" applyAlignment="1" applyProtection="1">
      <alignment horizontal="center"/>
    </xf>
    <xf numFmtId="6" fontId="91" fillId="0" borderId="0" xfId="0" applyNumberFormat="1" applyFont="1" applyBorder="1" applyAlignment="1" applyProtection="1">
      <alignment horizontal="center"/>
    </xf>
    <xf numFmtId="1" fontId="92" fillId="0" borderId="57" xfId="0" applyNumberFormat="1" applyFont="1" applyFill="1" applyBorder="1" applyAlignment="1" applyProtection="1">
      <alignment horizontal="left"/>
    </xf>
    <xf numFmtId="1" fontId="92" fillId="0" borderId="0" xfId="0" applyNumberFormat="1" applyFont="1" applyFill="1" applyAlignment="1" applyProtection="1">
      <alignment horizontal="left"/>
    </xf>
    <xf numFmtId="1" fontId="105" fillId="0" borderId="0" xfId="0" applyNumberFormat="1" applyFont="1" applyFill="1" applyBorder="1" applyAlignment="1" applyProtection="1">
      <alignment horizontal="left"/>
    </xf>
    <xf numFmtId="1" fontId="91" fillId="0" borderId="0" xfId="0" applyNumberFormat="1" applyFont="1" applyFill="1" applyBorder="1" applyAlignment="1" applyProtection="1">
      <alignment horizontal="left"/>
    </xf>
    <xf numFmtId="1" fontId="92" fillId="0" borderId="0" xfId="0" applyNumberFormat="1" applyFont="1" applyFill="1" applyBorder="1" applyAlignment="1" applyProtection="1">
      <alignment horizontal="left"/>
    </xf>
    <xf numFmtId="174" fontId="91" fillId="0" borderId="0" xfId="0" applyNumberFormat="1" applyFont="1" applyFill="1" applyBorder="1" applyAlignment="1" applyProtection="1">
      <alignment horizontal="center"/>
    </xf>
    <xf numFmtId="1" fontId="91" fillId="0" borderId="0" xfId="0" applyNumberFormat="1" applyFont="1" applyBorder="1" applyAlignment="1" applyProtection="1">
      <alignment horizontal="center" vertical="top"/>
    </xf>
    <xf numFmtId="3" fontId="91" fillId="0" borderId="0" xfId="0" applyNumberFormat="1" applyFont="1" applyAlignment="1" applyProtection="1">
      <alignment horizontal="center" vertical="top"/>
    </xf>
    <xf numFmtId="3" fontId="91" fillId="0" borderId="57" xfId="0" applyNumberFormat="1" applyFont="1" applyBorder="1" applyAlignment="1" applyProtection="1">
      <alignment horizontal="center" vertical="top"/>
    </xf>
    <xf numFmtId="175" fontId="92" fillId="0" borderId="6" xfId="0" applyNumberFormat="1" applyFont="1" applyFill="1" applyBorder="1" applyAlignment="1" applyProtection="1">
      <alignment horizontal="center"/>
    </xf>
    <xf numFmtId="179" fontId="92" fillId="0" borderId="6" xfId="0" applyNumberFormat="1" applyFont="1" applyBorder="1" applyAlignment="1" applyProtection="1">
      <alignment horizontal="center"/>
    </xf>
    <xf numFmtId="0" fontId="106" fillId="0" borderId="0" xfId="0" quotePrefix="1" applyFont="1" applyProtection="1"/>
    <xf numFmtId="6" fontId="105" fillId="0" borderId="0" xfId="0" applyNumberFormat="1" applyFont="1" applyAlignment="1" applyProtection="1">
      <alignment horizontal="center"/>
    </xf>
    <xf numFmtId="165" fontId="91" fillId="0" borderId="0" xfId="0" applyNumberFormat="1" applyFont="1" applyFill="1" applyProtection="1"/>
    <xf numFmtId="0" fontId="91" fillId="0" borderId="0" xfId="0" applyFont="1" applyFill="1" applyAlignment="1">
      <alignment horizontal="left" indent="1"/>
    </xf>
    <xf numFmtId="0" fontId="92" fillId="63" borderId="1" xfId="0" applyFont="1" applyFill="1" applyBorder="1"/>
    <xf numFmtId="0" fontId="130" fillId="0" borderId="0" xfId="0" applyFont="1" applyFill="1" applyBorder="1"/>
    <xf numFmtId="183" fontId="92" fillId="0" borderId="1" xfId="4" applyNumberFormat="1" applyFont="1" applyFill="1" applyBorder="1"/>
    <xf numFmtId="172" fontId="91" fillId="0" borderId="0" xfId="33110" applyNumberFormat="1" applyFont="1" applyFill="1" applyBorder="1" applyAlignment="1">
      <alignment horizontal="right"/>
    </xf>
    <xf numFmtId="172" fontId="91" fillId="0" borderId="47" xfId="33110" applyNumberFormat="1" applyFont="1" applyFill="1" applyBorder="1" applyAlignment="1">
      <alignment horizontal="right"/>
    </xf>
    <xf numFmtId="0" fontId="102" fillId="65" borderId="0" xfId="0" applyFont="1" applyFill="1" applyProtection="1"/>
    <xf numFmtId="174" fontId="107" fillId="0" borderId="47" xfId="0" applyNumberFormat="1" applyFont="1" applyFill="1" applyBorder="1"/>
    <xf numFmtId="0" fontId="105" fillId="0" borderId="47" xfId="0" applyFont="1" applyFill="1" applyBorder="1"/>
    <xf numFmtId="174" fontId="92" fillId="60" borderId="0" xfId="0" applyNumberFormat="1" applyFont="1" applyFill="1" applyAlignment="1">
      <alignment horizontal="right"/>
    </xf>
    <xf numFmtId="0" fontId="92" fillId="60" borderId="0" xfId="0" applyFont="1" applyFill="1" applyAlignment="1" applyProtection="1">
      <alignment horizontal="center"/>
    </xf>
    <xf numFmtId="0" fontId="92" fillId="60" borderId="5" xfId="0" applyFont="1" applyFill="1" applyBorder="1"/>
    <xf numFmtId="174" fontId="92" fillId="60" borderId="6" xfId="0" applyNumberFormat="1" applyFont="1" applyFill="1" applyBorder="1" applyAlignment="1">
      <alignment horizontal="right"/>
    </xf>
    <xf numFmtId="0" fontId="92" fillId="60" borderId="6" xfId="0" applyFont="1" applyFill="1" applyBorder="1"/>
    <xf numFmtId="172" fontId="91" fillId="0" borderId="47" xfId="0" applyNumberFormat="1" applyFont="1" applyFill="1" applyBorder="1" applyAlignment="1">
      <alignment horizontal="right" vertical="top"/>
    </xf>
    <xf numFmtId="174" fontId="91" fillId="0" borderId="47" xfId="0" applyNumberFormat="1" applyFont="1" applyFill="1" applyBorder="1" applyAlignment="1">
      <alignment horizontal="right" vertical="top"/>
    </xf>
    <xf numFmtId="174" fontId="90" fillId="0" borderId="47" xfId="13330" applyNumberFormat="1" applyFont="1" applyFill="1" applyBorder="1" applyAlignment="1">
      <alignment horizontal="right" vertical="top"/>
    </xf>
    <xf numFmtId="174" fontId="90" fillId="0" borderId="47" xfId="0" applyNumberFormat="1" applyFont="1" applyFill="1" applyBorder="1" applyAlignment="1">
      <alignment horizontal="right"/>
    </xf>
    <xf numFmtId="174" fontId="91" fillId="0" borderId="47" xfId="9" applyNumberFormat="1" applyFont="1" applyFill="1" applyBorder="1" applyAlignment="1" applyProtection="1">
      <alignment horizontal="right" vertical="top"/>
    </xf>
    <xf numFmtId="172" fontId="96" fillId="2" borderId="48" xfId="13118" applyNumberFormat="1" applyFont="1" applyFill="1" applyBorder="1" applyProtection="1">
      <protection locked="0"/>
    </xf>
    <xf numFmtId="172" fontId="2" fillId="0" borderId="0" xfId="8" applyNumberFormat="1"/>
    <xf numFmtId="172" fontId="91" fillId="0" borderId="0" xfId="0" applyNumberFormat="1" applyFont="1" applyFill="1" applyBorder="1" applyAlignment="1">
      <alignment horizontal="right" vertical="top"/>
    </xf>
    <xf numFmtId="174" fontId="92" fillId="0" borderId="1" xfId="33110" applyNumberFormat="1" applyFont="1" applyFill="1" applyBorder="1"/>
    <xf numFmtId="174" fontId="92" fillId="0" borderId="1" xfId="0" applyNumberFormat="1" applyFont="1" applyFill="1" applyBorder="1"/>
    <xf numFmtId="174" fontId="91" fillId="0" borderId="1" xfId="33110" applyNumberFormat="1" applyFont="1" applyFill="1" applyBorder="1" applyAlignment="1">
      <alignment horizontal="right"/>
    </xf>
    <xf numFmtId="174" fontId="91" fillId="0" borderId="1" xfId="33110" applyNumberFormat="1" applyFont="1" applyFill="1" applyBorder="1"/>
    <xf numFmtId="174" fontId="91" fillId="0" borderId="1" xfId="0" applyNumberFormat="1" applyFont="1" applyFill="1" applyBorder="1"/>
    <xf numFmtId="175" fontId="91" fillId="2" borderId="0" xfId="0" applyNumberFormat="1" applyFont="1" applyFill="1" applyAlignment="1" applyProtection="1">
      <alignment horizontal="right"/>
      <protection locked="0"/>
    </xf>
    <xf numFmtId="0" fontId="106" fillId="0" borderId="0" xfId="0" applyFont="1" applyFill="1" applyProtection="1"/>
    <xf numFmtId="0" fontId="92" fillId="0" borderId="0" xfId="0" applyFont="1" applyAlignment="1" applyProtection="1">
      <alignment horizontal="left" wrapText="1"/>
    </xf>
    <xf numFmtId="172" fontId="96" fillId="2" borderId="55" xfId="0" applyNumberFormat="1" applyFont="1" applyFill="1" applyBorder="1" applyProtection="1">
      <protection locked="0"/>
    </xf>
    <xf numFmtId="172" fontId="96" fillId="2" borderId="102" xfId="0" applyNumberFormat="1" applyFont="1" applyFill="1" applyBorder="1" applyProtection="1">
      <protection locked="0"/>
    </xf>
    <xf numFmtId="0" fontId="91" fillId="2" borderId="51" xfId="0" applyFont="1" applyFill="1" applyBorder="1" applyProtection="1">
      <protection locked="0"/>
    </xf>
    <xf numFmtId="174" fontId="107" fillId="0" borderId="52" xfId="0" applyNumberFormat="1" applyFont="1" applyFill="1" applyBorder="1"/>
    <xf numFmtId="0" fontId="92" fillId="3" borderId="1" xfId="0" applyFont="1" applyFill="1" applyBorder="1"/>
    <xf numFmtId="172" fontId="107" fillId="0" borderId="0" xfId="33110" applyNumberFormat="1" applyFont="1" applyAlignment="1">
      <alignment horizontal="right" vertical="top"/>
    </xf>
    <xf numFmtId="172" fontId="91" fillId="0" borderId="0" xfId="33110" applyNumberFormat="1" applyFont="1" applyAlignment="1">
      <alignment horizontal="right"/>
    </xf>
    <xf numFmtId="172" fontId="0" fillId="0" borderId="0" xfId="0" applyNumberFormat="1"/>
    <xf numFmtId="0" fontId="89" fillId="0" borderId="75" xfId="0" applyFont="1" applyFill="1" applyBorder="1" applyProtection="1"/>
    <xf numFmtId="172" fontId="96" fillId="0" borderId="75" xfId="0" applyNumberFormat="1" applyFont="1" applyFill="1" applyBorder="1" applyProtection="1"/>
    <xf numFmtId="0" fontId="90" fillId="0" borderId="51" xfId="0" applyFont="1" applyFill="1" applyBorder="1" applyAlignment="1" applyProtection="1">
      <alignment vertical="center"/>
    </xf>
    <xf numFmtId="0" fontId="90" fillId="0" borderId="47" xfId="0" applyFont="1" applyFill="1" applyBorder="1" applyAlignment="1" applyProtection="1">
      <alignment wrapText="1"/>
    </xf>
    <xf numFmtId="174" fontId="90" fillId="0" borderId="47" xfId="0" applyNumberFormat="1" applyFont="1" applyFill="1" applyBorder="1" applyProtection="1"/>
    <xf numFmtId="0" fontId="90" fillId="0" borderId="47" xfId="0" applyFont="1" applyFill="1" applyBorder="1" applyProtection="1"/>
    <xf numFmtId="172" fontId="90" fillId="0" borderId="47" xfId="0" applyNumberFormat="1" applyFont="1" applyFill="1" applyBorder="1" applyProtection="1"/>
    <xf numFmtId="0" fontId="90" fillId="0" borderId="47" xfId="0" applyFont="1" applyFill="1" applyBorder="1" applyAlignment="1" applyProtection="1">
      <alignment vertical="center"/>
    </xf>
    <xf numFmtId="198" fontId="91" fillId="0" borderId="57" xfId="0" applyNumberFormat="1" applyFont="1" applyFill="1" applyBorder="1" applyAlignment="1" applyProtection="1">
      <alignment horizontal="center"/>
    </xf>
    <xf numFmtId="198" fontId="91" fillId="0" borderId="0" xfId="0" applyNumberFormat="1" applyFont="1" applyFill="1" applyBorder="1" applyAlignment="1" applyProtection="1">
      <alignment horizontal="center"/>
    </xf>
    <xf numFmtId="199" fontId="91" fillId="0" borderId="0" xfId="0" applyNumberFormat="1" applyFont="1" applyBorder="1" applyAlignment="1" applyProtection="1">
      <alignment horizontal="center" vertical="top"/>
    </xf>
    <xf numFmtId="199" fontId="91" fillId="0" borderId="0" xfId="0" applyNumberFormat="1" applyFont="1" applyFill="1" applyBorder="1" applyAlignment="1" applyProtection="1">
      <alignment horizontal="center" vertical="top"/>
    </xf>
    <xf numFmtId="199" fontId="91" fillId="0" borderId="57" xfId="0" applyNumberFormat="1" applyFont="1" applyBorder="1" applyAlignment="1" applyProtection="1">
      <alignment horizontal="center" vertical="top"/>
    </xf>
    <xf numFmtId="200" fontId="91" fillId="0" borderId="0" xfId="0" applyNumberFormat="1" applyFont="1" applyAlignment="1" applyProtection="1">
      <alignment horizontal="center" vertical="top"/>
    </xf>
    <xf numFmtId="0" fontId="129" fillId="0" borderId="0" xfId="0" applyFont="1" applyFill="1" applyAlignment="1">
      <alignment horizontal="left" indent="1"/>
    </xf>
    <xf numFmtId="0" fontId="141" fillId="0" borderId="0" xfId="0" applyFont="1" applyAlignment="1">
      <alignment horizontal="center"/>
    </xf>
    <xf numFmtId="0" fontId="129" fillId="0" borderId="0" xfId="0" applyFont="1" applyFill="1" applyAlignment="1" applyProtection="1">
      <alignment horizontal="center"/>
    </xf>
    <xf numFmtId="0" fontId="129" fillId="0" borderId="0" xfId="0" applyFont="1" applyBorder="1" applyAlignment="1">
      <alignment horizontal="left" indent="1"/>
    </xf>
    <xf numFmtId="0" fontId="129" fillId="0" borderId="0" xfId="0" applyFont="1" applyBorder="1" applyAlignment="1">
      <alignment horizontal="center"/>
    </xf>
    <xf numFmtId="0" fontId="129" fillId="0" borderId="0" xfId="0" applyFont="1" applyFill="1" applyAlignment="1">
      <alignment horizontal="center"/>
    </xf>
    <xf numFmtId="0" fontId="104" fillId="0" borderId="0" xfId="0" applyFont="1" applyAlignment="1">
      <alignment horizontal="left" vertical="top"/>
    </xf>
    <xf numFmtId="0" fontId="107" fillId="0" borderId="0" xfId="0" applyFont="1" applyAlignment="1">
      <alignment horizontal="left" vertical="top"/>
    </xf>
    <xf numFmtId="0" fontId="95" fillId="0" borderId="0" xfId="8" applyFont="1" applyFill="1"/>
    <xf numFmtId="0" fontId="95" fillId="0" borderId="0" xfId="0" applyFont="1" applyFill="1"/>
    <xf numFmtId="174" fontId="91" fillId="0" borderId="0" xfId="33110" applyNumberFormat="1" applyFont="1" applyFill="1" applyProtection="1"/>
    <xf numFmtId="174" fontId="91" fillId="0" borderId="0" xfId="33110" applyNumberFormat="1" applyFont="1" applyProtection="1"/>
    <xf numFmtId="172" fontId="91" fillId="0" borderId="0" xfId="33110" applyNumberFormat="1" applyFont="1" applyFill="1" applyProtection="1"/>
    <xf numFmtId="172" fontId="91" fillId="0" borderId="0" xfId="33110" applyNumberFormat="1" applyFont="1" applyProtection="1"/>
    <xf numFmtId="172" fontId="142" fillId="0" borderId="0" xfId="6628" applyNumberFormat="1" applyFont="1" applyAlignment="1">
      <alignment horizontal="center"/>
    </xf>
    <xf numFmtId="0" fontId="129" fillId="0" borderId="0" xfId="0" applyFont="1" applyBorder="1" applyAlignment="1" applyProtection="1">
      <alignment horizontal="center"/>
    </xf>
    <xf numFmtId="175" fontId="91" fillId="0" borderId="0" xfId="0" applyNumberFormat="1" applyFont="1" applyProtection="1"/>
    <xf numFmtId="187" fontId="91" fillId="0" borderId="3" xfId="11" applyNumberFormat="1" applyFont="1" applyFill="1" applyAlignment="1" applyProtection="1">
      <alignment horizontal="right"/>
      <protection locked="0"/>
    </xf>
    <xf numFmtId="164" fontId="96" fillId="0" borderId="0" xfId="11" applyNumberFormat="1" applyFont="1" applyFill="1" applyBorder="1" applyAlignment="1" applyProtection="1">
      <alignment horizontal="center"/>
      <protection locked="0"/>
    </xf>
    <xf numFmtId="0" fontId="96" fillId="2" borderId="55" xfId="0" applyFont="1" applyFill="1" applyBorder="1" applyAlignment="1" applyProtection="1">
      <alignment horizontal="center" vertical="top"/>
      <protection locked="0"/>
    </xf>
    <xf numFmtId="1" fontId="96" fillId="2" borderId="55" xfId="0" applyNumberFormat="1" applyFont="1" applyFill="1" applyBorder="1" applyAlignment="1" applyProtection="1">
      <alignment horizontal="center" vertical="top"/>
      <protection locked="0"/>
    </xf>
    <xf numFmtId="0" fontId="90" fillId="0" borderId="55" xfId="0" applyFont="1" applyFill="1" applyBorder="1" applyAlignment="1" applyProtection="1">
      <alignment horizontal="center" vertical="top"/>
    </xf>
    <xf numFmtId="172" fontId="90" fillId="0" borderId="55" xfId="0" applyNumberFormat="1" applyFont="1" applyFill="1" applyBorder="1" applyAlignment="1" applyProtection="1">
      <alignment horizontal="center" vertical="top"/>
    </xf>
    <xf numFmtId="9" fontId="92" fillId="0" borderId="55" xfId="9" applyFont="1" applyFill="1" applyBorder="1" applyAlignment="1" applyProtection="1">
      <alignment horizontal="center" vertical="top"/>
      <protection locked="0"/>
    </xf>
    <xf numFmtId="174" fontId="0" fillId="0" borderId="0" xfId="33110" applyNumberFormat="1" applyFont="1"/>
    <xf numFmtId="174" fontId="0" fillId="0" borderId="0" xfId="0" applyNumberFormat="1"/>
    <xf numFmtId="0" fontId="143" fillId="0" borderId="0" xfId="0" applyFont="1" applyAlignment="1" applyProtection="1">
      <alignment horizontal="center"/>
    </xf>
    <xf numFmtId="0" fontId="144" fillId="0" borderId="0" xfId="0" applyFont="1" applyProtection="1"/>
    <xf numFmtId="0" fontId="92" fillId="60" borderId="0" xfId="0" applyFont="1" applyFill="1" applyAlignment="1">
      <alignment horizontal="right"/>
    </xf>
    <xf numFmtId="195" fontId="92" fillId="60" borderId="0" xfId="0" applyNumberFormat="1" applyFont="1" applyFill="1" applyAlignment="1">
      <alignment horizontal="right"/>
    </xf>
    <xf numFmtId="0" fontId="92" fillId="68" borderId="8" xfId="0" applyFont="1" applyFill="1" applyBorder="1" applyAlignment="1">
      <alignment horizontal="right"/>
    </xf>
    <xf numFmtId="174" fontId="92" fillId="0" borderId="1" xfId="33110" applyNumberFormat="1" applyFont="1" applyFill="1" applyBorder="1" applyAlignment="1">
      <alignment horizontal="right"/>
    </xf>
    <xf numFmtId="0" fontId="91" fillId="0" borderId="0" xfId="0" applyFont="1" applyAlignment="1">
      <alignment horizontal="right"/>
    </xf>
    <xf numFmtId="0" fontId="115" fillId="0" borderId="0" xfId="0" applyFont="1" applyFill="1" applyBorder="1" applyAlignment="1" applyProtection="1">
      <alignment horizontal="right" vertical="top"/>
    </xf>
    <xf numFmtId="0" fontId="91" fillId="0" borderId="0" xfId="0" applyFont="1" applyFill="1" applyAlignment="1">
      <alignment horizontal="right"/>
    </xf>
    <xf numFmtId="0" fontId="91" fillId="0" borderId="0" xfId="0" applyFont="1" applyFill="1" applyBorder="1" applyAlignment="1">
      <alignment horizontal="right"/>
    </xf>
    <xf numFmtId="195" fontId="92" fillId="0" borderId="0" xfId="0" applyNumberFormat="1" applyFont="1" applyFill="1" applyAlignment="1">
      <alignment horizontal="right"/>
    </xf>
    <xf numFmtId="172" fontId="96" fillId="0" borderId="0" xfId="11" applyNumberFormat="1" applyFont="1" applyFill="1" applyBorder="1" applyAlignment="1" applyProtection="1">
      <alignment horizontal="center"/>
      <protection locked="0"/>
    </xf>
    <xf numFmtId="172" fontId="92" fillId="0" borderId="0" xfId="0" applyNumberFormat="1" applyFont="1" applyBorder="1" applyAlignment="1" applyProtection="1">
      <alignment horizontal="right"/>
    </xf>
    <xf numFmtId="0" fontId="91" fillId="0" borderId="0" xfId="0" applyFont="1" applyAlignment="1" applyProtection="1">
      <alignment horizontal="right"/>
    </xf>
    <xf numFmtId="165" fontId="91" fillId="0" borderId="0" xfId="0" applyNumberFormat="1" applyFont="1" applyAlignment="1" applyProtection="1">
      <alignment horizontal="right"/>
    </xf>
    <xf numFmtId="0" fontId="91" fillId="0" borderId="0" xfId="0" applyFont="1" applyFill="1" applyAlignment="1" applyProtection="1">
      <alignment horizontal="right"/>
    </xf>
    <xf numFmtId="177" fontId="91" fillId="0" borderId="0" xfId="0" applyNumberFormat="1" applyFont="1" applyAlignment="1" applyProtection="1">
      <alignment horizontal="right"/>
    </xf>
    <xf numFmtId="176" fontId="92" fillId="0" borderId="0" xfId="0" applyNumberFormat="1" applyFont="1" applyAlignment="1" applyProtection="1">
      <alignment horizontal="right"/>
    </xf>
    <xf numFmtId="181" fontId="101" fillId="4" borderId="55" xfId="11" applyNumberFormat="1" applyFont="1" applyBorder="1" applyAlignment="1" applyProtection="1">
      <alignment horizontal="right"/>
      <protection locked="0"/>
    </xf>
    <xf numFmtId="187" fontId="90" fillId="0" borderId="55" xfId="11" applyNumberFormat="1" applyFont="1" applyFill="1" applyBorder="1" applyAlignment="1" applyProtection="1">
      <alignment horizontal="right"/>
    </xf>
    <xf numFmtId="175" fontId="96" fillId="4" borderId="55" xfId="11" applyNumberFormat="1" applyFont="1" applyBorder="1" applyAlignment="1" applyProtection="1">
      <alignment horizontal="right"/>
      <protection locked="0"/>
    </xf>
    <xf numFmtId="178" fontId="90" fillId="0" borderId="55" xfId="0" applyNumberFormat="1" applyFont="1" applyFill="1" applyBorder="1" applyAlignment="1" applyProtection="1">
      <alignment horizontal="right"/>
    </xf>
    <xf numFmtId="0" fontId="104" fillId="0" borderId="40" xfId="0" applyFont="1" applyBorder="1" applyAlignment="1">
      <alignment horizontal="right" vertical="top"/>
    </xf>
    <xf numFmtId="195" fontId="92" fillId="0" borderId="1" xfId="0" applyNumberFormat="1" applyFont="1" applyBorder="1" applyAlignment="1">
      <alignment horizontal="right"/>
    </xf>
    <xf numFmtId="0" fontId="91" fillId="0" borderId="1" xfId="0" applyFont="1" applyFill="1" applyBorder="1" applyAlignment="1">
      <alignment horizontal="right"/>
    </xf>
    <xf numFmtId="174" fontId="91" fillId="0" borderId="0" xfId="0" applyNumberFormat="1" applyFont="1" applyFill="1" applyBorder="1" applyAlignment="1" applyProtection="1">
      <alignment horizontal="right"/>
    </xf>
    <xf numFmtId="0" fontId="92" fillId="0" borderId="50" xfId="0" applyFont="1" applyBorder="1" applyProtection="1"/>
    <xf numFmtId="0" fontId="91" fillId="0" borderId="50" xfId="0" applyFont="1" applyBorder="1" applyProtection="1"/>
    <xf numFmtId="174" fontId="91" fillId="0" borderId="50" xfId="0" applyNumberFormat="1" applyFont="1" applyFill="1" applyBorder="1" applyAlignment="1" applyProtection="1">
      <alignment horizontal="right"/>
    </xf>
    <xf numFmtId="177" fontId="92" fillId="0" borderId="50" xfId="0" applyNumberFormat="1" applyFont="1" applyBorder="1" applyAlignment="1" applyProtection="1">
      <alignment horizontal="right"/>
    </xf>
    <xf numFmtId="177" fontId="92" fillId="0" borderId="50" xfId="0" quotePrefix="1" applyNumberFormat="1" applyFont="1" applyBorder="1" applyAlignment="1" applyProtection="1">
      <alignment horizontal="right"/>
    </xf>
    <xf numFmtId="0" fontId="92" fillId="0" borderId="52" xfId="0" applyFont="1" applyBorder="1" applyProtection="1"/>
    <xf numFmtId="0" fontId="91" fillId="0" borderId="52" xfId="0" applyFont="1" applyBorder="1" applyProtection="1"/>
    <xf numFmtId="174" fontId="91" fillId="0" borderId="52" xfId="0" applyNumberFormat="1" applyFont="1" applyFill="1" applyBorder="1" applyAlignment="1" applyProtection="1">
      <alignment horizontal="right"/>
    </xf>
    <xf numFmtId="177" fontId="92" fillId="0" borderId="52" xfId="0" applyNumberFormat="1" applyFont="1" applyBorder="1" applyAlignment="1" applyProtection="1">
      <alignment horizontal="right"/>
    </xf>
    <xf numFmtId="0" fontId="92" fillId="0" borderId="0" xfId="0" applyFont="1" applyBorder="1" applyAlignment="1">
      <alignment horizontal="center"/>
    </xf>
    <xf numFmtId="174" fontId="90" fillId="0" borderId="51" xfId="0" applyNumberFormat="1" applyFont="1" applyFill="1" applyBorder="1" applyProtection="1"/>
    <xf numFmtId="174" fontId="96" fillId="2" borderId="51" xfId="0" applyNumberFormat="1" applyFont="1" applyFill="1" applyBorder="1" applyProtection="1">
      <protection locked="0"/>
    </xf>
    <xf numFmtId="174" fontId="96" fillId="2" borderId="55" xfId="0" applyNumberFormat="1" applyFont="1" applyFill="1" applyBorder="1" applyProtection="1">
      <protection locked="0"/>
    </xf>
    <xf numFmtId="172" fontId="96" fillId="0" borderId="55" xfId="0" applyNumberFormat="1" applyFont="1" applyFill="1" applyBorder="1" applyProtection="1">
      <protection locked="0"/>
    </xf>
    <xf numFmtId="172" fontId="95" fillId="0" borderId="55" xfId="8" applyNumberFormat="1" applyFont="1" applyBorder="1" applyProtection="1"/>
    <xf numFmtId="172" fontId="116" fillId="2" borderId="55" xfId="6" applyNumberFormat="1" applyFont="1" applyFill="1" applyBorder="1" applyProtection="1">
      <protection locked="0"/>
    </xf>
    <xf numFmtId="172" fontId="116" fillId="2" borderId="55" xfId="6" applyNumberFormat="1" applyFont="1" applyFill="1" applyBorder="1" applyAlignment="1" applyProtection="1">
      <protection locked="0"/>
    </xf>
    <xf numFmtId="172" fontId="95" fillId="0" borderId="102" xfId="8" applyNumberFormat="1" applyFont="1" applyBorder="1" applyProtection="1"/>
    <xf numFmtId="172" fontId="116" fillId="2" borderId="102" xfId="6" applyNumberFormat="1" applyFont="1" applyFill="1" applyBorder="1" applyProtection="1">
      <protection locked="0"/>
    </xf>
    <xf numFmtId="0" fontId="94" fillId="0" borderId="109" xfId="8" applyFont="1" applyBorder="1" applyAlignment="1" applyProtection="1">
      <alignment horizontal="center" wrapText="1"/>
    </xf>
    <xf numFmtId="0" fontId="94" fillId="0" borderId="110" xfId="8" applyFont="1" applyBorder="1" applyAlignment="1" applyProtection="1">
      <alignment horizontal="center" wrapText="1"/>
    </xf>
    <xf numFmtId="44" fontId="95" fillId="66" borderId="110" xfId="6" applyFont="1" applyFill="1" applyBorder="1" applyAlignment="1" applyProtection="1">
      <alignment horizontal="center"/>
    </xf>
    <xf numFmtId="44" fontId="95" fillId="66" borderId="111" xfId="6" applyFont="1" applyFill="1" applyBorder="1" applyAlignment="1" applyProtection="1">
      <alignment horizontal="center"/>
    </xf>
    <xf numFmtId="172" fontId="117" fillId="0" borderId="0" xfId="8" quotePrefix="1" applyNumberFormat="1" applyFont="1" applyBorder="1" applyAlignment="1" applyProtection="1">
      <alignment horizontal="center"/>
    </xf>
    <xf numFmtId="38" fontId="95" fillId="0" borderId="0" xfId="6" applyNumberFormat="1" applyFont="1" applyBorder="1" applyProtection="1"/>
    <xf numFmtId="172" fontId="95" fillId="0" borderId="0" xfId="6" applyNumberFormat="1" applyFont="1" applyBorder="1" applyProtection="1"/>
    <xf numFmtId="172" fontId="94" fillId="0" borderId="0" xfId="10" quotePrefix="1" applyNumberFormat="1" applyFont="1" applyBorder="1" applyAlignment="1" applyProtection="1">
      <alignment horizontal="center"/>
    </xf>
    <xf numFmtId="0" fontId="95" fillId="0" borderId="0" xfId="8" applyFont="1" applyBorder="1" applyProtection="1"/>
    <xf numFmtId="175" fontId="94" fillId="0" borderId="0" xfId="10" applyNumberFormat="1" applyFont="1" applyBorder="1" applyProtection="1"/>
    <xf numFmtId="44" fontId="95" fillId="0" borderId="0" xfId="6" applyFont="1" applyBorder="1" applyAlignment="1" applyProtection="1"/>
    <xf numFmtId="44" fontId="95" fillId="0" borderId="0" xfId="6" applyFont="1" applyBorder="1" applyAlignment="1" applyProtection="1">
      <alignment horizontal="right"/>
    </xf>
    <xf numFmtId="0" fontId="94" fillId="60" borderId="0" xfId="8" applyFont="1" applyFill="1" applyBorder="1" applyProtection="1"/>
    <xf numFmtId="44" fontId="95" fillId="60" borderId="0" xfId="6" applyFont="1" applyFill="1" applyBorder="1" applyProtection="1"/>
    <xf numFmtId="174" fontId="94" fillId="0" borderId="65" xfId="6" applyNumberFormat="1" applyFont="1" applyBorder="1" applyAlignment="1" applyProtection="1">
      <alignment horizontal="right"/>
    </xf>
    <xf numFmtId="172" fontId="94" fillId="0" borderId="65" xfId="8" applyNumberFormat="1" applyFont="1" applyBorder="1" applyProtection="1"/>
    <xf numFmtId="174" fontId="94" fillId="0" borderId="63" xfId="6" applyNumberFormat="1" applyFont="1" applyBorder="1" applyAlignment="1" applyProtection="1">
      <alignment horizontal="right"/>
    </xf>
    <xf numFmtId="172" fontId="95" fillId="0" borderId="112" xfId="8" applyNumberFormat="1" applyFont="1" applyBorder="1" applyProtection="1"/>
    <xf numFmtId="172" fontId="116" fillId="2" borderId="112" xfId="6" applyNumberFormat="1" applyFont="1" applyFill="1" applyBorder="1" applyProtection="1">
      <protection locked="0"/>
    </xf>
    <xf numFmtId="174" fontId="95" fillId="0" borderId="55" xfId="8" applyNumberFormat="1" applyFont="1" applyFill="1" applyBorder="1" applyProtection="1"/>
    <xf numFmtId="172" fontId="95" fillId="0" borderId="55" xfId="8" applyNumberFormat="1" applyFont="1" applyFill="1" applyBorder="1" applyProtection="1"/>
    <xf numFmtId="9" fontId="95" fillId="0" borderId="0" xfId="10" applyFont="1" applyBorder="1" applyProtection="1"/>
    <xf numFmtId="175" fontId="95" fillId="0" borderId="102" xfId="6" applyNumberFormat="1" applyFont="1" applyFill="1" applyBorder="1" applyProtection="1"/>
    <xf numFmtId="175" fontId="95" fillId="0" borderId="102" xfId="6" applyNumberFormat="1" applyFont="1" applyFill="1" applyBorder="1" applyAlignment="1" applyProtection="1"/>
    <xf numFmtId="175" fontId="95" fillId="0" borderId="55" xfId="6" applyNumberFormat="1" applyFont="1" applyFill="1" applyBorder="1" applyProtection="1"/>
    <xf numFmtId="175" fontId="95" fillId="0" borderId="55" xfId="6" applyNumberFormat="1" applyFont="1" applyFill="1" applyBorder="1" applyAlignment="1" applyProtection="1"/>
    <xf numFmtId="175" fontId="95" fillId="0" borderId="112" xfId="6" applyNumberFormat="1" applyFont="1" applyFill="1" applyBorder="1" applyProtection="1"/>
    <xf numFmtId="38" fontId="95" fillId="0" borderId="0" xfId="6" applyNumberFormat="1" applyFont="1" applyFill="1" applyBorder="1" applyProtection="1"/>
    <xf numFmtId="9" fontId="95" fillId="0" borderId="0" xfId="9" applyFont="1" applyFill="1" applyBorder="1" applyProtection="1"/>
    <xf numFmtId="44" fontId="95" fillId="0" borderId="0" xfId="6" applyFont="1" applyFill="1" applyBorder="1" applyAlignment="1" applyProtection="1">
      <alignment horizontal="right"/>
    </xf>
    <xf numFmtId="44" fontId="95" fillId="0" borderId="0" xfId="6" applyFont="1" applyFill="1" applyBorder="1" applyAlignment="1" applyProtection="1"/>
    <xf numFmtId="175" fontId="95" fillId="0" borderId="55" xfId="9" applyNumberFormat="1" applyFont="1" applyFill="1" applyBorder="1" applyProtection="1"/>
    <xf numFmtId="9" fontId="95" fillId="0" borderId="55" xfId="10" applyFont="1" applyFill="1" applyBorder="1" applyProtection="1"/>
    <xf numFmtId="175" fontId="95" fillId="0" borderId="55" xfId="10" applyNumberFormat="1" applyFont="1" applyFill="1" applyBorder="1" applyProtection="1"/>
    <xf numFmtId="44" fontId="95" fillId="0" borderId="55" xfId="8" applyNumberFormat="1" applyFont="1" applyFill="1" applyBorder="1" applyProtection="1"/>
    <xf numFmtId="38" fontId="95" fillId="0" borderId="66" xfId="8" applyNumberFormat="1" applyFont="1" applyFill="1" applyBorder="1" applyProtection="1"/>
    <xf numFmtId="175" fontId="95" fillId="0" borderId="66" xfId="9" applyNumberFormat="1" applyFont="1" applyFill="1" applyBorder="1" applyProtection="1"/>
    <xf numFmtId="175" fontId="95" fillId="0" borderId="65" xfId="6" applyNumberFormat="1" applyFont="1" applyFill="1" applyBorder="1" applyProtection="1"/>
    <xf numFmtId="172" fontId="116" fillId="2" borderId="55" xfId="8" applyNumberFormat="1" applyFont="1" applyFill="1" applyBorder="1" applyProtection="1">
      <protection locked="0"/>
    </xf>
    <xf numFmtId="38" fontId="95" fillId="0" borderId="102" xfId="6" applyNumberFormat="1" applyFont="1" applyBorder="1" applyProtection="1"/>
    <xf numFmtId="38" fontId="95" fillId="0" borderId="102" xfId="8" applyNumberFormat="1" applyFont="1" applyBorder="1" applyProtection="1"/>
    <xf numFmtId="38" fontId="95" fillId="0" borderId="112" xfId="6" applyNumberFormat="1" applyFont="1" applyBorder="1" applyProtection="1"/>
    <xf numFmtId="38" fontId="95" fillId="0" borderId="55" xfId="6" applyNumberFormat="1" applyFont="1" applyBorder="1" applyProtection="1"/>
    <xf numFmtId="38" fontId="95" fillId="0" borderId="55" xfId="8" applyNumberFormat="1" applyFont="1" applyBorder="1" applyProtection="1"/>
    <xf numFmtId="175" fontId="95" fillId="0" borderId="103" xfId="6" applyNumberFormat="1" applyFont="1" applyFill="1" applyBorder="1" applyAlignment="1" applyProtection="1">
      <alignment horizontal="right"/>
    </xf>
    <xf numFmtId="44" fontId="95" fillId="0" borderId="0" xfId="8" applyNumberFormat="1" applyFont="1" applyBorder="1" applyProtection="1"/>
    <xf numFmtId="44" fontId="95" fillId="0" borderId="0" xfId="6" applyFont="1" applyBorder="1" applyProtection="1"/>
    <xf numFmtId="172" fontId="95" fillId="0" borderId="102" xfId="6" applyNumberFormat="1" applyFont="1" applyBorder="1" applyProtection="1"/>
    <xf numFmtId="38" fontId="95" fillId="0" borderId="55" xfId="6" applyNumberFormat="1" applyFont="1" applyFill="1" applyBorder="1" applyProtection="1"/>
    <xf numFmtId="172" fontId="95" fillId="0" borderId="55" xfId="6" applyNumberFormat="1" applyFont="1" applyBorder="1" applyProtection="1"/>
    <xf numFmtId="38" fontId="94" fillId="0" borderId="103" xfId="6" applyNumberFormat="1" applyFont="1" applyBorder="1" applyProtection="1"/>
    <xf numFmtId="172" fontId="94" fillId="0" borderId="103" xfId="6" applyNumberFormat="1" applyFont="1" applyBorder="1" applyProtection="1"/>
    <xf numFmtId="38" fontId="95" fillId="0" borderId="66" xfId="8" applyNumberFormat="1" applyFont="1" applyBorder="1" applyProtection="1"/>
    <xf numFmtId="38" fontId="95" fillId="0" borderId="66" xfId="6" applyNumberFormat="1" applyFont="1" applyBorder="1" applyProtection="1"/>
    <xf numFmtId="174" fontId="91" fillId="0" borderId="0" xfId="0" applyNumberFormat="1" applyFont="1" applyBorder="1" applyAlignment="1" applyProtection="1">
      <alignment horizontal="right" vertical="top"/>
    </xf>
    <xf numFmtId="174" fontId="91" fillId="0" borderId="0" xfId="0" applyNumberFormat="1" applyFont="1" applyBorder="1" applyAlignment="1" applyProtection="1">
      <alignment horizontal="right"/>
    </xf>
    <xf numFmtId="174" fontId="92" fillId="60" borderId="6" xfId="0" applyNumberFormat="1" applyFont="1" applyFill="1" applyBorder="1" applyAlignment="1" applyProtection="1">
      <alignment horizontal="right"/>
    </xf>
    <xf numFmtId="0" fontId="107" fillId="63" borderId="1" xfId="0" applyFont="1" applyFill="1" applyBorder="1" applyAlignment="1" applyProtection="1">
      <alignment horizontal="right" vertical="top"/>
    </xf>
    <xf numFmtId="0" fontId="104" fillId="63" borderId="1" xfId="0" applyFont="1" applyFill="1" applyBorder="1" applyAlignment="1" applyProtection="1">
      <alignment horizontal="right" vertical="top"/>
    </xf>
    <xf numFmtId="0" fontId="107" fillId="0" borderId="0" xfId="0" applyFont="1" applyFill="1" applyBorder="1" applyAlignment="1" applyProtection="1">
      <alignment horizontal="right" vertical="top"/>
    </xf>
    <xf numFmtId="172" fontId="96" fillId="70" borderId="42" xfId="0" applyNumberFormat="1" applyFont="1" applyFill="1" applyBorder="1" applyAlignment="1" applyProtection="1">
      <alignment horizontal="right" vertical="top"/>
      <protection locked="0"/>
    </xf>
    <xf numFmtId="172" fontId="96" fillId="70" borderId="43" xfId="0" applyNumberFormat="1" applyFont="1" applyFill="1" applyBorder="1" applyAlignment="1" applyProtection="1">
      <alignment horizontal="right" vertical="top"/>
      <protection locked="0"/>
    </xf>
    <xf numFmtId="172" fontId="96" fillId="70" borderId="73" xfId="0" applyNumberFormat="1" applyFont="1" applyFill="1" applyBorder="1" applyAlignment="1" applyProtection="1">
      <alignment horizontal="right" vertical="top"/>
      <protection locked="0"/>
    </xf>
    <xf numFmtId="172" fontId="90" fillId="70" borderId="43" xfId="0" applyNumberFormat="1" applyFont="1" applyFill="1" applyBorder="1" applyAlignment="1" applyProtection="1">
      <alignment horizontal="right" vertical="top"/>
      <protection locked="0"/>
    </xf>
    <xf numFmtId="172" fontId="90" fillId="70" borderId="73" xfId="0" applyNumberFormat="1" applyFont="1" applyFill="1" applyBorder="1" applyAlignment="1" applyProtection="1">
      <alignment horizontal="right" vertical="top"/>
      <protection locked="0"/>
    </xf>
    <xf numFmtId="172" fontId="90" fillId="70" borderId="3" xfId="0" applyNumberFormat="1" applyFont="1" applyFill="1" applyBorder="1" applyAlignment="1" applyProtection="1">
      <alignment horizontal="right" vertical="top"/>
      <protection locked="0"/>
    </xf>
    <xf numFmtId="172" fontId="90" fillId="70" borderId="44" xfId="0" applyNumberFormat="1" applyFont="1" applyFill="1" applyBorder="1" applyAlignment="1" applyProtection="1">
      <alignment horizontal="right" vertical="top"/>
      <protection locked="0"/>
    </xf>
    <xf numFmtId="172" fontId="90" fillId="70" borderId="39" xfId="0" applyNumberFormat="1" applyFont="1" applyFill="1" applyBorder="1" applyAlignment="1" applyProtection="1">
      <alignment horizontal="right" vertical="top"/>
      <protection locked="0"/>
    </xf>
    <xf numFmtId="0" fontId="90" fillId="0" borderId="47" xfId="0" applyFont="1" applyFill="1" applyBorder="1" applyAlignment="1">
      <alignment horizontal="right"/>
    </xf>
    <xf numFmtId="172" fontId="90" fillId="0" borderId="47" xfId="9" applyNumberFormat="1" applyFont="1" applyFill="1" applyBorder="1" applyAlignment="1" applyProtection="1">
      <alignment horizontal="right" vertical="top"/>
    </xf>
    <xf numFmtId="172" fontId="91" fillId="0" borderId="1" xfId="0" applyNumberFormat="1" applyFont="1" applyFill="1" applyBorder="1" applyAlignment="1">
      <alignment horizontal="right" vertical="top"/>
    </xf>
    <xf numFmtId="172" fontId="91" fillId="3" borderId="1" xfId="0" applyNumberFormat="1" applyFont="1" applyFill="1" applyBorder="1" applyAlignment="1">
      <alignment horizontal="right" vertical="top"/>
    </xf>
    <xf numFmtId="172" fontId="91" fillId="3" borderId="0" xfId="0" applyNumberFormat="1" applyFont="1" applyFill="1" applyBorder="1" applyAlignment="1">
      <alignment horizontal="right" vertical="top"/>
    </xf>
    <xf numFmtId="165" fontId="91" fillId="0" borderId="0" xfId="0" applyNumberFormat="1" applyFont="1" applyAlignment="1" applyProtection="1">
      <alignment horizontal="right" vertical="top"/>
    </xf>
    <xf numFmtId="174" fontId="105" fillId="0" borderId="0" xfId="0" applyNumberFormat="1" applyFont="1" applyAlignment="1" applyProtection="1">
      <alignment horizontal="right" vertical="top"/>
    </xf>
    <xf numFmtId="0" fontId="104" fillId="0" borderId="69" xfId="0" applyFont="1" applyFill="1" applyBorder="1" applyAlignment="1" applyProtection="1">
      <alignment horizontal="center" vertical="top"/>
    </xf>
    <xf numFmtId="0" fontId="107" fillId="0" borderId="65" xfId="0" applyFont="1" applyFill="1" applyBorder="1" applyAlignment="1" applyProtection="1">
      <alignment horizontal="center" vertical="top"/>
    </xf>
    <xf numFmtId="187" fontId="91" fillId="0" borderId="0" xfId="11" applyNumberFormat="1" applyFont="1" applyFill="1" applyBorder="1" applyAlignment="1" applyProtection="1">
      <alignment horizontal="center"/>
      <protection locked="0"/>
    </xf>
    <xf numFmtId="187" fontId="91" fillId="0" borderId="0" xfId="11" applyNumberFormat="1" applyFont="1" applyFill="1" applyBorder="1" applyAlignment="1" applyProtection="1">
      <alignment horizontal="center" wrapText="1"/>
      <protection locked="0"/>
    </xf>
    <xf numFmtId="187" fontId="96" fillId="4" borderId="55" xfId="11" applyNumberFormat="1" applyFont="1" applyBorder="1" applyAlignment="1" applyProtection="1">
      <alignment horizontal="center" wrapText="1"/>
      <protection locked="0"/>
    </xf>
    <xf numFmtId="0" fontId="91" fillId="0" borderId="57" xfId="0" applyFont="1" applyFill="1" applyBorder="1" applyAlignment="1" applyProtection="1">
      <alignment horizontal="center" vertical="top"/>
    </xf>
    <xf numFmtId="172" fontId="91" fillId="0" borderId="55" xfId="0" applyNumberFormat="1" applyFont="1" applyFill="1" applyBorder="1" applyAlignment="1" applyProtection="1">
      <alignment horizontal="center" vertical="top"/>
    </xf>
    <xf numFmtId="172" fontId="91" fillId="0" borderId="103" xfId="0" applyNumberFormat="1" applyFont="1" applyFill="1" applyBorder="1" applyAlignment="1" applyProtection="1">
      <alignment horizontal="center" vertical="top"/>
    </xf>
    <xf numFmtId="172" fontId="91" fillId="0" borderId="112" xfId="0" applyNumberFormat="1" applyFont="1" applyFill="1" applyBorder="1" applyAlignment="1" applyProtection="1">
      <alignment horizontal="center" vertical="top"/>
    </xf>
    <xf numFmtId="0" fontId="129" fillId="0" borderId="56" xfId="0" applyFont="1" applyFill="1" applyBorder="1" applyAlignment="1">
      <alignment horizontal="left" indent="1"/>
    </xf>
    <xf numFmtId="0" fontId="129" fillId="0" borderId="18" xfId="0" applyFont="1" applyBorder="1" applyAlignment="1">
      <alignment horizontal="left" indent="1"/>
    </xf>
    <xf numFmtId="44" fontId="91" fillId="0" borderId="0" xfId="33110" applyFont="1" applyFill="1" applyBorder="1"/>
    <xf numFmtId="174" fontId="92" fillId="0" borderId="0" xfId="0" applyNumberFormat="1" applyFont="1" applyFill="1" applyBorder="1"/>
    <xf numFmtId="174" fontId="92" fillId="0" borderId="0" xfId="33110" applyNumberFormat="1" applyFont="1" applyFill="1" applyBorder="1"/>
    <xf numFmtId="0" fontId="96" fillId="2" borderId="1" xfId="0" applyFont="1" applyFill="1" applyBorder="1" applyProtection="1">
      <protection locked="0"/>
    </xf>
    <xf numFmtId="0" fontId="96" fillId="2" borderId="57" xfId="0" applyFont="1" applyFill="1" applyBorder="1" applyProtection="1">
      <protection locked="0"/>
    </xf>
    <xf numFmtId="0" fontId="104" fillId="0" borderId="0" xfId="0" applyFont="1" applyFill="1" applyBorder="1" applyAlignment="1" applyProtection="1">
      <alignment horizontal="right" vertical="top"/>
    </xf>
    <xf numFmtId="172" fontId="91" fillId="0" borderId="1" xfId="0" applyNumberFormat="1" applyFont="1" applyFill="1" applyBorder="1" applyAlignment="1" applyProtection="1">
      <alignment horizontal="right" vertical="top"/>
    </xf>
    <xf numFmtId="172" fontId="90" fillId="0" borderId="52" xfId="0" applyNumberFormat="1" applyFont="1" applyFill="1" applyBorder="1" applyAlignment="1" applyProtection="1">
      <alignment horizontal="right" vertical="top"/>
    </xf>
    <xf numFmtId="0" fontId="92" fillId="0" borderId="47" xfId="0" applyFont="1" applyFill="1" applyBorder="1"/>
    <xf numFmtId="0" fontId="91" fillId="0" borderId="50" xfId="0" applyFont="1" applyFill="1" applyBorder="1"/>
    <xf numFmtId="174" fontId="91" fillId="0" borderId="50" xfId="0" applyNumberFormat="1" applyFont="1" applyFill="1" applyBorder="1" applyAlignment="1">
      <alignment horizontal="right"/>
    </xf>
    <xf numFmtId="0" fontId="91" fillId="0" borderId="50" xfId="0" applyFont="1" applyFill="1" applyBorder="1" applyAlignment="1">
      <alignment horizontal="right"/>
    </xf>
    <xf numFmtId="9" fontId="91" fillId="0" borderId="50" xfId="9" applyFont="1" applyFill="1" applyBorder="1" applyAlignment="1">
      <alignment horizontal="right" vertical="top"/>
    </xf>
    <xf numFmtId="0" fontId="92" fillId="0" borderId="52" xfId="0" applyFont="1" applyFill="1" applyBorder="1"/>
    <xf numFmtId="174" fontId="91" fillId="0" borderId="52" xfId="0" applyNumberFormat="1" applyFont="1" applyFill="1" applyBorder="1" applyAlignment="1">
      <alignment horizontal="right" vertical="top"/>
    </xf>
    <xf numFmtId="172" fontId="91" fillId="0" borderId="52" xfId="0" applyNumberFormat="1" applyFont="1" applyFill="1" applyBorder="1" applyAlignment="1">
      <alignment horizontal="right" vertical="top"/>
    </xf>
    <xf numFmtId="0" fontId="91" fillId="3" borderId="1" xfId="0" applyFont="1" applyFill="1" applyBorder="1" applyAlignment="1" applyProtection="1">
      <alignment wrapText="1"/>
    </xf>
    <xf numFmtId="0" fontId="100" fillId="0" borderId="47" xfId="7" applyFont="1" applyBorder="1" applyAlignment="1" applyProtection="1">
      <alignment horizontal="right" wrapText="1" indent="1"/>
    </xf>
    <xf numFmtId="0" fontId="91" fillId="0" borderId="47" xfId="0" applyFont="1" applyFill="1" applyBorder="1" applyAlignment="1" applyProtection="1">
      <alignment horizontal="right" vertical="top"/>
    </xf>
    <xf numFmtId="172" fontId="91" fillId="0" borderId="47" xfId="0" applyNumberFormat="1" applyFont="1" applyFill="1" applyBorder="1" applyAlignment="1" applyProtection="1">
      <alignment horizontal="right" vertical="top"/>
    </xf>
    <xf numFmtId="172" fontId="92" fillId="0" borderId="47" xfId="0" applyNumberFormat="1" applyFont="1" applyFill="1" applyBorder="1" applyAlignment="1" applyProtection="1">
      <alignment horizontal="right" vertical="top"/>
    </xf>
    <xf numFmtId="0" fontId="91" fillId="0" borderId="1" xfId="0" applyFont="1" applyFill="1" applyBorder="1" applyAlignment="1" applyProtection="1">
      <alignment horizontal="right" vertical="top"/>
    </xf>
    <xf numFmtId="172" fontId="96" fillId="2" borderId="66" xfId="0" applyNumberFormat="1" applyFont="1" applyFill="1" applyBorder="1" applyAlignment="1" applyProtection="1">
      <alignment horizontal="right" vertical="top"/>
      <protection locked="0"/>
    </xf>
    <xf numFmtId="172" fontId="96" fillId="2" borderId="55" xfId="0" applyNumberFormat="1" applyFont="1" applyFill="1" applyBorder="1" applyAlignment="1" applyProtection="1">
      <alignment horizontal="right" vertical="top"/>
      <protection locked="0"/>
    </xf>
    <xf numFmtId="172" fontId="96" fillId="2" borderId="112" xfId="0" applyNumberFormat="1" applyFont="1" applyFill="1" applyBorder="1" applyAlignment="1" applyProtection="1">
      <alignment horizontal="right" vertical="top"/>
      <protection locked="0"/>
    </xf>
    <xf numFmtId="174" fontId="92" fillId="3" borderId="0" xfId="0" applyNumberFormat="1" applyFont="1" applyFill="1" applyBorder="1" applyAlignment="1" applyProtection="1">
      <alignment horizontal="right"/>
    </xf>
    <xf numFmtId="0" fontId="100" fillId="0" borderId="52" xfId="7" applyFont="1" applyBorder="1" applyAlignment="1" applyProtection="1">
      <alignment horizontal="right" wrapText="1" indent="1"/>
    </xf>
    <xf numFmtId="0" fontId="107" fillId="0" borderId="52" xfId="0" applyFont="1" applyFill="1" applyBorder="1" applyAlignment="1" applyProtection="1">
      <alignment horizontal="right" vertical="top"/>
    </xf>
    <xf numFmtId="0" fontId="107" fillId="0" borderId="0" xfId="0" applyFont="1" applyFill="1" applyBorder="1" applyAlignment="1" applyProtection="1">
      <alignment horizontal="center" vertical="top"/>
      <protection locked="0"/>
    </xf>
    <xf numFmtId="0" fontId="92" fillId="0" borderId="1" xfId="0" applyFont="1" applyFill="1" applyBorder="1" applyAlignment="1" applyProtection="1">
      <alignment horizontal="center"/>
    </xf>
    <xf numFmtId="0" fontId="92" fillId="0" borderId="14" xfId="0" applyFont="1" applyFill="1" applyBorder="1" applyAlignment="1" applyProtection="1">
      <alignment horizontal="center"/>
    </xf>
    <xf numFmtId="172" fontId="91" fillId="0" borderId="0" xfId="0" applyNumberFormat="1" applyFont="1" applyFill="1" applyBorder="1" applyAlignment="1" applyProtection="1">
      <alignment horizontal="right"/>
    </xf>
    <xf numFmtId="173" fontId="91"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172" fontId="91" fillId="0" borderId="0" xfId="0" applyNumberFormat="1" applyFont="1" applyFill="1" applyAlignment="1" applyProtection="1">
      <alignment horizontal="right" vertical="top"/>
    </xf>
    <xf numFmtId="174" fontId="91" fillId="0" borderId="0" xfId="0" applyNumberFormat="1" applyFont="1" applyFill="1" applyAlignment="1" applyProtection="1">
      <alignment horizontal="right" vertical="top"/>
    </xf>
    <xf numFmtId="172" fontId="91" fillId="0" borderId="0" xfId="0" applyNumberFormat="1" applyFont="1" applyFill="1" applyBorder="1" applyAlignment="1" applyProtection="1">
      <alignment horizontal="right" vertical="top"/>
    </xf>
    <xf numFmtId="165" fontId="92" fillId="0" borderId="0" xfId="0" applyNumberFormat="1" applyFont="1" applyAlignment="1" applyProtection="1">
      <alignment horizontal="right" vertical="top"/>
    </xf>
    <xf numFmtId="174" fontId="106" fillId="0" borderId="0" xfId="0" applyNumberFormat="1" applyFont="1" applyAlignment="1" applyProtection="1">
      <alignment horizontal="right"/>
    </xf>
    <xf numFmtId="174" fontId="105" fillId="0" borderId="0" xfId="0" applyNumberFormat="1" applyFont="1" applyAlignment="1" applyProtection="1">
      <alignment horizontal="right"/>
    </xf>
    <xf numFmtId="174" fontId="91" fillId="0" borderId="6" xfId="0" applyNumberFormat="1" applyFont="1" applyBorder="1" applyAlignment="1" applyProtection="1">
      <alignment horizontal="right"/>
    </xf>
    <xf numFmtId="165" fontId="106" fillId="0" borderId="0" xfId="0" applyNumberFormat="1" applyFont="1" applyAlignment="1" applyProtection="1">
      <alignment horizontal="right"/>
    </xf>
    <xf numFmtId="172" fontId="92" fillId="0" borderId="57" xfId="0" applyNumberFormat="1" applyFont="1" applyFill="1" applyBorder="1" applyAlignment="1" applyProtection="1">
      <alignment horizontal="right"/>
    </xf>
    <xf numFmtId="197" fontId="92" fillId="0" borderId="57" xfId="0" applyNumberFormat="1" applyFont="1" applyFill="1" applyBorder="1" applyAlignment="1" applyProtection="1">
      <alignment horizontal="right"/>
    </xf>
    <xf numFmtId="180" fontId="92" fillId="0" borderId="0" xfId="0" applyNumberFormat="1" applyFont="1" applyFill="1" applyAlignment="1" applyProtection="1">
      <alignment horizontal="right"/>
    </xf>
    <xf numFmtId="6" fontId="91" fillId="0" borderId="0" xfId="0" applyNumberFormat="1" applyFont="1" applyFill="1" applyBorder="1" applyAlignment="1" applyProtection="1">
      <alignment horizontal="right"/>
    </xf>
    <xf numFmtId="175" fontId="91" fillId="0" borderId="0" xfId="0" applyNumberFormat="1" applyFont="1" applyFill="1" applyBorder="1" applyAlignment="1" applyProtection="1">
      <alignment horizontal="right"/>
    </xf>
    <xf numFmtId="172" fontId="91" fillId="0" borderId="57" xfId="0" applyNumberFormat="1" applyFont="1" applyFill="1" applyBorder="1" applyAlignment="1" applyProtection="1">
      <alignment horizontal="right"/>
    </xf>
    <xf numFmtId="172" fontId="92" fillId="0" borderId="0" xfId="0" applyNumberFormat="1" applyFont="1" applyFill="1" applyAlignment="1" applyProtection="1">
      <alignment horizontal="right" vertical="top"/>
    </xf>
    <xf numFmtId="172" fontId="92" fillId="0" borderId="0" xfId="0" applyNumberFormat="1" applyFont="1" applyFill="1" applyBorder="1" applyAlignment="1" applyProtection="1">
      <alignment horizontal="right"/>
    </xf>
    <xf numFmtId="177" fontId="91" fillId="0" borderId="0" xfId="0" applyNumberFormat="1" applyFont="1" applyFill="1" applyAlignment="1" applyProtection="1">
      <alignment horizontal="right" vertical="top"/>
    </xf>
    <xf numFmtId="175" fontId="91" fillId="0" borderId="0" xfId="0" applyNumberFormat="1" applyFont="1" applyAlignment="1" applyProtection="1">
      <alignment horizontal="right" vertical="top"/>
    </xf>
    <xf numFmtId="175" fontId="92" fillId="0" borderId="6" xfId="0" applyNumberFormat="1" applyFont="1" applyFill="1" applyBorder="1" applyAlignment="1" applyProtection="1">
      <alignment horizontal="right"/>
    </xf>
    <xf numFmtId="165" fontId="105" fillId="0" borderId="0" xfId="0" applyNumberFormat="1" applyFont="1" applyAlignment="1" applyProtection="1">
      <alignment horizontal="right"/>
    </xf>
    <xf numFmtId="177" fontId="91" fillId="0" borderId="0" xfId="0" applyNumberFormat="1" applyFont="1" applyAlignment="1" applyProtection="1">
      <alignment horizontal="right" vertical="top"/>
    </xf>
    <xf numFmtId="172" fontId="91" fillId="0" borderId="0" xfId="0" applyNumberFormat="1" applyFont="1" applyAlignment="1" applyProtection="1">
      <alignment horizontal="right" vertical="top"/>
    </xf>
    <xf numFmtId="179" fontId="92" fillId="0" borderId="6" xfId="0" applyNumberFormat="1" applyFont="1" applyBorder="1" applyAlignment="1" applyProtection="1">
      <alignment horizontal="right"/>
    </xf>
    <xf numFmtId="180" fontId="106" fillId="0" borderId="0" xfId="0" applyNumberFormat="1" applyFont="1" applyAlignment="1" applyProtection="1">
      <alignment horizontal="right"/>
    </xf>
    <xf numFmtId="165" fontId="91" fillId="0" borderId="0" xfId="0" applyNumberFormat="1" applyFont="1" applyFill="1" applyAlignment="1" applyProtection="1">
      <alignment horizontal="right"/>
    </xf>
    <xf numFmtId="201" fontId="91" fillId="0" borderId="65" xfId="0" applyNumberFormat="1" applyFont="1" applyBorder="1" applyAlignment="1" applyProtection="1">
      <alignment horizontal="right"/>
    </xf>
    <xf numFmtId="172" fontId="91" fillId="2" borderId="113" xfId="0" applyNumberFormat="1" applyFont="1" applyFill="1" applyBorder="1" applyAlignment="1" applyProtection="1">
      <alignment horizontal="right"/>
      <protection locked="0"/>
    </xf>
    <xf numFmtId="0" fontId="91" fillId="0" borderId="0" xfId="0" applyFont="1" applyBorder="1" applyAlignment="1" applyProtection="1">
      <alignment horizontal="left" wrapText="1"/>
    </xf>
    <xf numFmtId="174" fontId="91" fillId="0" borderId="0" xfId="0" applyNumberFormat="1" applyFont="1" applyBorder="1" applyAlignment="1" applyProtection="1">
      <alignment horizontal="right" wrapText="1"/>
    </xf>
    <xf numFmtId="172" fontId="91" fillId="0" borderId="0" xfId="0" applyNumberFormat="1" applyFont="1" applyBorder="1" applyAlignment="1" applyProtection="1">
      <alignment horizontal="right"/>
    </xf>
    <xf numFmtId="172" fontId="96" fillId="2" borderId="102" xfId="0" applyNumberFormat="1" applyFont="1" applyFill="1" applyBorder="1" applyAlignment="1" applyProtection="1">
      <alignment horizontal="right" wrapText="1"/>
      <protection locked="0"/>
    </xf>
    <xf numFmtId="190" fontId="96" fillId="4" borderId="114" xfId="11" applyNumberFormat="1" applyFont="1" applyBorder="1" applyAlignment="1" applyProtection="1">
      <alignment horizontal="center"/>
      <protection locked="0"/>
    </xf>
    <xf numFmtId="172" fontId="96" fillId="2" borderId="103" xfId="0" applyNumberFormat="1" applyFont="1" applyFill="1" applyBorder="1" applyAlignment="1" applyProtection="1">
      <alignment horizontal="right" wrapText="1"/>
      <protection locked="0"/>
    </xf>
    <xf numFmtId="0" fontId="92" fillId="0" borderId="57" xfId="0" applyFont="1" applyFill="1" applyBorder="1" applyProtection="1"/>
    <xf numFmtId="174" fontId="92" fillId="0" borderId="57" xfId="0" applyNumberFormat="1" applyFont="1" applyBorder="1" applyProtection="1"/>
    <xf numFmtId="174" fontId="96" fillId="2" borderId="55" xfId="0" applyNumberFormat="1" applyFont="1" applyFill="1" applyBorder="1" applyAlignment="1" applyProtection="1">
      <alignment horizontal="right"/>
      <protection locked="0"/>
    </xf>
    <xf numFmtId="172" fontId="96" fillId="2" borderId="55" xfId="0" applyNumberFormat="1" applyFont="1" applyFill="1" applyBorder="1" applyAlignment="1" applyProtection="1">
      <alignment horizontal="right"/>
      <protection locked="0"/>
    </xf>
    <xf numFmtId="172" fontId="96" fillId="2" borderId="112" xfId="0" applyNumberFormat="1" applyFont="1" applyFill="1" applyBorder="1" applyAlignment="1" applyProtection="1">
      <alignment horizontal="right"/>
      <protection locked="0"/>
    </xf>
    <xf numFmtId="0" fontId="91" fillId="3" borderId="75" xfId="0" applyFont="1" applyFill="1" applyBorder="1"/>
    <xf numFmtId="0" fontId="91" fillId="3" borderId="52" xfId="0" applyFont="1" applyFill="1" applyBorder="1"/>
    <xf numFmtId="0" fontId="91" fillId="0" borderId="52" xfId="0" applyFont="1" applyBorder="1"/>
    <xf numFmtId="0" fontId="90" fillId="0" borderId="103" xfId="0" applyFont="1" applyFill="1" applyBorder="1" applyAlignment="1" applyProtection="1">
      <alignment horizontal="center" vertical="top"/>
    </xf>
    <xf numFmtId="175" fontId="92" fillId="0" borderId="0" xfId="0" applyNumberFormat="1" applyFont="1" applyAlignment="1" applyProtection="1">
      <alignment horizontal="right" vertical="top"/>
    </xf>
    <xf numFmtId="202" fontId="91" fillId="0" borderId="0" xfId="0" applyNumberFormat="1" applyFont="1" applyFill="1" applyBorder="1" applyAlignment="1" applyProtection="1">
      <alignment horizontal="center"/>
    </xf>
    <xf numFmtId="172" fontId="96" fillId="0" borderId="75" xfId="0" applyNumberFormat="1" applyFont="1" applyFill="1" applyBorder="1" applyAlignment="1" applyProtection="1">
      <alignment horizontal="right" vertical="top"/>
    </xf>
    <xf numFmtId="172" fontId="90" fillId="0" borderId="75" xfId="0" applyNumberFormat="1" applyFont="1" applyFill="1" applyBorder="1" applyAlignment="1" applyProtection="1">
      <alignment horizontal="right" vertical="top"/>
    </xf>
    <xf numFmtId="201" fontId="107" fillId="0" borderId="0" xfId="0" applyNumberFormat="1" applyFont="1" applyFill="1" applyBorder="1" applyAlignment="1" applyProtection="1">
      <alignment horizontal="right" vertical="top"/>
    </xf>
    <xf numFmtId="174" fontId="107" fillId="0" borderId="52" xfId="0" applyNumberFormat="1" applyFont="1" applyFill="1" applyBorder="1" applyAlignment="1" applyProtection="1">
      <alignment horizontal="center" vertical="top"/>
    </xf>
    <xf numFmtId="174" fontId="107" fillId="0" borderId="47" xfId="0" applyNumberFormat="1" applyFont="1" applyFill="1" applyBorder="1" applyAlignment="1" applyProtection="1">
      <alignment horizontal="center" vertical="top"/>
    </xf>
    <xf numFmtId="172" fontId="107" fillId="0" borderId="52" xfId="0" applyNumberFormat="1" applyFont="1" applyFill="1" applyBorder="1" applyAlignment="1" applyProtection="1">
      <alignment horizontal="right" vertical="top"/>
    </xf>
    <xf numFmtId="174" fontId="107" fillId="0" borderId="47" xfId="0" applyNumberFormat="1" applyFont="1" applyFill="1" applyBorder="1" applyAlignment="1" applyProtection="1">
      <alignment horizontal="right" vertical="top"/>
    </xf>
    <xf numFmtId="172" fontId="107" fillId="0" borderId="47" xfId="0" applyNumberFormat="1" applyFont="1" applyFill="1" applyBorder="1" applyAlignment="1" applyProtection="1">
      <alignment horizontal="right" vertical="top"/>
    </xf>
    <xf numFmtId="0" fontId="91" fillId="0" borderId="47" xfId="0" applyFont="1" applyBorder="1" applyProtection="1"/>
    <xf numFmtId="0" fontId="107" fillId="3" borderId="47" xfId="0" applyFont="1" applyFill="1" applyBorder="1" applyProtection="1"/>
    <xf numFmtId="0" fontId="104" fillId="0" borderId="0" xfId="6628" applyFont="1" applyFill="1" applyAlignment="1" applyProtection="1"/>
    <xf numFmtId="0" fontId="96" fillId="2" borderId="103" xfId="0" applyFont="1" applyFill="1" applyBorder="1" applyAlignment="1" applyProtection="1">
      <alignment horizontal="center" vertical="top"/>
      <protection locked="0"/>
    </xf>
    <xf numFmtId="0" fontId="91" fillId="0" borderId="75" xfId="0" applyFont="1" applyBorder="1"/>
    <xf numFmtId="172" fontId="91" fillId="3" borderId="112" xfId="13330" applyNumberFormat="1" applyFont="1" applyFill="1" applyBorder="1" applyAlignment="1">
      <alignment horizontal="center" vertical="top"/>
    </xf>
    <xf numFmtId="0" fontId="92" fillId="0" borderId="1" xfId="0" applyFont="1" applyFill="1" applyBorder="1" applyProtection="1"/>
    <xf numFmtId="0" fontId="91" fillId="0" borderId="1" xfId="0" applyFont="1" applyBorder="1" applyProtection="1"/>
    <xf numFmtId="0" fontId="92" fillId="62" borderId="0" xfId="0" applyFont="1" applyFill="1" applyAlignment="1">
      <alignment horizontal="left"/>
    </xf>
    <xf numFmtId="175" fontId="92" fillId="0" borderId="0" xfId="0" applyNumberFormat="1" applyFont="1" applyBorder="1" applyAlignment="1" applyProtection="1">
      <alignment horizontal="center"/>
    </xf>
    <xf numFmtId="174" fontId="96" fillId="2" borderId="0" xfId="0" applyNumberFormat="1" applyFont="1" applyFill="1" applyBorder="1" applyAlignment="1" applyProtection="1">
      <alignment horizontal="right"/>
      <protection locked="0"/>
    </xf>
    <xf numFmtId="0" fontId="145" fillId="0" borderId="0" xfId="0" applyFont="1" applyAlignment="1">
      <alignment wrapText="1"/>
    </xf>
    <xf numFmtId="174" fontId="92" fillId="0" borderId="0" xfId="0" applyNumberFormat="1" applyFont="1" applyBorder="1" applyAlignment="1" applyProtection="1">
      <alignment horizontal="center"/>
    </xf>
    <xf numFmtId="175" fontId="92" fillId="0" borderId="65" xfId="0" applyNumberFormat="1" applyFont="1" applyBorder="1" applyAlignment="1" applyProtection="1">
      <alignment horizontal="center" vertical="top"/>
    </xf>
    <xf numFmtId="43" fontId="101" fillId="4" borderId="3" xfId="4" applyNumberFormat="1" applyFont="1" applyFill="1" applyBorder="1" applyAlignment="1" applyProtection="1">
      <alignment horizontal="center"/>
      <protection locked="0"/>
    </xf>
    <xf numFmtId="43" fontId="101" fillId="4" borderId="3" xfId="4" applyNumberFormat="1" applyFont="1" applyFill="1" applyBorder="1" applyAlignment="1" applyProtection="1">
      <alignment horizontal="right"/>
      <protection locked="0"/>
    </xf>
    <xf numFmtId="172" fontId="91" fillId="0" borderId="1" xfId="0" applyNumberFormat="1" applyFont="1" applyFill="1" applyBorder="1" applyAlignment="1" applyProtection="1">
      <alignment horizontal="right"/>
    </xf>
    <xf numFmtId="172" fontId="91" fillId="0" borderId="0" xfId="0" quotePrefix="1" applyNumberFormat="1" applyFont="1" applyFill="1" applyBorder="1" applyAlignment="1" applyProtection="1">
      <alignment horizontal="right"/>
    </xf>
    <xf numFmtId="0" fontId="91" fillId="0" borderId="0" xfId="0" applyFont="1" applyFill="1" applyBorder="1" applyAlignment="1" applyProtection="1">
      <alignment horizontal="right"/>
    </xf>
    <xf numFmtId="164" fontId="91" fillId="0" borderId="0" xfId="0" applyNumberFormat="1" applyFont="1" applyFill="1" applyBorder="1" applyAlignment="1" applyProtection="1">
      <alignment horizontal="right"/>
    </xf>
    <xf numFmtId="172" fontId="92" fillId="0" borderId="57" xfId="0" applyNumberFormat="1" applyFont="1" applyBorder="1" applyAlignment="1" applyProtection="1">
      <alignment horizontal="right"/>
    </xf>
    <xf numFmtId="172" fontId="92" fillId="0" borderId="57" xfId="0" applyNumberFormat="1" applyFont="1" applyBorder="1" applyAlignment="1">
      <alignment horizontal="right"/>
    </xf>
    <xf numFmtId="43" fontId="91" fillId="0" borderId="0" xfId="0" applyNumberFormat="1" applyFont="1" applyFill="1" applyBorder="1" applyAlignment="1" applyProtection="1">
      <alignment horizontal="right"/>
    </xf>
    <xf numFmtId="175" fontId="105" fillId="0" borderId="0" xfId="9" applyNumberFormat="1" applyFont="1" applyAlignment="1" applyProtection="1">
      <alignment horizontal="right"/>
    </xf>
    <xf numFmtId="0" fontId="91" fillId="64" borderId="0" xfId="0" applyFont="1" applyFill="1" applyAlignment="1">
      <alignment wrapText="1"/>
    </xf>
    <xf numFmtId="0" fontId="106" fillId="0" borderId="65" xfId="0" applyFont="1" applyBorder="1" applyAlignment="1" applyProtection="1">
      <alignment horizontal="left"/>
    </xf>
    <xf numFmtId="174" fontId="92" fillId="0" borderId="65" xfId="0" applyNumberFormat="1" applyFont="1" applyBorder="1" applyAlignment="1" applyProtection="1">
      <alignment horizontal="center"/>
    </xf>
    <xf numFmtId="175" fontId="92" fillId="0" borderId="65" xfId="0" applyNumberFormat="1" applyFont="1" applyBorder="1" applyAlignment="1" applyProtection="1">
      <alignment horizontal="center"/>
    </xf>
    <xf numFmtId="174" fontId="91" fillId="0" borderId="0" xfId="0" applyNumberFormat="1" applyFont="1" applyAlignment="1" applyProtection="1">
      <alignment horizontal="right" vertical="top"/>
    </xf>
    <xf numFmtId="203" fontId="92" fillId="0" borderId="57" xfId="0" applyNumberFormat="1" applyFont="1" applyBorder="1" applyAlignment="1" applyProtection="1">
      <alignment horizontal="right"/>
    </xf>
    <xf numFmtId="165" fontId="91" fillId="0" borderId="0" xfId="0" quotePrefix="1" applyNumberFormat="1" applyFont="1" applyAlignment="1" applyProtection="1">
      <alignment horizontal="right" vertical="top"/>
    </xf>
    <xf numFmtId="0" fontId="0" fillId="2" borderId="47" xfId="0" applyFill="1" applyBorder="1" applyProtection="1">
      <protection locked="0"/>
    </xf>
    <xf numFmtId="0" fontId="104" fillId="0" borderId="1" xfId="0" applyFont="1" applyBorder="1" applyAlignment="1">
      <alignment horizontal="left"/>
    </xf>
    <xf numFmtId="174" fontId="96" fillId="2" borderId="0" xfId="0" applyNumberFormat="1" applyFont="1" applyFill="1" applyAlignment="1" applyProtection="1">
      <alignment horizontal="right" vertical="top"/>
      <protection locked="0"/>
    </xf>
    <xf numFmtId="172" fontId="96" fillId="2" borderId="47" xfId="0" applyNumberFormat="1" applyFont="1" applyFill="1" applyBorder="1" applyAlignment="1" applyProtection="1">
      <alignment horizontal="right" vertical="top"/>
      <protection locked="0"/>
    </xf>
    <xf numFmtId="174" fontId="96" fillId="4" borderId="47" xfId="11" applyNumberFormat="1" applyFont="1" applyBorder="1" applyAlignment="1" applyProtection="1">
      <alignment horizontal="right" vertical="top"/>
      <protection locked="0"/>
    </xf>
    <xf numFmtId="172" fontId="91" fillId="2" borderId="47" xfId="0" applyNumberFormat="1" applyFont="1" applyFill="1" applyBorder="1" applyAlignment="1" applyProtection="1">
      <alignment horizontal="right" vertical="top"/>
      <protection locked="0"/>
    </xf>
    <xf numFmtId="172" fontId="91" fillId="2" borderId="103" xfId="0" applyNumberFormat="1" applyFont="1" applyFill="1" applyBorder="1" applyAlignment="1" applyProtection="1">
      <alignment horizontal="right"/>
      <protection locked="0"/>
    </xf>
    <xf numFmtId="10" fontId="96" fillId="4" borderId="55" xfId="11" applyNumberFormat="1" applyFont="1" applyBorder="1" applyAlignment="1" applyProtection="1">
      <alignment horizontal="center" vertical="top"/>
      <protection locked="0"/>
    </xf>
    <xf numFmtId="173" fontId="91" fillId="2" borderId="55" xfId="0" applyNumberFormat="1" applyFont="1" applyFill="1" applyBorder="1" applyAlignment="1" applyProtection="1">
      <alignment horizontal="center" vertical="top"/>
      <protection locked="0"/>
    </xf>
    <xf numFmtId="173" fontId="91" fillId="2" borderId="103" xfId="0" applyNumberFormat="1" applyFont="1" applyFill="1" applyBorder="1" applyAlignment="1" applyProtection="1">
      <alignment horizontal="center" vertical="top"/>
      <protection locked="0"/>
    </xf>
    <xf numFmtId="173" fontId="91" fillId="2" borderId="112" xfId="0" applyNumberFormat="1" applyFont="1" applyFill="1" applyBorder="1" applyAlignment="1" applyProtection="1">
      <alignment horizontal="center" vertical="top"/>
      <protection locked="0"/>
    </xf>
    <xf numFmtId="172" fontId="96" fillId="2" borderId="103" xfId="0" applyNumberFormat="1" applyFont="1" applyFill="1" applyBorder="1" applyAlignment="1" applyProtection="1">
      <alignment horizontal="right"/>
      <protection locked="0"/>
    </xf>
    <xf numFmtId="0" fontId="92" fillId="3" borderId="1" xfId="0" applyFont="1" applyFill="1" applyBorder="1" applyAlignment="1">
      <alignment horizontal="right"/>
    </xf>
    <xf numFmtId="0" fontId="92" fillId="3" borderId="1" xfId="0" applyFont="1" applyFill="1" applyBorder="1" applyAlignment="1">
      <alignment horizontal="center"/>
    </xf>
    <xf numFmtId="174" fontId="92" fillId="0" borderId="65" xfId="0" applyNumberFormat="1" applyFont="1" applyBorder="1" applyAlignment="1" applyProtection="1">
      <alignment horizontal="center" vertical="top"/>
    </xf>
    <xf numFmtId="174" fontId="91" fillId="0" borderId="0" xfId="0" applyNumberFormat="1" applyFont="1" applyAlignment="1" applyProtection="1">
      <alignment horizontal="center" vertical="top"/>
    </xf>
    <xf numFmtId="174" fontId="105" fillId="0" borderId="0" xfId="0" applyNumberFormat="1" applyFont="1" applyAlignment="1" applyProtection="1">
      <alignment horizontal="center"/>
    </xf>
    <xf numFmtId="174" fontId="91" fillId="0" borderId="0" xfId="0" applyNumberFormat="1" applyFont="1" applyAlignment="1" applyProtection="1">
      <alignment horizontal="center"/>
    </xf>
    <xf numFmtId="175" fontId="106" fillId="0" borderId="0" xfId="0" applyNumberFormat="1" applyFont="1" applyAlignment="1" applyProtection="1">
      <alignment horizontal="right"/>
    </xf>
    <xf numFmtId="204" fontId="92" fillId="0" borderId="6" xfId="0" applyNumberFormat="1" applyFont="1" applyBorder="1" applyAlignment="1" applyProtection="1">
      <alignment horizontal="center"/>
    </xf>
    <xf numFmtId="205" fontId="91" fillId="0" borderId="0" xfId="0" applyNumberFormat="1" applyFont="1" applyFill="1" applyBorder="1" applyAlignment="1" applyProtection="1">
      <alignment horizontal="center"/>
    </xf>
    <xf numFmtId="205" fontId="91" fillId="0" borderId="57" xfId="0" applyNumberFormat="1" applyFont="1" applyFill="1" applyBorder="1" applyAlignment="1" applyProtection="1">
      <alignment horizontal="center"/>
    </xf>
    <xf numFmtId="205" fontId="91" fillId="0" borderId="1" xfId="0" applyNumberFormat="1" applyFont="1" applyFill="1" applyBorder="1" applyAlignment="1" applyProtection="1">
      <alignment horizontal="center"/>
    </xf>
    <xf numFmtId="205" fontId="91" fillId="0" borderId="65" xfId="0" applyNumberFormat="1" applyFont="1" applyFill="1" applyBorder="1" applyAlignment="1" applyProtection="1">
      <alignment horizontal="center"/>
    </xf>
    <xf numFmtId="206" fontId="91" fillId="0" borderId="0" xfId="0" applyNumberFormat="1" applyFont="1" applyFill="1" applyBorder="1" applyAlignment="1" applyProtection="1">
      <alignment horizontal="center"/>
    </xf>
    <xf numFmtId="0" fontId="92" fillId="63" borderId="65" xfId="0" applyFont="1" applyFill="1" applyBorder="1" applyAlignment="1">
      <alignment horizontal="right"/>
    </xf>
    <xf numFmtId="0" fontId="92" fillId="63" borderId="65" xfId="0" applyFont="1" applyFill="1" applyBorder="1" applyAlignment="1">
      <alignment horizontal="right" wrapText="1"/>
    </xf>
    <xf numFmtId="0" fontId="92" fillId="63" borderId="58" xfId="0" applyFont="1" applyFill="1" applyBorder="1" applyAlignment="1">
      <alignment horizontal="center" wrapText="1"/>
    </xf>
    <xf numFmtId="0" fontId="92" fillId="63" borderId="0" xfId="0" applyFont="1" applyFill="1"/>
    <xf numFmtId="0" fontId="91" fillId="63" borderId="0" xfId="0" applyFont="1" applyFill="1" applyBorder="1"/>
    <xf numFmtId="0" fontId="92" fillId="64" borderId="69" xfId="0" applyFont="1" applyFill="1" applyBorder="1" applyAlignment="1" applyProtection="1">
      <alignment horizontal="right"/>
    </xf>
    <xf numFmtId="195" fontId="92" fillId="64" borderId="65" xfId="0" applyNumberFormat="1" applyFont="1" applyFill="1" applyBorder="1" applyAlignment="1" applyProtection="1">
      <alignment horizontal="right"/>
    </xf>
    <xf numFmtId="0" fontId="92" fillId="64" borderId="104" xfId="0" applyFont="1" applyFill="1" applyBorder="1" applyAlignment="1" applyProtection="1">
      <alignment horizontal="right"/>
    </xf>
    <xf numFmtId="0" fontId="92" fillId="64" borderId="105" xfId="0" applyFont="1" applyFill="1" applyBorder="1" applyAlignment="1" applyProtection="1">
      <alignment horizontal="right"/>
    </xf>
    <xf numFmtId="0" fontId="92" fillId="64" borderId="106" xfId="0" applyFont="1" applyFill="1" applyBorder="1" applyAlignment="1" applyProtection="1">
      <alignment horizontal="right"/>
    </xf>
    <xf numFmtId="0" fontId="92" fillId="64" borderId="15" xfId="0" applyFont="1" applyFill="1" applyBorder="1" applyAlignment="1" applyProtection="1">
      <alignment horizontal="right"/>
    </xf>
    <xf numFmtId="0" fontId="92" fillId="64" borderId="1" xfId="0" applyFont="1" applyFill="1" applyBorder="1" applyAlignment="1" applyProtection="1">
      <alignment horizontal="right"/>
    </xf>
    <xf numFmtId="0" fontId="92" fillId="64" borderId="14" xfId="0" applyFont="1" applyFill="1" applyBorder="1" applyAlignment="1" applyProtection="1">
      <alignment horizontal="right"/>
    </xf>
    <xf numFmtId="0" fontId="102" fillId="63" borderId="65" xfId="7" applyFont="1" applyFill="1" applyBorder="1" applyAlignment="1" applyProtection="1">
      <alignment horizontal="left" wrapText="1" indent="1"/>
    </xf>
    <xf numFmtId="0" fontId="104" fillId="63" borderId="65" xfId="0" applyFont="1" applyFill="1" applyBorder="1" applyAlignment="1" applyProtection="1">
      <alignment horizontal="center" vertical="top"/>
    </xf>
    <xf numFmtId="0" fontId="107" fillId="63" borderId="65" xfId="0" applyFont="1" applyFill="1" applyBorder="1" applyAlignment="1" applyProtection="1">
      <alignment horizontal="center" vertical="top"/>
    </xf>
    <xf numFmtId="0" fontId="92" fillId="64" borderId="69" xfId="0" applyFont="1" applyFill="1" applyBorder="1" applyAlignment="1" applyProtection="1">
      <alignment horizontal="center"/>
    </xf>
    <xf numFmtId="0" fontId="92" fillId="0" borderId="52" xfId="0" applyFont="1" applyFill="1" applyBorder="1" applyProtection="1"/>
    <xf numFmtId="0" fontId="91" fillId="0" borderId="52" xfId="0" applyFont="1" applyFill="1" applyBorder="1" applyProtection="1"/>
    <xf numFmtId="174" fontId="92" fillId="0" borderId="52" xfId="0" applyNumberFormat="1" applyFont="1" applyFill="1" applyBorder="1" applyAlignment="1" applyProtection="1">
      <alignment horizontal="right"/>
    </xf>
    <xf numFmtId="177" fontId="92" fillId="0" borderId="52" xfId="0" applyNumberFormat="1" applyFont="1" applyFill="1" applyBorder="1" applyAlignment="1" applyProtection="1">
      <alignment horizontal="right"/>
    </xf>
    <xf numFmtId="0" fontId="107" fillId="64" borderId="17" xfId="0" applyFont="1" applyFill="1" applyBorder="1" applyAlignment="1">
      <alignment horizontal="right" vertical="top"/>
    </xf>
    <xf numFmtId="0" fontId="107" fillId="64" borderId="60" xfId="0" applyFont="1" applyFill="1" applyBorder="1" applyAlignment="1">
      <alignment horizontal="right" vertical="top"/>
    </xf>
    <xf numFmtId="0" fontId="107" fillId="64" borderId="61" xfId="0" applyFont="1" applyFill="1" applyBorder="1" applyAlignment="1">
      <alignment horizontal="right" vertical="top"/>
    </xf>
    <xf numFmtId="0" fontId="107" fillId="64" borderId="62" xfId="0" applyFont="1" applyFill="1" applyBorder="1" applyAlignment="1">
      <alignment horizontal="right" vertical="top"/>
    </xf>
    <xf numFmtId="0" fontId="104" fillId="64" borderId="40" xfId="0" applyFont="1" applyFill="1" applyBorder="1" applyAlignment="1">
      <alignment horizontal="right" vertical="top"/>
    </xf>
    <xf numFmtId="0" fontId="104" fillId="64" borderId="45" xfId="0" applyFont="1" applyFill="1" applyBorder="1" applyAlignment="1">
      <alignment horizontal="right" vertical="top"/>
    </xf>
    <xf numFmtId="0" fontId="104" fillId="64" borderId="41" xfId="0" applyFont="1" applyFill="1" applyBorder="1" applyAlignment="1">
      <alignment horizontal="right" vertical="top"/>
    </xf>
    <xf numFmtId="0" fontId="104" fillId="64" borderId="46" xfId="0" applyFont="1" applyFill="1" applyBorder="1" applyAlignment="1">
      <alignment horizontal="right" vertical="top"/>
    </xf>
    <xf numFmtId="0" fontId="104" fillId="0" borderId="0" xfId="0" applyFont="1" applyBorder="1" applyAlignment="1">
      <alignment horizontal="center" vertical="top"/>
    </xf>
    <xf numFmtId="207" fontId="104" fillId="0" borderId="0" xfId="33110" applyNumberFormat="1" applyFont="1" applyAlignment="1">
      <alignment horizontal="right" vertical="top"/>
    </xf>
    <xf numFmtId="207" fontId="104" fillId="0" borderId="0" xfId="33110" applyNumberFormat="1" applyFont="1" applyAlignment="1">
      <alignment horizontal="center" vertical="top"/>
    </xf>
    <xf numFmtId="174" fontId="92" fillId="0" borderId="0" xfId="0" applyNumberFormat="1" applyFont="1" applyFill="1" applyBorder="1" applyAlignment="1" applyProtection="1">
      <alignment horizontal="right" wrapText="1"/>
    </xf>
    <xf numFmtId="0" fontId="92" fillId="64" borderId="0" xfId="0" applyFont="1" applyFill="1" applyAlignment="1">
      <alignment horizontal="center"/>
    </xf>
    <xf numFmtId="0" fontId="92" fillId="64" borderId="15" xfId="0" applyFont="1" applyFill="1" applyBorder="1" applyAlignment="1" applyProtection="1">
      <alignment horizontal="center"/>
    </xf>
    <xf numFmtId="0" fontId="92" fillId="64" borderId="1" xfId="0" applyFont="1" applyFill="1" applyBorder="1" applyAlignment="1" applyProtection="1">
      <alignment horizontal="center"/>
    </xf>
    <xf numFmtId="0" fontId="92" fillId="64" borderId="14" xfId="0" applyFont="1" applyFill="1" applyBorder="1" applyAlignment="1" applyProtection="1">
      <alignment horizontal="center"/>
    </xf>
    <xf numFmtId="0" fontId="92" fillId="64" borderId="59" xfId="0" applyFont="1" applyFill="1" applyBorder="1" applyAlignment="1" applyProtection="1">
      <alignment horizontal="center"/>
    </xf>
    <xf numFmtId="195" fontId="92" fillId="64" borderId="57" xfId="0" applyNumberFormat="1" applyFont="1" applyFill="1" applyBorder="1" applyAlignment="1" applyProtection="1">
      <alignment horizontal="center"/>
    </xf>
    <xf numFmtId="195" fontId="92" fillId="64" borderId="58" xfId="0" applyNumberFormat="1" applyFont="1" applyFill="1" applyBorder="1" applyAlignment="1" applyProtection="1">
      <alignment horizontal="center"/>
    </xf>
    <xf numFmtId="0" fontId="92" fillId="64" borderId="104" xfId="0" applyFont="1" applyFill="1" applyBorder="1" applyAlignment="1" applyProtection="1">
      <alignment horizontal="center"/>
    </xf>
    <xf numFmtId="0" fontId="92" fillId="64" borderId="105" xfId="0" applyFont="1" applyFill="1" applyBorder="1" applyAlignment="1" applyProtection="1">
      <alignment horizontal="center"/>
    </xf>
    <xf numFmtId="0" fontId="92" fillId="64" borderId="106" xfId="0" applyFont="1" applyFill="1" applyBorder="1" applyAlignment="1" applyProtection="1">
      <alignment horizontal="center"/>
    </xf>
    <xf numFmtId="0" fontId="92" fillId="0" borderId="5" xfId="0" applyFont="1" applyFill="1" applyBorder="1" applyAlignment="1" applyProtection="1">
      <alignment wrapText="1"/>
    </xf>
    <xf numFmtId="177" fontId="92" fillId="0" borderId="6" xfId="0" applyNumberFormat="1" applyFont="1" applyFill="1" applyBorder="1" applyProtection="1"/>
    <xf numFmtId="0" fontId="92" fillId="0" borderId="6" xfId="0" applyFont="1" applyFill="1" applyBorder="1" applyProtection="1"/>
    <xf numFmtId="177" fontId="92" fillId="0" borderId="6" xfId="0" applyNumberFormat="1" applyFont="1" applyFill="1" applyBorder="1" applyAlignment="1" applyProtection="1">
      <alignment horizontal="center"/>
    </xf>
    <xf numFmtId="0" fontId="104" fillId="64" borderId="45" xfId="0" applyNumberFormat="1" applyFont="1" applyFill="1" applyBorder="1" applyAlignment="1" applyProtection="1">
      <alignment horizontal="center" vertical="top"/>
    </xf>
    <xf numFmtId="0" fontId="104" fillId="64" borderId="41" xfId="0" applyNumberFormat="1" applyFont="1" applyFill="1" applyBorder="1" applyAlignment="1" applyProtection="1">
      <alignment horizontal="center" vertical="top"/>
    </xf>
    <xf numFmtId="0" fontId="104" fillId="64" borderId="46" xfId="0" applyNumberFormat="1" applyFont="1" applyFill="1" applyBorder="1" applyAlignment="1" applyProtection="1">
      <alignment horizontal="center" vertical="top"/>
    </xf>
    <xf numFmtId="0" fontId="102" fillId="63" borderId="0" xfId="0" applyFont="1" applyFill="1"/>
    <xf numFmtId="0" fontId="108" fillId="63" borderId="0" xfId="7" applyFont="1" applyFill="1" applyBorder="1" applyAlignment="1" applyProtection="1">
      <alignment wrapText="1"/>
    </xf>
    <xf numFmtId="0" fontId="100" fillId="63" borderId="0" xfId="7" applyFont="1" applyFill="1" applyBorder="1" applyAlignment="1" applyProtection="1">
      <alignment horizontal="right" wrapText="1" indent="1"/>
    </xf>
    <xf numFmtId="164" fontId="91" fillId="63" borderId="0" xfId="0" applyNumberFormat="1" applyFont="1" applyFill="1" applyBorder="1" applyAlignment="1">
      <alignment horizontal="center" vertical="top"/>
    </xf>
    <xf numFmtId="0" fontId="91" fillId="63" borderId="0" xfId="0" applyFont="1" applyFill="1" applyBorder="1" applyProtection="1"/>
    <xf numFmtId="164" fontId="91" fillId="63" borderId="1" xfId="0" applyNumberFormat="1" applyFont="1" applyFill="1" applyBorder="1" applyAlignment="1">
      <alignment horizontal="center" vertical="top"/>
    </xf>
    <xf numFmtId="0" fontId="91" fillId="63" borderId="1" xfId="0" applyFont="1" applyFill="1" applyBorder="1" applyProtection="1"/>
    <xf numFmtId="188" fontId="92" fillId="64" borderId="0" xfId="0" applyNumberFormat="1" applyFont="1" applyFill="1" applyBorder="1" applyAlignment="1">
      <alignment horizontal="center" wrapText="1"/>
    </xf>
    <xf numFmtId="0" fontId="92" fillId="64" borderId="69" xfId="0" applyFont="1" applyFill="1" applyBorder="1" applyAlignment="1">
      <alignment horizontal="right"/>
    </xf>
    <xf numFmtId="0" fontId="92" fillId="64" borderId="65" xfId="0" applyFont="1" applyFill="1" applyBorder="1" applyAlignment="1">
      <alignment horizontal="right"/>
    </xf>
    <xf numFmtId="0" fontId="104" fillId="64" borderId="18" xfId="0" applyFont="1" applyFill="1" applyBorder="1" applyAlignment="1" applyProtection="1">
      <alignment horizontal="right" vertical="top"/>
    </xf>
    <xf numFmtId="0" fontId="104" fillId="64" borderId="0" xfId="0" quotePrefix="1" applyFont="1" applyFill="1" applyBorder="1" applyAlignment="1" applyProtection="1">
      <alignment horizontal="right" vertical="top"/>
    </xf>
    <xf numFmtId="0" fontId="104" fillId="64" borderId="0" xfId="0" applyFont="1" applyFill="1" applyBorder="1" applyAlignment="1" applyProtection="1">
      <alignment horizontal="right" vertical="top"/>
    </xf>
    <xf numFmtId="0" fontId="104" fillId="64" borderId="16" xfId="0" applyFont="1" applyFill="1" applyBorder="1" applyAlignment="1" applyProtection="1">
      <alignment horizontal="right" vertical="top"/>
    </xf>
    <xf numFmtId="0" fontId="104" fillId="64" borderId="15" xfId="0" applyNumberFormat="1" applyFont="1" applyFill="1" applyBorder="1" applyAlignment="1" applyProtection="1">
      <alignment horizontal="right" vertical="top"/>
    </xf>
    <xf numFmtId="0" fontId="104" fillId="64" borderId="1" xfId="0" applyNumberFormat="1" applyFont="1" applyFill="1" applyBorder="1" applyAlignment="1" applyProtection="1">
      <alignment horizontal="right" vertical="top"/>
    </xf>
    <xf numFmtId="0" fontId="104" fillId="64" borderId="14" xfId="0" applyNumberFormat="1" applyFont="1" applyFill="1" applyBorder="1" applyAlignment="1" applyProtection="1">
      <alignment horizontal="right" vertical="top"/>
    </xf>
    <xf numFmtId="0" fontId="94" fillId="64" borderId="110" xfId="8" applyFont="1" applyFill="1" applyBorder="1" applyAlignment="1" applyProtection="1">
      <alignment horizontal="center" wrapText="1"/>
    </xf>
    <xf numFmtId="44" fontId="95" fillId="64" borderId="110" xfId="6" applyFont="1" applyFill="1" applyBorder="1" applyAlignment="1" applyProtection="1">
      <alignment horizontal="center"/>
    </xf>
    <xf numFmtId="44" fontId="95" fillId="63" borderId="0" xfId="8" applyNumberFormat="1" applyFont="1" applyFill="1" applyBorder="1" applyProtection="1"/>
    <xf numFmtId="173" fontId="95" fillId="63" borderId="0" xfId="8" applyNumberFormat="1" applyFont="1" applyFill="1" applyProtection="1"/>
    <xf numFmtId="0" fontId="107" fillId="64" borderId="60" xfId="0" applyFont="1" applyFill="1" applyBorder="1" applyAlignment="1" applyProtection="1">
      <alignment horizontal="center" vertical="top"/>
    </xf>
    <xf numFmtId="0" fontId="107" fillId="64" borderId="61" xfId="0" applyFont="1" applyFill="1" applyBorder="1" applyAlignment="1" applyProtection="1">
      <alignment horizontal="center" vertical="top"/>
    </xf>
    <xf numFmtId="0" fontId="107" fillId="64" borderId="62" xfId="0" applyFont="1" applyFill="1" applyBorder="1" applyAlignment="1" applyProtection="1">
      <alignment horizontal="center" vertical="top"/>
    </xf>
    <xf numFmtId="0" fontId="104" fillId="64" borderId="45" xfId="0" applyFont="1" applyFill="1" applyBorder="1" applyAlignment="1" applyProtection="1">
      <alignment horizontal="center" vertical="top"/>
    </xf>
    <xf numFmtId="0" fontId="104" fillId="64" borderId="41" xfId="0" applyFont="1" applyFill="1" applyBorder="1" applyAlignment="1" applyProtection="1">
      <alignment horizontal="center" vertical="top"/>
    </xf>
    <xf numFmtId="0" fontId="104" fillId="64" borderId="46" xfId="0" applyFont="1" applyFill="1" applyBorder="1" applyAlignment="1" applyProtection="1">
      <alignment horizontal="center" vertical="top"/>
    </xf>
    <xf numFmtId="0" fontId="102" fillId="72" borderId="0" xfId="33111" applyFont="1" applyFill="1" applyBorder="1" applyAlignment="1">
      <alignment horizontal="left" vertical="top"/>
    </xf>
    <xf numFmtId="0" fontId="120" fillId="72" borderId="0" xfId="33111" applyFont="1" applyFill="1" applyBorder="1" applyAlignment="1">
      <alignment horizontal="left" vertical="top" wrapText="1"/>
    </xf>
    <xf numFmtId="166" fontId="120" fillId="0" borderId="0" xfId="8" applyNumberFormat="1" applyFont="1" applyAlignment="1" applyProtection="1">
      <alignment horizontal="center"/>
    </xf>
    <xf numFmtId="43" fontId="91" fillId="0" borderId="0" xfId="4" applyFont="1" applyFill="1" applyProtection="1"/>
    <xf numFmtId="0" fontId="104" fillId="0" borderId="57" xfId="8" applyFont="1" applyFill="1" applyBorder="1" applyAlignment="1" applyProtection="1">
      <alignment horizontal="left"/>
    </xf>
    <xf numFmtId="174" fontId="91" fillId="0" borderId="57" xfId="0" applyNumberFormat="1" applyFont="1" applyFill="1" applyBorder="1" applyAlignment="1" applyProtection="1">
      <alignment horizontal="right"/>
    </xf>
    <xf numFmtId="175" fontId="92" fillId="0" borderId="0" xfId="0" applyNumberFormat="1" applyFont="1" applyFill="1" applyAlignment="1" applyProtection="1">
      <alignment horizontal="right"/>
    </xf>
    <xf numFmtId="195" fontId="92" fillId="64" borderId="65" xfId="0" applyNumberFormat="1" applyFont="1" applyFill="1" applyBorder="1" applyAlignment="1" applyProtection="1">
      <alignment horizontal="center"/>
    </xf>
    <xf numFmtId="195" fontId="92" fillId="64" borderId="63" xfId="0" applyNumberFormat="1" applyFont="1" applyFill="1" applyBorder="1" applyAlignment="1" applyProtection="1">
      <alignment horizontal="center"/>
    </xf>
    <xf numFmtId="0" fontId="107" fillId="64" borderId="40" xfId="0" applyFont="1" applyFill="1" applyBorder="1" applyAlignment="1" applyProtection="1">
      <alignment horizontal="center" vertical="top"/>
    </xf>
    <xf numFmtId="0" fontId="104" fillId="64" borderId="40" xfId="0" applyFont="1" applyFill="1" applyBorder="1" applyAlignment="1" applyProtection="1">
      <alignment horizontal="center" vertical="top"/>
    </xf>
    <xf numFmtId="0" fontId="102" fillId="60" borderId="1" xfId="0" applyFont="1" applyFill="1" applyBorder="1"/>
    <xf numFmtId="0" fontId="92" fillId="60" borderId="1" xfId="0" applyFont="1" applyFill="1" applyBorder="1"/>
    <xf numFmtId="0" fontId="92" fillId="60" borderId="1" xfId="0" applyFont="1" applyFill="1" applyBorder="1" applyAlignment="1">
      <alignment horizontal="right"/>
    </xf>
    <xf numFmtId="174" fontId="95" fillId="2" borderId="55" xfId="6" applyNumberFormat="1" applyFont="1" applyFill="1" applyBorder="1" applyProtection="1">
      <protection locked="0"/>
    </xf>
    <xf numFmtId="174" fontId="95" fillId="0" borderId="103" xfId="6" applyNumberFormat="1" applyFont="1" applyBorder="1" applyProtection="1"/>
    <xf numFmtId="174" fontId="95" fillId="0" borderId="102" xfId="8" applyNumberFormat="1" applyFont="1" applyFill="1" applyBorder="1" applyProtection="1"/>
    <xf numFmtId="174" fontId="95" fillId="0" borderId="57" xfId="8" applyNumberFormat="1" applyFont="1" applyFill="1" applyBorder="1" applyProtection="1"/>
    <xf numFmtId="0" fontId="91" fillId="0" borderId="0" xfId="0" quotePrefix="1" applyFont="1" applyFill="1" applyBorder="1"/>
    <xf numFmtId="174" fontId="91" fillId="0" borderId="0" xfId="0" quotePrefix="1" applyNumberFormat="1" applyFont="1" applyFill="1" applyBorder="1"/>
    <xf numFmtId="0" fontId="92" fillId="62" borderId="57" xfId="0" applyFont="1" applyFill="1" applyBorder="1"/>
    <xf numFmtId="0" fontId="104" fillId="63" borderId="50" xfId="0" applyFont="1" applyFill="1" applyBorder="1" applyProtection="1"/>
    <xf numFmtId="0" fontId="100" fillId="63" borderId="50" xfId="7" applyFont="1" applyFill="1" applyBorder="1" applyAlignment="1" applyProtection="1">
      <alignment horizontal="right" wrapText="1" indent="1"/>
    </xf>
    <xf numFmtId="0" fontId="107" fillId="63" borderId="50" xfId="0" applyFont="1" applyFill="1" applyBorder="1" applyAlignment="1" applyProtection="1">
      <alignment horizontal="center" vertical="top"/>
    </xf>
    <xf numFmtId="172" fontId="91" fillId="0" borderId="55" xfId="0" applyNumberFormat="1" applyFont="1" applyBorder="1" applyAlignment="1">
      <alignment horizontal="center" vertical="top"/>
    </xf>
    <xf numFmtId="172" fontId="91" fillId="0" borderId="55" xfId="0" applyNumberFormat="1" applyFont="1" applyBorder="1" applyAlignment="1">
      <alignment horizontal="right" vertical="top"/>
    </xf>
    <xf numFmtId="190" fontId="148" fillId="0" borderId="55" xfId="11" applyNumberFormat="1" applyFont="1" applyFill="1" applyBorder="1" applyAlignment="1" applyProtection="1">
      <alignment horizontal="center" vertical="top"/>
      <protection locked="0"/>
    </xf>
    <xf numFmtId="164" fontId="96" fillId="4" borderId="55" xfId="11" applyNumberFormat="1" applyFont="1" applyFill="1" applyBorder="1" applyAlignment="1" applyProtection="1">
      <alignment horizontal="center" vertical="top"/>
      <protection locked="0"/>
    </xf>
    <xf numFmtId="174" fontId="91" fillId="0" borderId="1" xfId="0" applyNumberFormat="1" applyFont="1" applyBorder="1" applyAlignment="1" applyProtection="1">
      <alignment horizontal="right" vertical="top"/>
    </xf>
    <xf numFmtId="174" fontId="91" fillId="0" borderId="0" xfId="0" applyNumberFormat="1" applyFont="1" applyFill="1" applyAlignment="1" applyProtection="1">
      <alignment horizontal="right"/>
    </xf>
    <xf numFmtId="174" fontId="91" fillId="0" borderId="0" xfId="0" applyNumberFormat="1" applyFont="1" applyAlignment="1" applyProtection="1">
      <alignment horizontal="right" vertical="top" wrapText="1"/>
    </xf>
    <xf numFmtId="174" fontId="91" fillId="0" borderId="0" xfId="0" quotePrefix="1" applyNumberFormat="1" applyFont="1" applyAlignment="1" applyProtection="1">
      <alignment horizontal="right" vertical="top"/>
    </xf>
    <xf numFmtId="172" fontId="91" fillId="0" borderId="1" xfId="0" applyNumberFormat="1" applyFont="1" applyBorder="1" applyAlignment="1" applyProtection="1">
      <alignment horizontal="right"/>
    </xf>
    <xf numFmtId="0" fontId="102" fillId="62" borderId="0" xfId="0" applyFont="1" applyFill="1" applyProtection="1"/>
    <xf numFmtId="0" fontId="91" fillId="62" borderId="0" xfId="0" applyFont="1" applyFill="1" applyProtection="1"/>
    <xf numFmtId="0" fontId="92" fillId="68" borderId="116" xfId="0" applyFont="1" applyFill="1" applyBorder="1" applyAlignment="1">
      <alignment horizontal="right"/>
    </xf>
    <xf numFmtId="174" fontId="91" fillId="2" borderId="47" xfId="0" applyNumberFormat="1" applyFont="1" applyFill="1" applyBorder="1" applyAlignment="1" applyProtection="1">
      <alignment horizontal="right" vertical="top"/>
      <protection locked="0"/>
    </xf>
    <xf numFmtId="211" fontId="91" fillId="0" borderId="1" xfId="33110" applyNumberFormat="1" applyFont="1" applyFill="1" applyBorder="1"/>
    <xf numFmtId="211" fontId="91" fillId="0" borderId="47" xfId="33110" applyNumberFormat="1" applyFont="1" applyFill="1" applyBorder="1"/>
    <xf numFmtId="211" fontId="91" fillId="0" borderId="52" xfId="33110" applyNumberFormat="1" applyFont="1" applyFill="1" applyBorder="1"/>
    <xf numFmtId="174" fontId="96" fillId="4" borderId="55" xfId="11" applyNumberFormat="1" applyFont="1" applyBorder="1" applyAlignment="1" applyProtection="1">
      <alignment horizontal="center" vertical="top"/>
      <protection locked="0"/>
    </xf>
    <xf numFmtId="175" fontId="96" fillId="4" borderId="55" xfId="11" applyNumberFormat="1" applyFont="1" applyBorder="1" applyAlignment="1" applyProtection="1">
      <alignment horizontal="center" vertical="top"/>
      <protection locked="0"/>
    </xf>
    <xf numFmtId="174" fontId="96" fillId="2" borderId="55" xfId="11" applyNumberFormat="1" applyFont="1" applyFill="1" applyBorder="1" applyAlignment="1" applyProtection="1">
      <alignment horizontal="center" vertical="top"/>
      <protection locked="0"/>
    </xf>
    <xf numFmtId="187" fontId="96" fillId="4" borderId="3" xfId="11" applyNumberFormat="1" applyFont="1" applyAlignment="1" applyProtection="1">
      <alignment horizontal="right"/>
      <protection locked="0"/>
    </xf>
    <xf numFmtId="212" fontId="96" fillId="4" borderId="55" xfId="11" applyNumberFormat="1" applyFont="1" applyBorder="1" applyAlignment="1" applyProtection="1">
      <alignment horizontal="center"/>
      <protection locked="0"/>
    </xf>
    <xf numFmtId="212" fontId="96" fillId="4" borderId="66" xfId="11" applyNumberFormat="1" applyFont="1" applyBorder="1" applyAlignment="1" applyProtection="1">
      <alignment horizontal="center"/>
      <protection locked="0"/>
    </xf>
    <xf numFmtId="190" fontId="96" fillId="4" borderId="3" xfId="11" applyNumberFormat="1" applyFont="1" applyAlignment="1" applyProtection="1">
      <alignment horizontal="center"/>
      <protection locked="0"/>
    </xf>
    <xf numFmtId="213" fontId="96" fillId="4" borderId="3" xfId="11" applyNumberFormat="1" applyFont="1" applyAlignment="1" applyProtection="1">
      <alignment horizontal="center"/>
      <protection locked="0"/>
    </xf>
    <xf numFmtId="214" fontId="96" fillId="4" borderId="3" xfId="11" applyNumberFormat="1" applyFont="1" applyAlignment="1" applyProtection="1">
      <alignment horizontal="center"/>
      <protection locked="0"/>
    </xf>
    <xf numFmtId="215" fontId="96" fillId="4" borderId="3" xfId="11" applyNumberFormat="1" applyFont="1" applyAlignment="1" applyProtection="1">
      <alignment horizontal="center"/>
      <protection locked="0"/>
    </xf>
    <xf numFmtId="174" fontId="92" fillId="0" borderId="65" xfId="0" applyNumberFormat="1" applyFont="1" applyBorder="1" applyAlignment="1" applyProtection="1">
      <alignment horizontal="right"/>
    </xf>
    <xf numFmtId="172" fontId="90" fillId="0" borderId="103" xfId="0" applyNumberFormat="1" applyFont="1" applyFill="1" applyBorder="1" applyAlignment="1" applyProtection="1">
      <alignment horizontal="right" vertical="top"/>
    </xf>
    <xf numFmtId="172" fontId="90" fillId="0" borderId="55" xfId="0" applyNumberFormat="1" applyFont="1" applyFill="1" applyBorder="1" applyAlignment="1" applyProtection="1">
      <alignment horizontal="right" vertical="top"/>
    </xf>
    <xf numFmtId="172" fontId="96" fillId="2" borderId="0" xfId="0" applyNumberFormat="1" applyFont="1" applyFill="1" applyBorder="1" applyAlignment="1" applyProtection="1">
      <alignment horizontal="right" vertical="top"/>
      <protection locked="0"/>
    </xf>
    <xf numFmtId="172" fontId="101" fillId="2" borderId="0" xfId="0" applyNumberFormat="1" applyFont="1" applyFill="1" applyBorder="1" applyAlignment="1" applyProtection="1">
      <alignment horizontal="right" vertical="top"/>
      <protection locked="0"/>
    </xf>
    <xf numFmtId="172" fontId="92" fillId="3" borderId="112" xfId="13330" applyNumberFormat="1" applyFont="1" applyFill="1" applyBorder="1" applyAlignment="1">
      <alignment horizontal="right" vertical="top"/>
    </xf>
    <xf numFmtId="172" fontId="96" fillId="2" borderId="103" xfId="0" applyNumberFormat="1" applyFont="1" applyFill="1" applyBorder="1" applyAlignment="1" applyProtection="1">
      <alignment horizontal="right" vertical="top"/>
      <protection locked="0"/>
    </xf>
    <xf numFmtId="9" fontId="101" fillId="2" borderId="55" xfId="9" applyFont="1" applyFill="1" applyBorder="1" applyAlignment="1" applyProtection="1">
      <alignment horizontal="right" vertical="top"/>
      <protection locked="0"/>
    </xf>
    <xf numFmtId="0" fontId="91" fillId="3" borderId="0" xfId="0" applyFont="1" applyFill="1" applyBorder="1" applyAlignment="1">
      <alignment horizontal="right"/>
    </xf>
    <xf numFmtId="1" fontId="96" fillId="2" borderId="112" xfId="0" applyNumberFormat="1" applyFont="1" applyFill="1" applyBorder="1" applyAlignment="1" applyProtection="1">
      <alignment horizontal="center" vertical="top"/>
      <protection locked="0"/>
    </xf>
    <xf numFmtId="172" fontId="95" fillId="0" borderId="102" xfId="8" applyNumberFormat="1" applyFont="1" applyFill="1" applyBorder="1" applyProtection="1"/>
    <xf numFmtId="0" fontId="95" fillId="0" borderId="102" xfId="0" applyFont="1" applyFill="1" applyBorder="1" applyProtection="1"/>
    <xf numFmtId="0" fontId="95" fillId="0" borderId="55" xfId="8" applyFont="1" applyFill="1" applyBorder="1" applyProtection="1"/>
    <xf numFmtId="0" fontId="95" fillId="0" borderId="55" xfId="0" applyFont="1" applyFill="1" applyBorder="1" applyProtection="1"/>
    <xf numFmtId="0" fontId="91" fillId="0" borderId="55" xfId="0" applyFont="1" applyFill="1" applyBorder="1" applyProtection="1"/>
    <xf numFmtId="0" fontId="95" fillId="0" borderId="103" xfId="8" applyFont="1" applyBorder="1" applyProtection="1"/>
    <xf numFmtId="174" fontId="95" fillId="0" borderId="103" xfId="8" applyNumberFormat="1" applyFont="1" applyBorder="1" applyProtection="1"/>
    <xf numFmtId="174" fontId="95" fillId="0" borderId="103" xfId="8" applyNumberFormat="1" applyFont="1" applyFill="1" applyBorder="1" applyProtection="1"/>
    <xf numFmtId="172" fontId="116" fillId="2" borderId="103" xfId="6" applyNumberFormat="1" applyFont="1" applyFill="1" applyBorder="1" applyProtection="1">
      <protection locked="0"/>
    </xf>
    <xf numFmtId="172" fontId="116" fillId="2" borderId="112" xfId="6" applyNumberFormat="1" applyFont="1" applyFill="1" applyBorder="1" applyAlignment="1" applyProtection="1">
      <protection locked="0"/>
    </xf>
    <xf numFmtId="0" fontId="94" fillId="0" borderId="118" xfId="8" applyFont="1" applyFill="1" applyBorder="1" applyAlignment="1" applyProtection="1">
      <alignment horizontal="center" wrapText="1"/>
    </xf>
    <xf numFmtId="0" fontId="94" fillId="0" borderId="119" xfId="8" quotePrefix="1" applyFont="1" applyBorder="1" applyAlignment="1" applyProtection="1">
      <alignment horizontal="center" wrapText="1"/>
    </xf>
    <xf numFmtId="0" fontId="94" fillId="64" borderId="119" xfId="8" applyFont="1" applyFill="1" applyBorder="1" applyAlignment="1" applyProtection="1">
      <alignment horizontal="center" wrapText="1"/>
    </xf>
    <xf numFmtId="44" fontId="94" fillId="64" borderId="119" xfId="6" applyFont="1" applyFill="1" applyBorder="1" applyAlignment="1" applyProtection="1">
      <alignment horizontal="center"/>
    </xf>
    <xf numFmtId="44" fontId="94" fillId="66" borderId="119" xfId="6" applyFont="1" applyFill="1" applyBorder="1" applyAlignment="1" applyProtection="1">
      <alignment horizontal="center"/>
    </xf>
    <xf numFmtId="44" fontId="94" fillId="66" borderId="120" xfId="6" applyFont="1" applyFill="1" applyBorder="1" applyAlignment="1" applyProtection="1">
      <alignment horizontal="center"/>
    </xf>
    <xf numFmtId="174" fontId="95" fillId="0" borderId="66" xfId="8" applyNumberFormat="1" applyFont="1" applyFill="1" applyBorder="1" applyProtection="1"/>
    <xf numFmtId="174" fontId="95" fillId="0" borderId="66" xfId="8" applyNumberFormat="1" applyFont="1" applyBorder="1" applyProtection="1"/>
    <xf numFmtId="174" fontId="116" fillId="2" borderId="66" xfId="6" quotePrefix="1" applyNumberFormat="1" applyFont="1" applyFill="1" applyBorder="1" applyProtection="1">
      <protection locked="0"/>
    </xf>
    <xf numFmtId="174" fontId="116" fillId="2" borderId="66" xfId="6" applyNumberFormat="1" applyFont="1" applyFill="1" applyBorder="1" applyProtection="1">
      <protection locked="0"/>
    </xf>
    <xf numFmtId="0" fontId="94" fillId="63" borderId="65" xfId="8" applyFont="1" applyFill="1" applyBorder="1" applyProtection="1"/>
    <xf numFmtId="0" fontId="94" fillId="63" borderId="117" xfId="8" applyFont="1" applyFill="1" applyBorder="1" applyAlignment="1" applyProtection="1">
      <alignment horizontal="center" wrapText="1"/>
    </xf>
    <xf numFmtId="44" fontId="94" fillId="63" borderId="117" xfId="6" applyFont="1" applyFill="1" applyBorder="1" applyAlignment="1" applyProtection="1">
      <alignment horizontal="center"/>
    </xf>
    <xf numFmtId="0" fontId="94" fillId="60" borderId="65" xfId="8" applyFont="1" applyFill="1" applyBorder="1" applyProtection="1"/>
    <xf numFmtId="0" fontId="95" fillId="60" borderId="65" xfId="8" applyFont="1" applyFill="1" applyBorder="1" applyProtection="1"/>
    <xf numFmtId="44" fontId="95" fillId="60" borderId="65" xfId="6" applyFont="1" applyFill="1" applyBorder="1" applyProtection="1"/>
    <xf numFmtId="0" fontId="91" fillId="2" borderId="103" xfId="0" applyFont="1" applyFill="1" applyBorder="1" applyAlignment="1" applyProtection="1">
      <alignment horizontal="center" vertical="top"/>
    </xf>
    <xf numFmtId="0" fontId="91" fillId="2" borderId="55" xfId="0" applyFont="1" applyFill="1" applyBorder="1" applyAlignment="1" applyProtection="1">
      <alignment horizontal="center" vertical="top"/>
    </xf>
    <xf numFmtId="0" fontId="91" fillId="2" borderId="112" xfId="0" applyFont="1" applyFill="1" applyBorder="1" applyAlignment="1" applyProtection="1">
      <alignment horizontal="center" vertical="top"/>
    </xf>
    <xf numFmtId="172" fontId="91" fillId="2" borderId="55" xfId="0" applyNumberFormat="1" applyFont="1" applyFill="1" applyBorder="1" applyAlignment="1" applyProtection="1">
      <alignment horizontal="center" vertical="top"/>
    </xf>
    <xf numFmtId="0" fontId="96" fillId="2" borderId="55" xfId="0" applyFont="1" applyFill="1" applyBorder="1" applyProtection="1">
      <protection locked="0"/>
    </xf>
    <xf numFmtId="175" fontId="96" fillId="2" borderId="55" xfId="0" applyNumberFormat="1" applyFont="1" applyFill="1" applyBorder="1" applyProtection="1">
      <protection locked="0"/>
    </xf>
    <xf numFmtId="0" fontId="96" fillId="2" borderId="112" xfId="0" applyFont="1" applyFill="1" applyBorder="1" applyProtection="1">
      <protection locked="0"/>
    </xf>
    <xf numFmtId="175" fontId="96" fillId="2" borderId="112" xfId="0" applyNumberFormat="1" applyFont="1" applyFill="1" applyBorder="1" applyProtection="1">
      <protection locked="0"/>
    </xf>
    <xf numFmtId="174" fontId="96" fillId="2" borderId="103" xfId="0" applyNumberFormat="1" applyFont="1" applyFill="1" applyBorder="1" applyProtection="1">
      <protection locked="0"/>
    </xf>
    <xf numFmtId="0" fontId="92" fillId="0" borderId="65" xfId="0" applyFont="1" applyBorder="1" applyProtection="1"/>
    <xf numFmtId="0" fontId="91" fillId="3" borderId="121" xfId="0" applyFont="1" applyFill="1" applyBorder="1"/>
    <xf numFmtId="0" fontId="91" fillId="3" borderId="122" xfId="0" applyFont="1" applyFill="1" applyBorder="1"/>
    <xf numFmtId="0" fontId="91" fillId="0" borderId="59" xfId="0" applyFont="1" applyBorder="1" applyAlignment="1">
      <alignment horizontal="left" indent="1"/>
    </xf>
    <xf numFmtId="0" fontId="92" fillId="63" borderId="57" xfId="0" applyFont="1" applyFill="1" applyBorder="1" applyAlignment="1">
      <alignment horizontal="right"/>
    </xf>
    <xf numFmtId="0" fontId="92" fillId="63" borderId="57" xfId="0" applyFont="1" applyFill="1" applyBorder="1" applyAlignment="1">
      <alignment horizontal="right" wrapText="1"/>
    </xf>
    <xf numFmtId="0" fontId="129" fillId="0" borderId="124" xfId="0" applyFont="1" applyBorder="1" applyAlignment="1">
      <alignment horizontal="left" indent="1"/>
    </xf>
    <xf numFmtId="0" fontId="96" fillId="2" borderId="52" xfId="0" applyFont="1" applyFill="1" applyBorder="1" applyAlignment="1" applyProtection="1">
      <alignment horizontal="center"/>
      <protection locked="0"/>
    </xf>
    <xf numFmtId="49" fontId="96" fillId="2" borderId="52" xfId="0" applyNumberFormat="1" applyFont="1" applyFill="1" applyBorder="1" applyAlignment="1" applyProtection="1">
      <alignment horizontal="center"/>
      <protection locked="0"/>
    </xf>
    <xf numFmtId="172" fontId="96" fillId="2" borderId="52" xfId="0" applyNumberFormat="1" applyFont="1" applyFill="1" applyBorder="1" applyProtection="1">
      <protection locked="0"/>
    </xf>
    <xf numFmtId="194" fontId="96" fillId="2" borderId="125" xfId="0" applyNumberFormat="1" applyFont="1" applyFill="1" applyBorder="1" applyAlignment="1" applyProtection="1">
      <alignment horizontal="center"/>
      <protection locked="0"/>
    </xf>
    <xf numFmtId="173" fontId="96" fillId="2" borderId="126" xfId="0" applyNumberFormat="1" applyFont="1" applyFill="1" applyBorder="1" applyAlignment="1" applyProtection="1">
      <alignment horizontal="center"/>
      <protection locked="0"/>
    </xf>
    <xf numFmtId="0" fontId="92" fillId="63" borderId="65" xfId="0" applyFont="1" applyFill="1" applyBorder="1"/>
    <xf numFmtId="0" fontId="91" fillId="63" borderId="65" xfId="0" applyFont="1" applyFill="1" applyBorder="1"/>
    <xf numFmtId="172" fontId="91" fillId="0" borderId="50" xfId="0" applyNumberFormat="1" applyFont="1" applyFill="1" applyBorder="1" applyProtection="1"/>
    <xf numFmtId="174" fontId="90" fillId="0" borderId="67" xfId="0" applyNumberFormat="1" applyFont="1" applyFill="1" applyBorder="1" applyProtection="1"/>
    <xf numFmtId="172" fontId="96" fillId="2" borderId="67" xfId="0" applyNumberFormat="1" applyFont="1" applyFill="1" applyBorder="1" applyProtection="1">
      <protection locked="0"/>
    </xf>
    <xf numFmtId="172" fontId="96" fillId="0" borderId="67" xfId="0" applyNumberFormat="1" applyFont="1" applyFill="1" applyBorder="1" applyProtection="1">
      <protection locked="0"/>
    </xf>
    <xf numFmtId="172" fontId="96" fillId="2" borderId="127" xfId="0" applyNumberFormat="1" applyFont="1" applyFill="1" applyBorder="1" applyProtection="1">
      <protection locked="0"/>
    </xf>
    <xf numFmtId="172" fontId="90" fillId="0" borderId="121" xfId="0" applyNumberFormat="1" applyFont="1" applyFill="1" applyBorder="1" applyProtection="1"/>
    <xf numFmtId="0" fontId="92" fillId="64" borderId="59" xfId="0" applyFont="1" applyFill="1" applyBorder="1" applyAlignment="1" applyProtection="1">
      <alignment horizontal="right"/>
    </xf>
    <xf numFmtId="195" fontId="92" fillId="64" borderId="57" xfId="0" applyNumberFormat="1" applyFont="1" applyFill="1" applyBorder="1" applyAlignment="1" applyProtection="1">
      <alignment horizontal="right"/>
    </xf>
    <xf numFmtId="195" fontId="92" fillId="64" borderId="58" xfId="0" applyNumberFormat="1" applyFont="1" applyFill="1" applyBorder="1" applyAlignment="1" applyProtection="1">
      <alignment horizontal="right"/>
    </xf>
    <xf numFmtId="0" fontId="92" fillId="64" borderId="57" xfId="0" applyFont="1" applyFill="1" applyBorder="1" applyAlignment="1" applyProtection="1">
      <alignment horizontal="right"/>
    </xf>
    <xf numFmtId="0" fontId="92" fillId="64" borderId="58" xfId="0" applyFont="1" applyFill="1" applyBorder="1" applyAlignment="1" applyProtection="1">
      <alignment horizontal="right"/>
    </xf>
    <xf numFmtId="0" fontId="95" fillId="0" borderId="121" xfId="8" applyFont="1" applyFill="1" applyBorder="1" applyProtection="1"/>
    <xf numFmtId="0" fontId="95" fillId="0" borderId="67" xfId="8" applyFont="1" applyFill="1" applyBorder="1" applyProtection="1"/>
    <xf numFmtId="0" fontId="95" fillId="0" borderId="127" xfId="8" applyFont="1" applyFill="1" applyBorder="1" applyProtection="1"/>
    <xf numFmtId="0" fontId="94" fillId="0" borderId="65" xfId="8" applyFont="1" applyBorder="1" applyProtection="1"/>
    <xf numFmtId="174" fontId="94" fillId="0" borderId="65" xfId="8" applyNumberFormat="1" applyFont="1" applyBorder="1" applyProtection="1"/>
    <xf numFmtId="174" fontId="94" fillId="0" borderId="65" xfId="6" applyNumberFormat="1" applyFont="1" applyBorder="1" applyProtection="1"/>
    <xf numFmtId="0" fontId="111" fillId="0" borderId="14" xfId="0" applyFont="1" applyBorder="1" applyProtection="1"/>
    <xf numFmtId="174" fontId="94" fillId="0" borderId="53" xfId="6" applyNumberFormat="1" applyFont="1" applyBorder="1" applyProtection="1"/>
    <xf numFmtId="175" fontId="95" fillId="0" borderId="66" xfId="6" applyNumberFormat="1" applyFont="1" applyFill="1" applyBorder="1" applyProtection="1"/>
    <xf numFmtId="0" fontId="129" fillId="0" borderId="0" xfId="0" applyFont="1" applyFill="1" applyAlignment="1">
      <alignment horizontal="left" vertical="center" indent="1"/>
    </xf>
    <xf numFmtId="190" fontId="101" fillId="4" borderId="55" xfId="11" applyNumberFormat="1" applyFont="1" applyBorder="1" applyAlignment="1" applyProtection="1">
      <alignment horizontal="center"/>
      <protection locked="0"/>
    </xf>
    <xf numFmtId="172" fontId="101" fillId="4" borderId="55" xfId="11" applyNumberFormat="1" applyFont="1" applyBorder="1" applyAlignment="1" applyProtection="1">
      <alignment horizontal="center" vertical="top"/>
      <protection locked="0"/>
    </xf>
    <xf numFmtId="174" fontId="101" fillId="4" borderId="55" xfId="11" applyNumberFormat="1" applyFont="1" applyBorder="1" applyAlignment="1" applyProtection="1">
      <alignment horizontal="center" vertical="top"/>
      <protection locked="0"/>
    </xf>
    <xf numFmtId="173" fontId="101" fillId="4" borderId="55" xfId="11" applyNumberFormat="1" applyFont="1" applyBorder="1" applyAlignment="1" applyProtection="1">
      <alignment horizontal="center" vertical="top"/>
      <protection locked="0"/>
    </xf>
    <xf numFmtId="210" fontId="101" fillId="4" borderId="55" xfId="11" applyNumberFormat="1" applyFont="1" applyBorder="1" applyAlignment="1" applyProtection="1">
      <alignment horizontal="center" vertical="top"/>
      <protection locked="0"/>
    </xf>
    <xf numFmtId="187" fontId="101" fillId="4" borderId="55" xfId="11" applyNumberFormat="1" applyFont="1" applyBorder="1" applyAlignment="1" applyProtection="1">
      <alignment horizontal="center" vertical="top"/>
      <protection locked="0"/>
    </xf>
    <xf numFmtId="172" fontId="96" fillId="0" borderId="127" xfId="0" applyNumberFormat="1" applyFont="1" applyFill="1" applyBorder="1" applyProtection="1">
      <protection locked="0"/>
    </xf>
    <xf numFmtId="172" fontId="96" fillId="0" borderId="102" xfId="0" applyNumberFormat="1" applyFont="1" applyFill="1" applyBorder="1" applyProtection="1">
      <protection locked="0"/>
    </xf>
    <xf numFmtId="172" fontId="96" fillId="2" borderId="121" xfId="0" applyNumberFormat="1" applyFont="1" applyFill="1" applyBorder="1" applyProtection="1">
      <protection locked="0"/>
    </xf>
    <xf numFmtId="172" fontId="96" fillId="2" borderId="103" xfId="0" applyNumberFormat="1" applyFont="1" applyFill="1" applyBorder="1" applyProtection="1">
      <protection locked="0"/>
    </xf>
    <xf numFmtId="172" fontId="90" fillId="0" borderId="127" xfId="0" applyNumberFormat="1" applyFont="1" applyFill="1" applyBorder="1" applyProtection="1">
      <protection locked="0"/>
    </xf>
    <xf numFmtId="172" fontId="90" fillId="0" borderId="102" xfId="0" applyNumberFormat="1" applyFont="1" applyFill="1" applyBorder="1" applyProtection="1">
      <protection locked="0"/>
    </xf>
    <xf numFmtId="174" fontId="96" fillId="2" borderId="121" xfId="0" applyNumberFormat="1" applyFont="1" applyFill="1" applyBorder="1" applyProtection="1">
      <protection locked="0"/>
    </xf>
    <xf numFmtId="196" fontId="96" fillId="2" borderId="75" xfId="0" applyNumberFormat="1" applyFont="1" applyFill="1" applyBorder="1" applyProtection="1">
      <protection locked="0"/>
    </xf>
    <xf numFmtId="172" fontId="91" fillId="0" borderId="75" xfId="0" applyNumberFormat="1" applyFont="1" applyFill="1" applyBorder="1" applyProtection="1"/>
    <xf numFmtId="0" fontId="114" fillId="0" borderId="0" xfId="0" applyFont="1" applyAlignment="1" applyProtection="1">
      <alignment horizontal="center" vertical="center"/>
    </xf>
    <xf numFmtId="172" fontId="91" fillId="2" borderId="103" xfId="0" applyNumberFormat="1" applyFont="1" applyFill="1" applyBorder="1" applyAlignment="1" applyProtection="1">
      <alignment horizontal="center" vertical="top"/>
    </xf>
    <xf numFmtId="0" fontId="92" fillId="64" borderId="59" xfId="0" applyFont="1" applyFill="1" applyBorder="1"/>
    <xf numFmtId="0" fontId="91" fillId="64" borderId="57" xfId="0" applyFont="1" applyFill="1" applyBorder="1"/>
    <xf numFmtId="0" fontId="91" fillId="64" borderId="58" xfId="0" applyFont="1" applyFill="1" applyBorder="1"/>
    <xf numFmtId="0" fontId="92" fillId="64" borderId="69" xfId="0" applyFont="1" applyFill="1" applyBorder="1" applyAlignment="1">
      <alignment horizontal="center"/>
    </xf>
    <xf numFmtId="0" fontId="92" fillId="64" borderId="65" xfId="0" applyFont="1" applyFill="1" applyBorder="1" applyAlignment="1">
      <alignment horizontal="center"/>
    </xf>
    <xf numFmtId="0" fontId="92" fillId="64" borderId="63" xfId="0" applyFont="1" applyFill="1" applyBorder="1" applyAlignment="1">
      <alignment horizontal="center"/>
    </xf>
    <xf numFmtId="0" fontId="104" fillId="64" borderId="60" xfId="0" applyFont="1" applyFill="1" applyBorder="1" applyAlignment="1" applyProtection="1">
      <alignment horizontal="center" vertical="top"/>
    </xf>
    <xf numFmtId="0" fontId="104" fillId="64" borderId="60" xfId="0" quotePrefix="1" applyFont="1" applyFill="1" applyBorder="1" applyAlignment="1" applyProtection="1">
      <alignment horizontal="center" vertical="top"/>
    </xf>
    <xf numFmtId="0" fontId="104" fillId="64" borderId="61" xfId="0" applyFont="1" applyFill="1" applyBorder="1" applyAlignment="1" applyProtection="1">
      <alignment horizontal="center" vertical="top"/>
    </xf>
    <xf numFmtId="0" fontId="104" fillId="64" borderId="62" xfId="0" applyFont="1" applyFill="1" applyBorder="1" applyAlignment="1" applyProtection="1">
      <alignment horizontal="center" vertical="top"/>
    </xf>
    <xf numFmtId="0" fontId="129" fillId="0" borderId="0" xfId="0" applyFont="1" applyBorder="1" applyAlignment="1" applyProtection="1">
      <alignment horizontal="center" vertical="center"/>
    </xf>
    <xf numFmtId="0" fontId="96" fillId="2" borderId="66" xfId="0" applyFont="1" applyFill="1" applyBorder="1" applyAlignment="1" applyProtection="1">
      <alignment horizontal="center" vertical="center"/>
      <protection locked="0"/>
    </xf>
    <xf numFmtId="172" fontId="96" fillId="2" borderId="68" xfId="0" applyNumberFormat="1" applyFont="1" applyFill="1" applyBorder="1" applyAlignment="1" applyProtection="1">
      <alignment horizontal="center" vertical="center"/>
      <protection locked="0"/>
    </xf>
    <xf numFmtId="172" fontId="96" fillId="2" borderId="71" xfId="0" applyNumberFormat="1" applyFont="1" applyFill="1" applyBorder="1" applyAlignment="1" applyProtection="1">
      <alignment horizontal="center" vertical="center"/>
      <protection locked="0"/>
    </xf>
    <xf numFmtId="172" fontId="96" fillId="2" borderId="72" xfId="0" applyNumberFormat="1" applyFont="1" applyFill="1" applyBorder="1" applyAlignment="1" applyProtection="1">
      <alignment horizontal="center" vertical="center"/>
      <protection locked="0"/>
    </xf>
    <xf numFmtId="0" fontId="92" fillId="0" borderId="5" xfId="0" applyFont="1" applyFill="1" applyBorder="1"/>
    <xf numFmtId="174" fontId="92" fillId="0" borderId="6" xfId="0" applyNumberFormat="1" applyFont="1" applyFill="1" applyBorder="1" applyAlignment="1">
      <alignment horizontal="right"/>
    </xf>
    <xf numFmtId="0" fontId="92" fillId="0" borderId="6" xfId="0" applyFont="1" applyFill="1" applyBorder="1"/>
    <xf numFmtId="174" fontId="92" fillId="0" borderId="6" xfId="0" applyNumberFormat="1" applyFont="1" applyFill="1" applyBorder="1" applyAlignment="1" applyProtection="1">
      <alignment horizontal="right"/>
    </xf>
    <xf numFmtId="0" fontId="106" fillId="0" borderId="0" xfId="0" applyFont="1" applyFill="1" applyBorder="1"/>
    <xf numFmtId="0" fontId="96" fillId="0" borderId="50" xfId="0" applyFont="1" applyFill="1" applyBorder="1" applyAlignment="1" applyProtection="1">
      <alignment vertical="center"/>
      <protection locked="0"/>
    </xf>
    <xf numFmtId="172" fontId="96" fillId="0" borderId="50" xfId="0" applyNumberFormat="1" applyFont="1" applyFill="1" applyBorder="1" applyProtection="1">
      <protection locked="0"/>
    </xf>
    <xf numFmtId="0" fontId="89" fillId="0" borderId="75" xfId="0" applyFont="1" applyBorder="1"/>
    <xf numFmtId="0" fontId="90" fillId="0" borderId="50" xfId="0" applyFont="1" applyBorder="1" applyAlignment="1" applyProtection="1">
      <alignment vertical="center"/>
      <protection locked="0"/>
    </xf>
    <xf numFmtId="174" fontId="96" fillId="2" borderId="128" xfId="0" applyNumberFormat="1" applyFont="1" applyFill="1" applyBorder="1" applyProtection="1">
      <protection locked="0"/>
    </xf>
    <xf numFmtId="172" fontId="96" fillId="2" borderId="74" xfId="0" applyNumberFormat="1" applyFont="1" applyFill="1" applyBorder="1" applyProtection="1">
      <protection locked="0"/>
    </xf>
    <xf numFmtId="172" fontId="96" fillId="0" borderId="74" xfId="0" applyNumberFormat="1" applyFont="1" applyFill="1" applyBorder="1" applyProtection="1">
      <protection locked="0"/>
    </xf>
    <xf numFmtId="172" fontId="96" fillId="0" borderId="129" xfId="0" applyNumberFormat="1" applyFont="1" applyFill="1" applyBorder="1" applyProtection="1">
      <protection locked="0"/>
    </xf>
    <xf numFmtId="172" fontId="96" fillId="2" borderId="128" xfId="0" applyNumberFormat="1" applyFont="1" applyFill="1" applyBorder="1" applyProtection="1">
      <protection locked="0"/>
    </xf>
    <xf numFmtId="172" fontId="96" fillId="2" borderId="130" xfId="0" applyNumberFormat="1" applyFont="1" applyFill="1" applyBorder="1" applyProtection="1">
      <protection locked="0"/>
    </xf>
    <xf numFmtId="0" fontId="91" fillId="2" borderId="47" xfId="0" quotePrefix="1" applyFont="1" applyFill="1" applyBorder="1" applyProtection="1">
      <protection locked="0"/>
    </xf>
    <xf numFmtId="0" fontId="92" fillId="0" borderId="57" xfId="0" applyFont="1" applyBorder="1" applyAlignment="1" applyProtection="1">
      <alignment horizontal="left" wrapText="1"/>
    </xf>
    <xf numFmtId="172" fontId="92" fillId="0" borderId="57" xfId="0" quotePrefix="1" applyNumberFormat="1" applyFont="1" applyBorder="1" applyAlignment="1" applyProtection="1">
      <alignment horizontal="right"/>
    </xf>
    <xf numFmtId="0" fontId="0" fillId="0" borderId="55" xfId="0" applyFill="1" applyBorder="1"/>
    <xf numFmtId="0" fontId="91" fillId="0" borderId="55" xfId="0" applyFont="1" applyFill="1" applyBorder="1"/>
    <xf numFmtId="0" fontId="96" fillId="2" borderId="50" xfId="0" applyFont="1" applyFill="1" applyBorder="1" applyAlignment="1" applyProtection="1">
      <alignment horizontal="center"/>
      <protection locked="0"/>
    </xf>
    <xf numFmtId="49" fontId="96" fillId="2" borderId="50" xfId="0" applyNumberFormat="1" applyFont="1" applyFill="1" applyBorder="1" applyAlignment="1" applyProtection="1">
      <alignment horizontal="center"/>
      <protection locked="0"/>
    </xf>
    <xf numFmtId="173" fontId="96" fillId="2" borderId="131" xfId="0" applyNumberFormat="1" applyFont="1" applyFill="1" applyBorder="1" applyAlignment="1" applyProtection="1">
      <alignment horizontal="center"/>
      <protection locked="0"/>
    </xf>
    <xf numFmtId="172" fontId="91" fillId="3" borderId="57" xfId="0" applyNumberFormat="1" applyFont="1" applyFill="1" applyBorder="1"/>
    <xf numFmtId="194" fontId="91" fillId="3" borderId="57" xfId="0" quotePrefix="1" applyNumberFormat="1" applyFont="1" applyFill="1" applyBorder="1" applyAlignment="1">
      <alignment horizontal="center"/>
    </xf>
    <xf numFmtId="0" fontId="129" fillId="0" borderId="123" xfId="0" applyFont="1" applyFill="1" applyBorder="1" applyAlignment="1">
      <alignment horizontal="left" indent="1"/>
    </xf>
    <xf numFmtId="0" fontId="91" fillId="2" borderId="47" xfId="0" applyFont="1" applyFill="1" applyBorder="1" applyAlignment="1" applyProtection="1">
      <alignment wrapText="1"/>
      <protection locked="0"/>
    </xf>
    <xf numFmtId="0" fontId="96" fillId="2" borderId="128" xfId="0" applyFont="1" applyFill="1" applyBorder="1" applyAlignment="1" applyProtection="1">
      <alignment horizontal="center" vertical="center"/>
      <protection locked="0"/>
    </xf>
    <xf numFmtId="0" fontId="96" fillId="2" borderId="103" xfId="0" applyFont="1" applyFill="1" applyBorder="1" applyAlignment="1" applyProtection="1">
      <alignment horizontal="center" vertical="center"/>
      <protection locked="0"/>
    </xf>
    <xf numFmtId="0" fontId="96" fillId="2" borderId="132" xfId="0" applyFont="1" applyFill="1" applyBorder="1" applyAlignment="1" applyProtection="1">
      <alignment horizontal="center" vertical="center"/>
      <protection locked="0"/>
    </xf>
    <xf numFmtId="0" fontId="96" fillId="2" borderId="74" xfId="0" applyFont="1" applyFill="1" applyBorder="1" applyAlignment="1" applyProtection="1">
      <alignment horizontal="center" vertical="center"/>
      <protection locked="0"/>
    </xf>
    <xf numFmtId="0" fontId="96" fillId="2" borderId="130" xfId="0" applyFont="1" applyFill="1" applyBorder="1" applyAlignment="1" applyProtection="1">
      <alignment horizontal="center" vertical="center"/>
      <protection locked="0"/>
    </xf>
    <xf numFmtId="0" fontId="96" fillId="2" borderId="112" xfId="0" applyFont="1" applyFill="1" applyBorder="1" applyAlignment="1" applyProtection="1">
      <alignment horizontal="center" vertical="center"/>
      <protection locked="0"/>
    </xf>
    <xf numFmtId="0" fontId="107" fillId="3" borderId="0" xfId="0" applyFont="1" applyFill="1" applyBorder="1" applyProtection="1"/>
    <xf numFmtId="0" fontId="91" fillId="0" borderId="0" xfId="0" applyFont="1" applyFill="1" applyBorder="1" applyAlignment="1" applyProtection="1">
      <alignment horizontal="right" vertical="top"/>
    </xf>
    <xf numFmtId="172" fontId="92" fillId="0" borderId="0" xfId="0" applyNumberFormat="1" applyFont="1" applyFill="1" applyBorder="1" applyAlignment="1" applyProtection="1">
      <alignment horizontal="right" vertical="top"/>
    </xf>
    <xf numFmtId="0" fontId="149" fillId="2" borderId="103" xfId="0" applyFont="1" applyFill="1" applyBorder="1" applyProtection="1">
      <protection locked="0"/>
    </xf>
    <xf numFmtId="0" fontId="92" fillId="3" borderId="1" xfId="0" applyFont="1" applyFill="1" applyBorder="1" applyProtection="1"/>
    <xf numFmtId="0" fontId="129" fillId="0" borderId="0" xfId="0" applyFont="1" applyFill="1" applyAlignment="1">
      <alignment horizontal="center" vertical="center"/>
    </xf>
    <xf numFmtId="174" fontId="96" fillId="4" borderId="55" xfId="11" applyNumberFormat="1" applyFont="1" applyBorder="1" applyAlignment="1" applyProtection="1">
      <alignment horizontal="right" vertical="center"/>
      <protection locked="0"/>
    </xf>
    <xf numFmtId="0" fontId="106" fillId="0" borderId="57" xfId="0" applyFont="1" applyBorder="1"/>
    <xf numFmtId="0" fontId="104" fillId="72" borderId="0" xfId="0" applyFont="1" applyFill="1"/>
    <xf numFmtId="174" fontId="104" fillId="72" borderId="0" xfId="0" applyNumberFormat="1" applyFont="1" applyFill="1" applyAlignment="1">
      <alignment horizontal="right"/>
    </xf>
    <xf numFmtId="0" fontId="104" fillId="72" borderId="0" xfId="0" applyFont="1" applyFill="1" applyBorder="1" applyAlignment="1" applyProtection="1">
      <alignment horizontal="right"/>
    </xf>
    <xf numFmtId="164" fontId="104" fillId="72" borderId="0" xfId="0" applyNumberFormat="1" applyFont="1" applyFill="1" applyBorder="1" applyAlignment="1" applyProtection="1">
      <alignment horizontal="right"/>
    </xf>
    <xf numFmtId="172" fontId="96" fillId="2" borderId="0" xfId="0" applyNumberFormat="1" applyFont="1" applyFill="1" applyBorder="1" applyAlignment="1" applyProtection="1">
      <alignment horizontal="right"/>
      <protection locked="0"/>
    </xf>
    <xf numFmtId="0" fontId="150" fillId="61" borderId="1" xfId="0" applyFont="1" applyFill="1" applyBorder="1" applyProtection="1"/>
    <xf numFmtId="0" fontId="151" fillId="61" borderId="1" xfId="0" applyFont="1" applyFill="1" applyBorder="1" applyProtection="1"/>
    <xf numFmtId="0" fontId="61" fillId="61" borderId="1" xfId="0" applyFont="1" applyFill="1" applyBorder="1" applyProtection="1"/>
    <xf numFmtId="195" fontId="61" fillId="61" borderId="1" xfId="0" applyNumberFormat="1" applyFont="1" applyFill="1" applyBorder="1" applyProtection="1"/>
    <xf numFmtId="0" fontId="150" fillId="60" borderId="1" xfId="0" applyFont="1" applyFill="1" applyBorder="1" applyProtection="1"/>
    <xf numFmtId="164" fontId="61" fillId="60" borderId="1" xfId="0" applyNumberFormat="1" applyFont="1" applyFill="1" applyBorder="1" applyAlignment="1" applyProtection="1">
      <alignment horizontal="center" vertical="top"/>
    </xf>
    <xf numFmtId="165" fontId="61" fillId="60" borderId="1" xfId="0" applyNumberFormat="1" applyFont="1" applyFill="1" applyBorder="1" applyProtection="1"/>
    <xf numFmtId="165" fontId="61" fillId="60" borderId="1" xfId="0" applyNumberFormat="1" applyFont="1" applyFill="1" applyBorder="1" applyAlignment="1" applyProtection="1">
      <alignment horizontal="right"/>
    </xf>
    <xf numFmtId="195" fontId="61" fillId="60" borderId="1" xfId="0" applyNumberFormat="1" applyFont="1" applyFill="1" applyBorder="1" applyAlignment="1" applyProtection="1">
      <alignment horizontal="right"/>
    </xf>
    <xf numFmtId="0" fontId="150" fillId="63" borderId="1" xfId="0" applyFont="1" applyFill="1" applyBorder="1" applyProtection="1"/>
    <xf numFmtId="164" fontId="61" fillId="63" borderId="1" xfId="0" applyNumberFormat="1" applyFont="1" applyFill="1" applyBorder="1" applyAlignment="1" applyProtection="1">
      <alignment horizontal="center" vertical="top"/>
    </xf>
    <xf numFmtId="164" fontId="61" fillId="63" borderId="1" xfId="0" quotePrefix="1" applyNumberFormat="1" applyFont="1" applyFill="1" applyBorder="1" applyAlignment="1" applyProtection="1">
      <alignment horizontal="center" vertical="top"/>
    </xf>
    <xf numFmtId="165" fontId="61" fillId="63" borderId="1" xfId="0" applyNumberFormat="1" applyFont="1" applyFill="1" applyBorder="1" applyAlignment="1" applyProtection="1">
      <alignment horizontal="right"/>
    </xf>
    <xf numFmtId="195" fontId="61" fillId="63" borderId="1" xfId="0" applyNumberFormat="1" applyFont="1" applyFill="1" applyBorder="1" applyAlignment="1" applyProtection="1">
      <alignment horizontal="right"/>
    </xf>
    <xf numFmtId="0" fontId="150" fillId="62" borderId="65" xfId="0" applyFont="1" applyFill="1" applyBorder="1" applyProtection="1"/>
    <xf numFmtId="0" fontId="151" fillId="62" borderId="65" xfId="0" applyFont="1" applyFill="1" applyBorder="1" applyProtection="1"/>
    <xf numFmtId="0" fontId="61" fillId="62" borderId="65" xfId="0" applyFont="1" applyFill="1" applyBorder="1" applyProtection="1"/>
    <xf numFmtId="195" fontId="61" fillId="62" borderId="65" xfId="0" applyNumberFormat="1" applyFont="1" applyFill="1" applyBorder="1" applyProtection="1"/>
    <xf numFmtId="164" fontId="151" fillId="63" borderId="65" xfId="0" applyNumberFormat="1" applyFont="1" applyFill="1" applyBorder="1" applyAlignment="1" applyProtection="1">
      <alignment horizontal="center" vertical="top"/>
    </xf>
    <xf numFmtId="0" fontId="110" fillId="60" borderId="0" xfId="0" applyFont="1" applyFill="1" applyProtection="1"/>
    <xf numFmtId="165" fontId="151" fillId="60" borderId="0" xfId="0" applyNumberFormat="1" applyFont="1" applyFill="1" applyProtection="1"/>
    <xf numFmtId="165" fontId="151" fillId="60" borderId="0" xfId="0" applyNumberFormat="1" applyFont="1" applyFill="1" applyAlignment="1" applyProtection="1">
      <alignment horizontal="right"/>
    </xf>
    <xf numFmtId="0" fontId="61" fillId="62" borderId="65" xfId="0" applyFont="1" applyFill="1" applyBorder="1" applyAlignment="1" applyProtection="1">
      <alignment horizontal="right"/>
    </xf>
    <xf numFmtId="195" fontId="61" fillId="62" borderId="65" xfId="0" applyNumberFormat="1" applyFont="1" applyFill="1" applyBorder="1" applyAlignment="1" applyProtection="1">
      <alignment horizontal="right"/>
    </xf>
    <xf numFmtId="0" fontId="110" fillId="63" borderId="0" xfId="0" applyFont="1" applyFill="1" applyProtection="1"/>
    <xf numFmtId="164" fontId="110" fillId="63" borderId="0" xfId="0" applyNumberFormat="1" applyFont="1" applyFill="1" applyAlignment="1" applyProtection="1">
      <alignment horizontal="center" vertical="top"/>
    </xf>
    <xf numFmtId="164" fontId="151" fillId="63" borderId="0" xfId="0" applyNumberFormat="1" applyFont="1" applyFill="1" applyAlignment="1" applyProtection="1">
      <alignment horizontal="center" vertical="top"/>
    </xf>
    <xf numFmtId="164" fontId="151" fillId="63" borderId="0" xfId="0" applyNumberFormat="1" applyFont="1" applyFill="1" applyAlignment="1" applyProtection="1">
      <alignment horizontal="right" vertical="top"/>
    </xf>
    <xf numFmtId="216" fontId="91" fillId="0" borderId="0" xfId="0" applyNumberFormat="1" applyFont="1"/>
    <xf numFmtId="172" fontId="91" fillId="2" borderId="0" xfId="0" applyNumberFormat="1" applyFont="1" applyFill="1" applyAlignment="1" applyProtection="1">
      <alignment horizontal="right" vertical="top"/>
    </xf>
    <xf numFmtId="0" fontId="92" fillId="66" borderId="5" xfId="0" applyFont="1" applyFill="1" applyBorder="1"/>
    <xf numFmtId="174" fontId="92" fillId="66" borderId="6" xfId="0" applyNumberFormat="1" applyFont="1" applyFill="1" applyBorder="1" applyAlignment="1">
      <alignment horizontal="right"/>
    </xf>
    <xf numFmtId="174" fontId="92" fillId="66" borderId="6" xfId="0" applyNumberFormat="1" applyFont="1" applyFill="1" applyBorder="1" applyAlignment="1" applyProtection="1">
      <alignment horizontal="right"/>
    </xf>
    <xf numFmtId="0" fontId="91" fillId="66" borderId="6" xfId="0" applyFont="1" applyFill="1" applyBorder="1"/>
    <xf numFmtId="0" fontId="92" fillId="66" borderId="53" xfId="0" applyFont="1" applyFill="1" applyBorder="1"/>
    <xf numFmtId="174" fontId="92" fillId="66" borderId="53" xfId="0" applyNumberFormat="1" applyFont="1" applyFill="1" applyBorder="1" applyAlignment="1">
      <alignment horizontal="right"/>
    </xf>
    <xf numFmtId="184" fontId="92" fillId="66" borderId="53" xfId="0" applyNumberFormat="1" applyFont="1" applyFill="1" applyBorder="1" applyAlignment="1" applyProtection="1">
      <alignment horizontal="right"/>
    </xf>
    <xf numFmtId="0" fontId="105" fillId="2" borderId="47" xfId="0" applyFont="1" applyFill="1" applyBorder="1" applyProtection="1">
      <protection locked="0"/>
    </xf>
    <xf numFmtId="0" fontId="92" fillId="0" borderId="0" xfId="0" applyFont="1" applyFill="1" applyBorder="1" applyAlignment="1">
      <alignment horizontal="right"/>
    </xf>
    <xf numFmtId="183" fontId="92" fillId="0" borderId="0" xfId="4" applyNumberFormat="1" applyFont="1" applyFill="1" applyBorder="1" applyAlignment="1" applyProtection="1">
      <alignment horizontal="center"/>
      <protection locked="0"/>
    </xf>
    <xf numFmtId="183" fontId="92" fillId="0" borderId="57" xfId="4" applyNumberFormat="1" applyFont="1" applyFill="1" applyBorder="1" applyAlignment="1" applyProtection="1">
      <alignment horizontal="center"/>
      <protection locked="0"/>
    </xf>
    <xf numFmtId="172" fontId="91" fillId="66" borderId="57" xfId="0" applyNumberFormat="1" applyFont="1" applyFill="1" applyBorder="1" applyAlignment="1">
      <alignment horizontal="center"/>
    </xf>
    <xf numFmtId="0" fontId="92" fillId="66" borderId="57" xfId="0" applyFont="1" applyFill="1" applyBorder="1"/>
    <xf numFmtId="174" fontId="92" fillId="66" borderId="57" xfId="0" applyNumberFormat="1" applyFont="1" applyFill="1" applyBorder="1" applyAlignment="1">
      <alignment horizontal="right"/>
    </xf>
    <xf numFmtId="172" fontId="92" fillId="66" borderId="57" xfId="0" applyNumberFormat="1" applyFont="1" applyFill="1" applyBorder="1" applyAlignment="1">
      <alignment horizontal="center"/>
    </xf>
    <xf numFmtId="172" fontId="92" fillId="66" borderId="57" xfId="0" applyNumberFormat="1" applyFont="1" applyFill="1" applyBorder="1" applyAlignment="1" applyProtection="1">
      <alignment horizontal="right"/>
    </xf>
    <xf numFmtId="172" fontId="92" fillId="66" borderId="57" xfId="0" applyNumberFormat="1" applyFont="1" applyFill="1" applyBorder="1" applyAlignment="1">
      <alignment horizontal="left"/>
    </xf>
    <xf numFmtId="0" fontId="92" fillId="66" borderId="0" xfId="0" applyFont="1" applyFill="1"/>
    <xf numFmtId="172" fontId="91" fillId="66" borderId="0" xfId="0" applyNumberFormat="1" applyFont="1" applyFill="1" applyBorder="1" applyAlignment="1">
      <alignment horizontal="right"/>
    </xf>
    <xf numFmtId="172" fontId="91" fillId="66" borderId="0" xfId="0" applyNumberFormat="1" applyFont="1" applyFill="1" applyBorder="1" applyAlignment="1">
      <alignment horizontal="center"/>
    </xf>
    <xf numFmtId="175" fontId="96" fillId="70" borderId="55" xfId="11" applyNumberFormat="1" applyFont="1" applyFill="1" applyBorder="1" applyAlignment="1" applyProtection="1">
      <alignment horizontal="right"/>
      <protection locked="0"/>
    </xf>
    <xf numFmtId="174" fontId="101" fillId="2" borderId="103" xfId="0" applyNumberFormat="1" applyFont="1" applyFill="1" applyBorder="1" applyAlignment="1" applyProtection="1">
      <alignment horizontal="right" wrapText="1"/>
      <protection locked="0"/>
    </xf>
    <xf numFmtId="0" fontId="104" fillId="66" borderId="0" xfId="0" applyFont="1" applyFill="1"/>
    <xf numFmtId="174" fontId="104" fillId="66" borderId="0" xfId="0" applyNumberFormat="1" applyFont="1" applyFill="1" applyAlignment="1">
      <alignment horizontal="right"/>
    </xf>
    <xf numFmtId="0" fontId="104" fillId="66" borderId="0" xfId="0" applyFont="1" applyFill="1" applyBorder="1" applyAlignment="1" applyProtection="1">
      <alignment horizontal="right"/>
    </xf>
    <xf numFmtId="164" fontId="104" fillId="66" borderId="0" xfId="0" applyNumberFormat="1" applyFont="1" applyFill="1" applyBorder="1" applyAlignment="1" applyProtection="1">
      <alignment horizontal="right"/>
    </xf>
    <xf numFmtId="172" fontId="92" fillId="66" borderId="6" xfId="0" applyNumberFormat="1" applyFont="1" applyFill="1" applyBorder="1" applyAlignment="1">
      <alignment horizontal="center"/>
    </xf>
    <xf numFmtId="172" fontId="96" fillId="2" borderId="102" xfId="0" applyNumberFormat="1" applyFont="1" applyFill="1" applyBorder="1" applyAlignment="1" applyProtection="1">
      <alignment horizontal="right"/>
      <protection locked="0"/>
    </xf>
    <xf numFmtId="0" fontId="104" fillId="66" borderId="57" xfId="0" applyFont="1" applyFill="1" applyBorder="1"/>
    <xf numFmtId="174" fontId="104" fillId="66" borderId="57" xfId="0" applyNumberFormat="1" applyFont="1" applyFill="1" applyBorder="1" applyAlignment="1">
      <alignment horizontal="right"/>
    </xf>
    <xf numFmtId="174" fontId="104" fillId="66" borderId="57" xfId="0" applyNumberFormat="1" applyFont="1" applyFill="1" applyBorder="1" applyAlignment="1" applyProtection="1">
      <alignment horizontal="right"/>
    </xf>
    <xf numFmtId="174" fontId="91" fillId="0" borderId="0" xfId="0" quotePrefix="1" applyNumberFormat="1" applyFont="1" applyFill="1" applyBorder="1" applyAlignment="1" applyProtection="1">
      <alignment horizontal="right"/>
    </xf>
    <xf numFmtId="174" fontId="104" fillId="66" borderId="0" xfId="0" applyNumberFormat="1" applyFont="1" applyFill="1" applyBorder="1" applyAlignment="1" applyProtection="1">
      <alignment horizontal="right"/>
    </xf>
    <xf numFmtId="172" fontId="91" fillId="0" borderId="15" xfId="0" applyNumberFormat="1" applyFont="1" applyBorder="1" applyAlignment="1" applyProtection="1">
      <alignment horizontal="right"/>
    </xf>
    <xf numFmtId="0" fontId="92" fillId="66" borderId="6" xfId="0" applyFont="1" applyFill="1" applyBorder="1"/>
    <xf numFmtId="190" fontId="91" fillId="0" borderId="0" xfId="0" applyNumberFormat="1" applyFont="1" applyAlignment="1" applyProtection="1">
      <alignment horizontal="center" vertical="top"/>
    </xf>
    <xf numFmtId="0" fontId="129" fillId="0" borderId="133" xfId="0" applyFont="1" applyFill="1" applyBorder="1" applyAlignment="1">
      <alignment horizontal="left" indent="1"/>
    </xf>
    <xf numFmtId="0" fontId="0" fillId="63" borderId="0" xfId="0" applyFill="1"/>
    <xf numFmtId="164" fontId="96" fillId="4" borderId="55" xfId="11" applyNumberFormat="1" applyFont="1" applyBorder="1" applyAlignment="1" applyProtection="1">
      <alignment horizontal="center" vertical="top"/>
      <protection locked="0"/>
    </xf>
    <xf numFmtId="164" fontId="96" fillId="2" borderId="55" xfId="11" applyNumberFormat="1" applyFont="1" applyFill="1" applyBorder="1" applyAlignment="1" applyProtection="1">
      <alignment horizontal="center" vertical="top"/>
      <protection locked="0"/>
    </xf>
    <xf numFmtId="165" fontId="91" fillId="4" borderId="102" xfId="11" applyNumberFormat="1" applyFont="1" applyBorder="1" applyAlignment="1" applyProtection="1">
      <alignment horizontal="center" vertical="top"/>
      <protection locked="0"/>
    </xf>
    <xf numFmtId="0" fontId="92" fillId="0" borderId="57" xfId="0" applyFont="1" applyBorder="1" applyProtection="1"/>
    <xf numFmtId="172" fontId="91" fillId="0" borderId="57" xfId="0" applyNumberFormat="1" applyFont="1" applyFill="1" applyBorder="1"/>
    <xf numFmtId="190" fontId="96" fillId="4" borderId="66" xfId="11" applyNumberFormat="1" applyFont="1" applyBorder="1" applyAlignment="1" applyProtection="1">
      <alignment horizontal="center" vertical="top"/>
      <protection locked="0"/>
    </xf>
    <xf numFmtId="0" fontId="91" fillId="3" borderId="1" xfId="0" applyFont="1" applyFill="1" applyBorder="1" applyAlignment="1">
      <alignment vertical="center" wrapText="1"/>
    </xf>
    <xf numFmtId="165" fontId="91" fillId="5" borderId="112" xfId="11" applyNumberFormat="1" applyFont="1" applyFill="1" applyBorder="1" applyAlignment="1">
      <alignment horizontal="center" vertical="center"/>
    </xf>
    <xf numFmtId="0" fontId="91" fillId="3" borderId="1" xfId="0" applyFont="1" applyFill="1" applyBorder="1" applyAlignment="1">
      <alignment vertical="center"/>
    </xf>
    <xf numFmtId="0" fontId="91" fillId="3" borderId="1" xfId="0" applyFont="1" applyFill="1" applyBorder="1" applyAlignment="1">
      <alignment horizontal="center" vertical="top"/>
    </xf>
    <xf numFmtId="0" fontId="135" fillId="2" borderId="0" xfId="0" applyFont="1" applyFill="1" applyProtection="1"/>
    <xf numFmtId="0" fontId="11" fillId="2" borderId="0" xfId="0" applyFont="1" applyFill="1" applyProtection="1"/>
    <xf numFmtId="0" fontId="135" fillId="0" borderId="0" xfId="0" applyFont="1"/>
    <xf numFmtId="0" fontId="11" fillId="0" borderId="1" xfId="0" applyFont="1" applyBorder="1" applyProtection="1"/>
    <xf numFmtId="0" fontId="0" fillId="0" borderId="1" xfId="0" applyBorder="1" applyProtection="1"/>
    <xf numFmtId="0" fontId="135" fillId="0" borderId="1" xfId="0" applyFont="1" applyBorder="1"/>
    <xf numFmtId="0" fontId="83" fillId="0" borderId="1" xfId="0" applyFont="1" applyBorder="1"/>
    <xf numFmtId="0" fontId="135" fillId="0" borderId="1" xfId="0" applyFont="1" applyBorder="1" applyProtection="1"/>
    <xf numFmtId="0" fontId="11" fillId="0" borderId="1" xfId="0" applyFont="1" applyBorder="1" applyAlignment="1" applyProtection="1">
      <alignment horizontal="right"/>
    </xf>
    <xf numFmtId="0" fontId="11" fillId="0" borderId="1" xfId="0" applyFont="1" applyBorder="1"/>
    <xf numFmtId="174" fontId="83" fillId="0" borderId="0" xfId="0" applyNumberFormat="1" applyFont="1" applyAlignment="1">
      <alignment horizontal="right"/>
    </xf>
    <xf numFmtId="0" fontId="135" fillId="63" borderId="0" xfId="0" applyFont="1" applyFill="1" applyProtection="1"/>
    <xf numFmtId="0" fontId="83" fillId="63" borderId="0" xfId="0" applyFont="1" applyFill="1" applyProtection="1"/>
    <xf numFmtId="0" fontId="83" fillId="63" borderId="0" xfId="0" applyFont="1" applyFill="1"/>
    <xf numFmtId="0" fontId="0" fillId="63" borderId="0" xfId="0" applyFill="1" applyProtection="1"/>
    <xf numFmtId="0" fontId="135" fillId="64" borderId="0" xfId="0" applyFont="1" applyFill="1" applyProtection="1"/>
    <xf numFmtId="0" fontId="83" fillId="64" borderId="0" xfId="0" applyFont="1" applyFill="1" applyProtection="1"/>
    <xf numFmtId="0" fontId="83" fillId="64" borderId="0" xfId="0" applyFont="1" applyFill="1"/>
    <xf numFmtId="0" fontId="0" fillId="64" borderId="0" xfId="0" applyFill="1" applyProtection="1"/>
    <xf numFmtId="0" fontId="135" fillId="66" borderId="1" xfId="0" applyFont="1" applyFill="1" applyBorder="1" applyProtection="1"/>
    <xf numFmtId="0" fontId="83" fillId="66" borderId="1" xfId="0" applyFont="1" applyFill="1" applyBorder="1" applyProtection="1"/>
    <xf numFmtId="0" fontId="83" fillId="66" borderId="1" xfId="0" applyFont="1" applyFill="1" applyBorder="1"/>
    <xf numFmtId="0" fontId="0" fillId="66" borderId="1" xfId="0" applyFill="1" applyBorder="1" applyProtection="1"/>
    <xf numFmtId="0" fontId="135" fillId="62" borderId="1" xfId="0" applyFont="1" applyFill="1" applyBorder="1" applyProtection="1"/>
    <xf numFmtId="0" fontId="83" fillId="62" borderId="1" xfId="0" applyFont="1" applyFill="1" applyBorder="1" applyProtection="1"/>
    <xf numFmtId="0" fontId="83" fillId="62" borderId="1" xfId="0" applyFont="1" applyFill="1" applyBorder="1"/>
    <xf numFmtId="0" fontId="0" fillId="62" borderId="1" xfId="0" applyFill="1" applyBorder="1" applyProtection="1"/>
    <xf numFmtId="0" fontId="112" fillId="70" borderId="1" xfId="0" applyFont="1" applyFill="1" applyBorder="1" applyProtection="1"/>
    <xf numFmtId="43" fontId="112" fillId="70" borderId="1" xfId="4" applyFont="1" applyFill="1" applyBorder="1" applyAlignment="1" applyProtection="1">
      <alignment horizontal="center"/>
    </xf>
    <xf numFmtId="43" fontId="112" fillId="70" borderId="1" xfId="4" applyFont="1" applyFill="1" applyBorder="1" applyAlignment="1" applyProtection="1">
      <alignment horizontal="center" wrapText="1"/>
    </xf>
    <xf numFmtId="9" fontId="112" fillId="70" borderId="1" xfId="4" applyNumberFormat="1" applyFont="1" applyFill="1" applyBorder="1" applyAlignment="1" applyProtection="1">
      <alignment horizontal="center" wrapText="1"/>
    </xf>
    <xf numFmtId="175" fontId="138" fillId="70" borderId="1" xfId="4" applyNumberFormat="1" applyFont="1" applyFill="1" applyBorder="1" applyAlignment="1" applyProtection="1">
      <alignment horizontal="center" wrapText="1"/>
      <protection locked="0"/>
    </xf>
    <xf numFmtId="0" fontId="64" fillId="70" borderId="1" xfId="8" applyFont="1" applyFill="1" applyBorder="1" applyAlignment="1" applyProtection="1">
      <alignment horizontal="center" wrapText="1"/>
    </xf>
    <xf numFmtId="0" fontId="112" fillId="70" borderId="1" xfId="0" applyFont="1" applyFill="1" applyBorder="1" applyAlignment="1" applyProtection="1">
      <alignment horizontal="right" wrapText="1"/>
    </xf>
    <xf numFmtId="0" fontId="112" fillId="70" borderId="1" xfId="0" applyFont="1" applyFill="1" applyBorder="1" applyAlignment="1">
      <alignment horizontal="center"/>
    </xf>
    <xf numFmtId="0" fontId="138" fillId="70" borderId="1" xfId="0" applyFont="1" applyFill="1" applyBorder="1" applyAlignment="1" applyProtection="1">
      <alignment horizontal="center"/>
    </xf>
    <xf numFmtId="5" fontId="120" fillId="70" borderId="1" xfId="8" applyNumberFormat="1" applyFont="1" applyFill="1" applyBorder="1" applyAlignment="1" applyProtection="1">
      <alignment horizontal="center" wrapText="1"/>
    </xf>
    <xf numFmtId="5" fontId="64" fillId="70" borderId="1" xfId="8" applyNumberFormat="1" applyFont="1" applyFill="1" applyBorder="1" applyAlignment="1" applyProtection="1">
      <alignment horizontal="center" wrapText="1"/>
    </xf>
    <xf numFmtId="0" fontId="107" fillId="70" borderId="0" xfId="8" applyFont="1" applyFill="1" applyAlignment="1" applyProtection="1">
      <alignment horizontal="left"/>
    </xf>
    <xf numFmtId="166" fontId="107" fillId="70" borderId="0" xfId="6" applyNumberFormat="1" applyFont="1" applyFill="1" applyAlignment="1" applyProtection="1">
      <alignment horizontal="center"/>
    </xf>
    <xf numFmtId="166" fontId="107" fillId="70" borderId="0" xfId="6" applyNumberFormat="1" applyFont="1" applyFill="1" applyBorder="1" applyProtection="1"/>
    <xf numFmtId="3" fontId="118" fillId="70" borderId="54" xfId="11" applyNumberFormat="1" applyFont="1" applyFill="1" applyBorder="1" applyAlignment="1" applyProtection="1">
      <alignment horizontal="center"/>
      <protection locked="0"/>
    </xf>
    <xf numFmtId="172" fontId="83" fillId="70" borderId="0" xfId="0" applyNumberFormat="1" applyFont="1" applyFill="1" applyAlignment="1" applyProtection="1">
      <alignment horizontal="right"/>
    </xf>
    <xf numFmtId="174" fontId="83" fillId="70" borderId="0" xfId="0" applyNumberFormat="1" applyFont="1" applyFill="1"/>
    <xf numFmtId="174" fontId="83" fillId="70" borderId="0" xfId="0" applyNumberFormat="1" applyFont="1" applyFill="1" applyProtection="1"/>
    <xf numFmtId="175" fontId="83" fillId="70" borderId="0" xfId="0" applyNumberFormat="1" applyFont="1" applyFill="1" applyProtection="1"/>
    <xf numFmtId="174" fontId="107" fillId="70" borderId="0" xfId="8" applyNumberFormat="1" applyFont="1" applyFill="1" applyBorder="1" applyProtection="1"/>
    <xf numFmtId="172" fontId="107" fillId="70" borderId="0" xfId="6" applyNumberFormat="1" applyFont="1" applyFill="1" applyAlignment="1" applyProtection="1">
      <alignment horizontal="right"/>
    </xf>
    <xf numFmtId="172" fontId="107" fillId="70" borderId="0" xfId="6" applyNumberFormat="1" applyFont="1" applyFill="1" applyBorder="1" applyAlignment="1" applyProtection="1">
      <alignment horizontal="right"/>
    </xf>
    <xf numFmtId="172" fontId="118" fillId="70" borderId="3" xfId="11" applyNumberFormat="1" applyFont="1" applyFill="1" applyAlignment="1" applyProtection="1">
      <alignment horizontal="center"/>
      <protection locked="0"/>
    </xf>
    <xf numFmtId="172" fontId="83" fillId="70" borderId="0" xfId="0" applyNumberFormat="1" applyFont="1" applyFill="1"/>
    <xf numFmtId="172" fontId="83" fillId="70" borderId="0" xfId="0" applyNumberFormat="1" applyFont="1" applyFill="1" applyProtection="1"/>
    <xf numFmtId="172" fontId="107" fillId="70" borderId="0" xfId="8" applyNumberFormat="1" applyFont="1" applyFill="1" applyBorder="1" applyProtection="1"/>
    <xf numFmtId="0" fontId="104" fillId="70" borderId="0" xfId="8" applyFont="1" applyFill="1" applyAlignment="1" applyProtection="1">
      <alignment horizontal="left"/>
    </xf>
    <xf numFmtId="172" fontId="104" fillId="70" borderId="0" xfId="6" applyNumberFormat="1" applyFont="1" applyFill="1" applyAlignment="1" applyProtection="1">
      <alignment horizontal="right"/>
    </xf>
    <xf numFmtId="172" fontId="104" fillId="70" borderId="0" xfId="6" applyNumberFormat="1" applyFont="1" applyFill="1" applyBorder="1" applyAlignment="1" applyProtection="1">
      <alignment horizontal="right"/>
    </xf>
    <xf numFmtId="172" fontId="134" fillId="70" borderId="3" xfId="11" applyNumberFormat="1" applyFont="1" applyFill="1" applyAlignment="1" applyProtection="1">
      <alignment horizontal="center"/>
      <protection locked="0"/>
    </xf>
    <xf numFmtId="175" fontId="135" fillId="70" borderId="0" xfId="0" applyNumberFormat="1" applyFont="1" applyFill="1" applyProtection="1"/>
    <xf numFmtId="172" fontId="104" fillId="70" borderId="0" xfId="8" applyNumberFormat="1" applyFont="1" applyFill="1" applyBorder="1" applyProtection="1"/>
    <xf numFmtId="172" fontId="118" fillId="70" borderId="39" xfId="11" applyNumberFormat="1" applyFont="1" applyFill="1" applyBorder="1" applyAlignment="1" applyProtection="1">
      <alignment horizontal="center"/>
      <protection locked="0"/>
    </xf>
    <xf numFmtId="175" fontId="83" fillId="70" borderId="1" xfId="0" applyNumberFormat="1" applyFont="1" applyFill="1" applyBorder="1" applyProtection="1"/>
    <xf numFmtId="0" fontId="83" fillId="70" borderId="0" xfId="0" applyFont="1" applyFill="1" applyProtection="1"/>
    <xf numFmtId="0" fontId="83" fillId="70" borderId="0" xfId="0" applyFont="1" applyFill="1"/>
    <xf numFmtId="172" fontId="83" fillId="70" borderId="0" xfId="0" applyNumberFormat="1" applyFont="1" applyFill="1" applyAlignment="1">
      <alignment horizontal="right"/>
    </xf>
    <xf numFmtId="174" fontId="0" fillId="63" borderId="0" xfId="0" applyNumberFormat="1" applyFill="1" applyProtection="1"/>
    <xf numFmtId="172" fontId="0" fillId="63" borderId="0" xfId="0" applyNumberFormat="1" applyFill="1" applyProtection="1"/>
    <xf numFmtId="174" fontId="83" fillId="63" borderId="0" xfId="0" applyNumberFormat="1" applyFont="1" applyFill="1" applyAlignment="1">
      <alignment horizontal="right"/>
    </xf>
    <xf numFmtId="0" fontId="0" fillId="63" borderId="0" xfId="0" applyFill="1" applyAlignment="1" applyProtection="1">
      <alignment horizontal="right"/>
    </xf>
    <xf numFmtId="0" fontId="135" fillId="70" borderId="0" xfId="0" applyFont="1" applyFill="1" applyProtection="1"/>
    <xf numFmtId="0" fontId="0" fillId="70" borderId="0" xfId="0" applyFill="1" applyProtection="1"/>
    <xf numFmtId="0" fontId="11" fillId="0" borderId="1" xfId="0" applyFont="1" applyBorder="1" applyAlignment="1">
      <alignment horizontal="right"/>
    </xf>
    <xf numFmtId="0" fontId="0" fillId="2" borderId="0" xfId="0" applyFill="1"/>
    <xf numFmtId="0" fontId="83" fillId="63" borderId="47" xfId="0" applyFont="1" applyFill="1" applyBorder="1" applyProtection="1"/>
    <xf numFmtId="172" fontId="0" fillId="63" borderId="47" xfId="0" applyNumberFormat="1" applyFill="1" applyBorder="1" applyProtection="1"/>
    <xf numFmtId="174" fontId="83" fillId="0" borderId="47" xfId="0" applyNumberFormat="1" applyFont="1" applyFill="1" applyBorder="1" applyAlignment="1">
      <alignment horizontal="right"/>
    </xf>
    <xf numFmtId="0" fontId="135" fillId="0" borderId="47" xfId="0" applyFont="1" applyFill="1" applyBorder="1"/>
    <xf numFmtId="0" fontId="83" fillId="66" borderId="0" xfId="0" applyFont="1" applyFill="1" applyBorder="1" applyProtection="1"/>
    <xf numFmtId="0" fontId="0" fillId="66" borderId="0" xfId="0" applyFill="1"/>
    <xf numFmtId="0" fontId="11" fillId="0" borderId="0" xfId="0" applyFont="1" applyBorder="1" applyAlignment="1">
      <alignment horizontal="right"/>
    </xf>
    <xf numFmtId="172" fontId="107" fillId="2" borderId="55" xfId="8" applyNumberFormat="1" applyFont="1" applyFill="1" applyBorder="1" applyAlignment="1" applyProtection="1">
      <alignment horizontal="right"/>
    </xf>
    <xf numFmtId="172" fontId="107" fillId="0" borderId="55" xfId="8" applyNumberFormat="1" applyFont="1" applyFill="1" applyBorder="1" applyAlignment="1" applyProtection="1">
      <alignment horizontal="right"/>
    </xf>
    <xf numFmtId="0" fontId="0" fillId="0" borderId="65" xfId="0" applyBorder="1"/>
    <xf numFmtId="172" fontId="0" fillId="0" borderId="57" xfId="0" applyNumberFormat="1" applyBorder="1"/>
    <xf numFmtId="0" fontId="148" fillId="68" borderId="0" xfId="0" applyFont="1" applyFill="1"/>
    <xf numFmtId="172" fontId="148" fillId="2" borderId="103" xfId="0" applyNumberFormat="1" applyFont="1" applyFill="1" applyBorder="1"/>
    <xf numFmtId="172" fontId="148" fillId="0" borderId="0" xfId="0" applyNumberFormat="1" applyFont="1"/>
    <xf numFmtId="172" fontId="148" fillId="2" borderId="55" xfId="0" applyNumberFormat="1" applyFont="1" applyFill="1" applyBorder="1"/>
    <xf numFmtId="172" fontId="148" fillId="2" borderId="102" xfId="0" applyNumberFormat="1" applyFont="1" applyFill="1" applyBorder="1"/>
    <xf numFmtId="172" fontId="148" fillId="68" borderId="57" xfId="0" applyNumberFormat="1" applyFont="1" applyFill="1" applyBorder="1"/>
    <xf numFmtId="172" fontId="148" fillId="0" borderId="57" xfId="0" applyNumberFormat="1" applyFont="1" applyBorder="1"/>
    <xf numFmtId="172" fontId="107" fillId="2" borderId="102" xfId="8" applyNumberFormat="1" applyFont="1" applyFill="1" applyBorder="1" applyAlignment="1" applyProtection="1">
      <alignment horizontal="right"/>
    </xf>
    <xf numFmtId="172" fontId="107" fillId="0" borderId="102" xfId="8" applyNumberFormat="1" applyFont="1" applyFill="1" applyBorder="1" applyAlignment="1" applyProtection="1">
      <alignment horizontal="right"/>
    </xf>
    <xf numFmtId="0" fontId="11" fillId="0" borderId="57" xfId="0" applyFont="1" applyBorder="1"/>
    <xf numFmtId="0" fontId="11" fillId="0" borderId="65" xfId="0" applyFont="1" applyBorder="1" applyAlignment="1">
      <alignment horizontal="right"/>
    </xf>
    <xf numFmtId="172" fontId="148" fillId="68" borderId="103" xfId="0" applyNumberFormat="1" applyFont="1" applyFill="1" applyBorder="1"/>
    <xf numFmtId="172" fontId="148" fillId="68" borderId="55" xfId="0" applyNumberFormat="1" applyFont="1" applyFill="1" applyBorder="1"/>
    <xf numFmtId="172" fontId="148" fillId="68" borderId="102" xfId="0" applyNumberFormat="1" applyFont="1" applyFill="1" applyBorder="1"/>
    <xf numFmtId="172" fontId="107" fillId="0" borderId="57" xfId="8" applyNumberFormat="1" applyFont="1" applyFill="1" applyBorder="1" applyAlignment="1" applyProtection="1">
      <alignment horizontal="right"/>
    </xf>
    <xf numFmtId="0" fontId="148" fillId="0" borderId="103" xfId="0" applyFont="1" applyFill="1" applyBorder="1" applyAlignment="1">
      <alignment horizontal="right"/>
    </xf>
    <xf numFmtId="43" fontId="107" fillId="0" borderId="1" xfId="4" applyFont="1" applyBorder="1" applyProtection="1"/>
    <xf numFmtId="0" fontId="83" fillId="63" borderId="102" xfId="0" applyFont="1" applyFill="1" applyBorder="1" applyProtection="1"/>
    <xf numFmtId="0" fontId="135" fillId="0" borderId="1" xfId="0" applyFont="1" applyFill="1" applyBorder="1" applyProtection="1"/>
    <xf numFmtId="0" fontId="0" fillId="0" borderId="1" xfId="0" applyFill="1" applyBorder="1"/>
    <xf numFmtId="0" fontId="83" fillId="63" borderId="66" xfId="0" applyFont="1" applyFill="1" applyBorder="1" applyProtection="1"/>
    <xf numFmtId="0" fontId="0" fillId="0" borderId="57" xfId="0" applyBorder="1"/>
    <xf numFmtId="0" fontId="11" fillId="66" borderId="1" xfId="0" applyFont="1" applyFill="1" applyBorder="1"/>
    <xf numFmtId="0" fontId="0" fillId="66" borderId="1" xfId="0" applyFill="1" applyBorder="1"/>
    <xf numFmtId="43" fontId="107" fillId="66" borderId="1" xfId="4" applyFont="1" applyFill="1" applyBorder="1" applyProtection="1"/>
    <xf numFmtId="0" fontId="0" fillId="0" borderId="0" xfId="0" applyBorder="1"/>
    <xf numFmtId="172" fontId="0" fillId="0" borderId="0" xfId="0" applyNumberFormat="1" applyBorder="1"/>
    <xf numFmtId="0" fontId="0" fillId="64" borderId="0" xfId="0" applyFill="1"/>
    <xf numFmtId="0" fontId="11" fillId="62" borderId="1" xfId="0" applyFont="1" applyFill="1" applyBorder="1"/>
    <xf numFmtId="172" fontId="0" fillId="62" borderId="1" xfId="0" applyNumberFormat="1" applyFill="1" applyBorder="1"/>
    <xf numFmtId="0" fontId="0" fillId="62" borderId="1" xfId="0" applyFill="1" applyBorder="1"/>
    <xf numFmtId="43" fontId="107" fillId="62" borderId="1" xfId="4" applyFont="1" applyFill="1" applyBorder="1" applyProtection="1"/>
    <xf numFmtId="0" fontId="11" fillId="73" borderId="1" xfId="0" applyFont="1" applyFill="1" applyBorder="1"/>
    <xf numFmtId="0" fontId="0" fillId="73" borderId="1" xfId="0" applyFill="1" applyBorder="1"/>
    <xf numFmtId="172" fontId="148" fillId="0" borderId="103" xfId="0" applyNumberFormat="1" applyFont="1" applyFill="1" applyBorder="1"/>
    <xf numFmtId="172" fontId="148" fillId="0" borderId="55" xfId="0" applyNumberFormat="1" applyFont="1" applyFill="1" applyBorder="1"/>
    <xf numFmtId="172" fontId="148" fillId="0" borderId="102" xfId="0" applyNumberFormat="1" applyFont="1" applyFill="1" applyBorder="1"/>
    <xf numFmtId="172" fontId="148" fillId="0" borderId="103" xfId="0" applyNumberFormat="1" applyFont="1" applyFill="1" applyBorder="1" applyAlignment="1">
      <alignment horizontal="right"/>
    </xf>
    <xf numFmtId="174" fontId="148" fillId="0" borderId="103" xfId="0" applyNumberFormat="1" applyFont="1" applyFill="1" applyBorder="1" applyAlignment="1">
      <alignment horizontal="right"/>
    </xf>
    <xf numFmtId="174" fontId="107" fillId="0" borderId="57" xfId="8" applyNumberFormat="1" applyFont="1" applyFill="1" applyBorder="1" applyAlignment="1" applyProtection="1">
      <alignment horizontal="right"/>
    </xf>
    <xf numFmtId="174" fontId="107" fillId="0" borderId="55" xfId="8" applyNumberFormat="1" applyFont="1" applyFill="1" applyBorder="1" applyAlignment="1" applyProtection="1">
      <alignment horizontal="right"/>
    </xf>
    <xf numFmtId="174" fontId="104" fillId="0" borderId="57" xfId="8" applyNumberFormat="1" applyFont="1" applyFill="1" applyBorder="1" applyAlignment="1" applyProtection="1">
      <alignment horizontal="right"/>
    </xf>
    <xf numFmtId="174" fontId="148" fillId="0" borderId="0" xfId="0" applyNumberFormat="1" applyFont="1"/>
    <xf numFmtId="174" fontId="148" fillId="0" borderId="57" xfId="0" applyNumberFormat="1" applyFont="1" applyBorder="1"/>
    <xf numFmtId="174" fontId="148" fillId="68" borderId="57" xfId="0" applyNumberFormat="1" applyFont="1" applyFill="1" applyBorder="1"/>
    <xf numFmtId="174" fontId="153" fillId="0" borderId="57" xfId="0" applyNumberFormat="1" applyFont="1" applyBorder="1"/>
    <xf numFmtId="175" fontId="83" fillId="63" borderId="47" xfId="0" applyNumberFormat="1" applyFont="1" applyFill="1" applyBorder="1" applyProtection="1"/>
    <xf numFmtId="175" fontId="11" fillId="64" borderId="0" xfId="0" applyNumberFormat="1" applyFont="1" applyFill="1" applyBorder="1" applyAlignment="1">
      <alignment horizontal="right"/>
    </xf>
    <xf numFmtId="175" fontId="11" fillId="0" borderId="0" xfId="0" applyNumberFormat="1" applyFont="1" applyBorder="1" applyAlignment="1">
      <alignment horizontal="right"/>
    </xf>
    <xf numFmtId="175" fontId="0" fillId="0" borderId="65" xfId="0" applyNumberFormat="1" applyBorder="1"/>
    <xf numFmtId="0" fontId="154" fillId="2" borderId="0" xfId="0" applyFont="1" applyFill="1"/>
    <xf numFmtId="0" fontId="154" fillId="0" borderId="0" xfId="0" applyFont="1"/>
    <xf numFmtId="172" fontId="155" fillId="2" borderId="55" xfId="8" applyNumberFormat="1" applyFont="1" applyFill="1" applyBorder="1" applyAlignment="1" applyProtection="1">
      <alignment horizontal="right"/>
    </xf>
    <xf numFmtId="172" fontId="155" fillId="2" borderId="102" xfId="8" applyNumberFormat="1" applyFont="1" applyFill="1" applyBorder="1" applyAlignment="1" applyProtection="1">
      <alignment horizontal="right"/>
    </xf>
    <xf numFmtId="0" fontId="11" fillId="60" borderId="0" xfId="0" applyFont="1" applyFill="1"/>
    <xf numFmtId="172" fontId="148" fillId="0" borderId="57" xfId="0" applyNumberFormat="1" applyFont="1" applyFill="1" applyBorder="1"/>
    <xf numFmtId="175" fontId="11" fillId="0" borderId="65" xfId="0" applyNumberFormat="1" applyFont="1" applyBorder="1"/>
    <xf numFmtId="0" fontId="11" fillId="68" borderId="1" xfId="0" applyFont="1" applyFill="1" applyBorder="1"/>
    <xf numFmtId="0" fontId="0" fillId="68" borderId="1" xfId="0" applyFill="1" applyBorder="1"/>
    <xf numFmtId="174" fontId="148" fillId="0" borderId="103" xfId="0" applyNumberFormat="1" applyFont="1" applyFill="1" applyBorder="1"/>
    <xf numFmtId="174" fontId="148" fillId="68" borderId="103" xfId="0" applyNumberFormat="1" applyFont="1" applyFill="1" applyBorder="1"/>
    <xf numFmtId="0" fontId="135" fillId="0" borderId="0" xfId="0" applyFont="1" applyFill="1" applyBorder="1"/>
    <xf numFmtId="174" fontId="83" fillId="0" borderId="0" xfId="0" applyNumberFormat="1" applyFont="1" applyFill="1" applyBorder="1" applyAlignment="1">
      <alignment horizontal="right"/>
    </xf>
    <xf numFmtId="0" fontId="121" fillId="0" borderId="0" xfId="0" applyFont="1" applyAlignment="1">
      <alignment horizontal="left"/>
    </xf>
    <xf numFmtId="0" fontId="16" fillId="0" borderId="0" xfId="0" applyFont="1" applyAlignment="1">
      <alignment horizontal="center"/>
    </xf>
    <xf numFmtId="0" fontId="121" fillId="0" borderId="0" xfId="0" applyFont="1" applyAlignment="1">
      <alignment horizontal="center"/>
    </xf>
    <xf numFmtId="0" fontId="121" fillId="0" borderId="0" xfId="0" applyFont="1"/>
    <xf numFmtId="0" fontId="16" fillId="0" borderId="1" xfId="0" applyFont="1" applyBorder="1" applyAlignment="1">
      <alignment horizontal="center"/>
    </xf>
    <xf numFmtId="0" fontId="4" fillId="0" borderId="0" xfId="0" applyFont="1" applyAlignment="1">
      <alignment horizontal="center"/>
    </xf>
    <xf numFmtId="0" fontId="157" fillId="2" borderId="40" xfId="0" applyFont="1" applyFill="1" applyBorder="1" applyAlignment="1">
      <alignment horizontal="center"/>
    </xf>
    <xf numFmtId="0" fontId="158" fillId="2" borderId="40" xfId="0" applyFont="1" applyFill="1" applyBorder="1" applyAlignment="1">
      <alignment horizontal="center" vertical="center"/>
    </xf>
    <xf numFmtId="0" fontId="120" fillId="0" borderId="0" xfId="0" applyFont="1" applyAlignment="1">
      <alignment horizontal="center" vertical="center"/>
    </xf>
    <xf numFmtId="0" fontId="121" fillId="0" borderId="1" xfId="0" applyFont="1" applyBorder="1" applyAlignment="1">
      <alignment horizontal="center"/>
    </xf>
    <xf numFmtId="0" fontId="121" fillId="0" borderId="1" xfId="0" applyFont="1" applyBorder="1"/>
    <xf numFmtId="0" fontId="120" fillId="0" borderId="1" xfId="0" applyFont="1" applyBorder="1" applyAlignment="1">
      <alignment horizontal="center" vertical="center"/>
    </xf>
    <xf numFmtId="172" fontId="16" fillId="63" borderId="40" xfId="0" applyNumberFormat="1" applyFont="1" applyFill="1" applyBorder="1" applyAlignment="1">
      <alignment horizontal="center"/>
    </xf>
    <xf numFmtId="175" fontId="121" fillId="0" borderId="0" xfId="0" applyNumberFormat="1" applyFont="1" applyAlignment="1">
      <alignment horizontal="center"/>
    </xf>
    <xf numFmtId="0" fontId="16" fillId="0" borderId="1" xfId="0" applyFont="1" applyBorder="1" applyAlignment="1">
      <alignment horizontal="left"/>
    </xf>
    <xf numFmtId="0" fontId="11" fillId="0" borderId="1" xfId="0" applyFont="1" applyBorder="1" applyAlignment="1">
      <alignment horizontal="center"/>
    </xf>
    <xf numFmtId="0" fontId="16" fillId="0" borderId="0" xfId="0" applyFont="1" applyAlignment="1"/>
    <xf numFmtId="0" fontId="16" fillId="2" borderId="55" xfId="0" applyFont="1" applyFill="1" applyBorder="1" applyAlignment="1">
      <alignment horizontal="center"/>
    </xf>
    <xf numFmtId="0" fontId="14" fillId="0" borderId="0" xfId="0" applyFont="1" applyAlignment="1">
      <alignment horizontal="center"/>
    </xf>
    <xf numFmtId="172" fontId="159" fillId="0" borderId="0" xfId="0" applyNumberFormat="1" applyFont="1" applyFill="1" applyAlignment="1" applyProtection="1">
      <alignment horizontal="center"/>
    </xf>
    <xf numFmtId="174" fontId="11" fillId="0" borderId="134" xfId="0" applyNumberFormat="1" applyFont="1" applyBorder="1" applyProtection="1"/>
    <xf numFmtId="0" fontId="0" fillId="2" borderId="0" xfId="0" applyFill="1" applyAlignment="1">
      <alignment horizontal="center"/>
    </xf>
    <xf numFmtId="0" fontId="0" fillId="2" borderId="57" xfId="0" applyFill="1" applyBorder="1" applyAlignment="1">
      <alignment horizontal="center"/>
    </xf>
    <xf numFmtId="172" fontId="155" fillId="0" borderId="55" xfId="8" applyNumberFormat="1" applyFont="1" applyFill="1" applyBorder="1" applyAlignment="1" applyProtection="1">
      <alignment horizontal="right"/>
    </xf>
    <xf numFmtId="172" fontId="155" fillId="0" borderId="102" xfId="8" applyNumberFormat="1" applyFont="1" applyFill="1" applyBorder="1" applyAlignment="1" applyProtection="1">
      <alignment horizontal="right"/>
    </xf>
    <xf numFmtId="172" fontId="155" fillId="0" borderId="117" xfId="8" applyNumberFormat="1" applyFont="1" applyFill="1" applyBorder="1" applyAlignment="1" applyProtection="1">
      <alignment horizontal="right"/>
    </xf>
    <xf numFmtId="172" fontId="155" fillId="0" borderId="103" xfId="8" applyNumberFormat="1" applyFont="1" applyFill="1" applyBorder="1" applyAlignment="1" applyProtection="1">
      <alignment horizontal="right"/>
    </xf>
    <xf numFmtId="172" fontId="155" fillId="0" borderId="112" xfId="8" applyNumberFormat="1" applyFont="1" applyFill="1" applyBorder="1" applyAlignment="1" applyProtection="1">
      <alignment horizontal="right"/>
    </xf>
    <xf numFmtId="172" fontId="155" fillId="0" borderId="135" xfId="8" applyNumberFormat="1" applyFont="1" applyFill="1" applyBorder="1" applyAlignment="1" applyProtection="1">
      <alignment horizontal="right"/>
    </xf>
    <xf numFmtId="172" fontId="155" fillId="0" borderId="136" xfId="8" applyNumberFormat="1" applyFont="1" applyFill="1" applyBorder="1" applyAlignment="1" applyProtection="1">
      <alignment horizontal="right"/>
    </xf>
    <xf numFmtId="172" fontId="155" fillId="0" borderId="137" xfId="8" applyNumberFormat="1" applyFont="1" applyFill="1" applyBorder="1" applyAlignment="1" applyProtection="1">
      <alignment horizontal="right"/>
    </xf>
    <xf numFmtId="172" fontId="155" fillId="0" borderId="138" xfId="8" applyNumberFormat="1" applyFont="1" applyFill="1" applyBorder="1" applyAlignment="1" applyProtection="1">
      <alignment horizontal="right"/>
    </xf>
    <xf numFmtId="172" fontId="107" fillId="0" borderId="74" xfId="8" applyNumberFormat="1" applyFont="1" applyFill="1" applyBorder="1" applyAlignment="1" applyProtection="1">
      <alignment horizontal="right"/>
    </xf>
    <xf numFmtId="172" fontId="107" fillId="0" borderId="130" xfId="8" applyNumberFormat="1" applyFont="1" applyFill="1" applyBorder="1" applyAlignment="1" applyProtection="1">
      <alignment horizontal="right"/>
    </xf>
    <xf numFmtId="172" fontId="155" fillId="0" borderId="140" xfId="8" applyNumberFormat="1" applyFont="1" applyFill="1" applyBorder="1" applyAlignment="1" applyProtection="1">
      <alignment horizontal="right"/>
    </xf>
    <xf numFmtId="172" fontId="107" fillId="0" borderId="139" xfId="8" applyNumberFormat="1" applyFont="1" applyFill="1" applyBorder="1" applyAlignment="1" applyProtection="1">
      <alignment horizontal="right"/>
    </xf>
    <xf numFmtId="0" fontId="11" fillId="0" borderId="0" xfId="0" applyFont="1" applyAlignment="1">
      <alignment horizontal="center"/>
    </xf>
    <xf numFmtId="0" fontId="160" fillId="0" borderId="0" xfId="0" applyFont="1" applyAlignment="1">
      <alignment horizontal="center"/>
    </xf>
    <xf numFmtId="0" fontId="0" fillId="2" borderId="47" xfId="0" applyFill="1" applyBorder="1" applyAlignment="1">
      <alignment horizontal="center"/>
    </xf>
    <xf numFmtId="172" fontId="0" fillId="0" borderId="47" xfId="0" applyNumberFormat="1" applyBorder="1"/>
    <xf numFmtId="175" fontId="16" fillId="0" borderId="0" xfId="0" applyNumberFormat="1" applyFont="1" applyAlignment="1">
      <alignment horizontal="center"/>
    </xf>
    <xf numFmtId="172" fontId="16" fillId="0" borderId="0" xfId="0" applyNumberFormat="1" applyFont="1" applyAlignment="1">
      <alignment horizontal="center"/>
    </xf>
    <xf numFmtId="175" fontId="16" fillId="0" borderId="0" xfId="0" applyNumberFormat="1" applyFont="1" applyAlignment="1">
      <alignment horizontal="left"/>
    </xf>
    <xf numFmtId="0" fontId="16" fillId="0" borderId="1" xfId="0" applyFont="1" applyBorder="1" applyAlignment="1"/>
    <xf numFmtId="0" fontId="161" fillId="0" borderId="0" xfId="0" applyFont="1"/>
    <xf numFmtId="175" fontId="161" fillId="0" borderId="0" xfId="0" applyNumberFormat="1" applyFont="1" applyAlignment="1" applyProtection="1">
      <alignment horizontal="center"/>
    </xf>
    <xf numFmtId="175" fontId="121" fillId="0" borderId="57" xfId="0" applyNumberFormat="1" applyFont="1" applyBorder="1" applyAlignment="1">
      <alignment horizontal="center"/>
    </xf>
    <xf numFmtId="0" fontId="162" fillId="62" borderId="0" xfId="0" applyFont="1" applyFill="1" applyAlignment="1">
      <alignment horizontal="center"/>
    </xf>
    <xf numFmtId="0" fontId="162" fillId="61" borderId="0" xfId="0" applyFont="1" applyFill="1" applyAlignment="1">
      <alignment horizontal="center"/>
    </xf>
    <xf numFmtId="174" fontId="91" fillId="70" borderId="0" xfId="0" applyNumberFormat="1" applyFont="1" applyFill="1" applyBorder="1"/>
    <xf numFmtId="174" fontId="91" fillId="70" borderId="0" xfId="0" applyNumberFormat="1" applyFont="1" applyFill="1" applyBorder="1" applyProtection="1"/>
    <xf numFmtId="182" fontId="91" fillId="70" borderId="55" xfId="0" applyNumberFormat="1" applyFont="1" applyFill="1" applyBorder="1" applyAlignment="1">
      <alignment horizontal="center" vertical="top"/>
    </xf>
    <xf numFmtId="174" fontId="91" fillId="70" borderId="55" xfId="0" applyNumberFormat="1" applyFont="1" applyFill="1" applyBorder="1" applyAlignment="1">
      <alignment horizontal="right" vertical="top"/>
    </xf>
    <xf numFmtId="174" fontId="91" fillId="70" borderId="55" xfId="0" quotePrefix="1" applyNumberFormat="1" applyFont="1" applyFill="1" applyBorder="1" applyAlignment="1">
      <alignment horizontal="right" vertical="top"/>
    </xf>
    <xf numFmtId="172" fontId="91" fillId="70" borderId="0" xfId="0" applyNumberFormat="1" applyFont="1" applyFill="1" applyBorder="1"/>
    <xf numFmtId="190" fontId="91" fillId="70" borderId="0" xfId="0" applyNumberFormat="1" applyFont="1" applyFill="1" applyBorder="1" applyAlignment="1">
      <alignment horizontal="left"/>
    </xf>
    <xf numFmtId="172" fontId="91" fillId="70" borderId="55" xfId="0" applyNumberFormat="1" applyFont="1" applyFill="1" applyBorder="1" applyAlignment="1">
      <alignment horizontal="center" vertical="top"/>
    </xf>
    <xf numFmtId="172" fontId="91" fillId="70" borderId="55" xfId="0" quotePrefix="1" applyNumberFormat="1" applyFont="1" applyFill="1" applyBorder="1" applyAlignment="1">
      <alignment horizontal="right" vertical="top"/>
    </xf>
    <xf numFmtId="172" fontId="91" fillId="70" borderId="55" xfId="0" applyNumberFormat="1" applyFont="1" applyFill="1" applyBorder="1" applyAlignment="1">
      <alignment horizontal="right" vertical="top"/>
    </xf>
    <xf numFmtId="174" fontId="0" fillId="68" borderId="0" xfId="0" applyNumberFormat="1" applyFill="1" applyProtection="1"/>
    <xf numFmtId="172" fontId="0" fillId="68" borderId="47" xfId="0" applyNumberFormat="1" applyFill="1" applyBorder="1" applyProtection="1"/>
    <xf numFmtId="0" fontId="163" fillId="0" borderId="0" xfId="0" applyFont="1" applyProtection="1"/>
    <xf numFmtId="172" fontId="164" fillId="0" borderId="103" xfId="8" applyNumberFormat="1" applyFont="1" applyFill="1" applyBorder="1" applyAlignment="1" applyProtection="1">
      <alignment horizontal="right"/>
    </xf>
    <xf numFmtId="172" fontId="164" fillId="0" borderId="135" xfId="8" applyNumberFormat="1" applyFont="1" applyFill="1" applyBorder="1" applyAlignment="1" applyProtection="1">
      <alignment horizontal="right"/>
    </xf>
    <xf numFmtId="172" fontId="164" fillId="0" borderId="55" xfId="8" applyNumberFormat="1" applyFont="1" applyFill="1" applyBorder="1" applyAlignment="1" applyProtection="1">
      <alignment horizontal="right"/>
    </xf>
    <xf numFmtId="172" fontId="164" fillId="0" borderId="136" xfId="8" applyNumberFormat="1" applyFont="1" applyFill="1" applyBorder="1" applyAlignment="1" applyProtection="1">
      <alignment horizontal="right"/>
    </xf>
    <xf numFmtId="172" fontId="164" fillId="0" borderId="102" xfId="8" applyNumberFormat="1" applyFont="1" applyFill="1" applyBorder="1" applyAlignment="1" applyProtection="1">
      <alignment horizontal="right"/>
    </xf>
    <xf numFmtId="172" fontId="164" fillId="0" borderId="137" xfId="8" applyNumberFormat="1" applyFont="1" applyFill="1" applyBorder="1" applyAlignment="1" applyProtection="1">
      <alignment horizontal="right"/>
    </xf>
    <xf numFmtId="172" fontId="164" fillId="0" borderId="112" xfId="8" applyNumberFormat="1" applyFont="1" applyFill="1" applyBorder="1" applyAlignment="1" applyProtection="1">
      <alignment horizontal="right"/>
    </xf>
    <xf numFmtId="172" fontId="164" fillId="0" borderId="138" xfId="8" applyNumberFormat="1" applyFont="1" applyFill="1" applyBorder="1" applyAlignment="1" applyProtection="1">
      <alignment horizontal="right"/>
    </xf>
    <xf numFmtId="172" fontId="107" fillId="0" borderId="132" xfId="8" applyNumberFormat="1" applyFont="1" applyFill="1" applyBorder="1" applyAlignment="1" applyProtection="1">
      <alignment horizontal="right"/>
    </xf>
    <xf numFmtId="0" fontId="0" fillId="0" borderId="0" xfId="0" applyFont="1" applyProtection="1"/>
    <xf numFmtId="175" fontId="148" fillId="0" borderId="0" xfId="0" applyNumberFormat="1" applyFont="1" applyAlignment="1" applyProtection="1">
      <alignment horizontal="center"/>
    </xf>
    <xf numFmtId="0" fontId="148" fillId="0" borderId="0" xfId="0" applyFont="1"/>
    <xf numFmtId="174" fontId="164" fillId="0" borderId="0" xfId="0" applyNumberFormat="1" applyFont="1" applyAlignment="1">
      <alignment horizontal="right"/>
    </xf>
    <xf numFmtId="175" fontId="164" fillId="0" borderId="0" xfId="0" applyNumberFormat="1" applyFont="1" applyAlignment="1">
      <alignment horizontal="right"/>
    </xf>
    <xf numFmtId="172" fontId="83" fillId="60" borderId="66" xfId="0" applyNumberFormat="1" applyFont="1" applyFill="1" applyBorder="1" applyProtection="1"/>
    <xf numFmtId="172" fontId="83" fillId="60" borderId="102" xfId="0" applyNumberFormat="1" applyFont="1" applyFill="1" applyBorder="1" applyProtection="1"/>
    <xf numFmtId="0" fontId="16" fillId="2" borderId="0" xfId="0" applyFont="1" applyFill="1" applyBorder="1" applyAlignment="1">
      <alignment horizontal="center"/>
    </xf>
    <xf numFmtId="0" fontId="0" fillId="60" borderId="0" xfId="0" applyFill="1" applyProtection="1"/>
    <xf numFmtId="175" fontId="0" fillId="2" borderId="0" xfId="0" applyNumberFormat="1" applyFill="1" applyAlignment="1" applyProtection="1">
      <alignment horizontal="right"/>
    </xf>
    <xf numFmtId="0" fontId="14" fillId="0" borderId="0" xfId="0" applyFont="1" applyAlignment="1" applyProtection="1">
      <alignment horizontal="center"/>
    </xf>
    <xf numFmtId="9" fontId="0" fillId="0" borderId="0" xfId="0" applyNumberFormat="1" applyProtection="1"/>
    <xf numFmtId="9" fontId="0" fillId="2" borderId="0" xfId="0" applyNumberFormat="1" applyFill="1" applyProtection="1"/>
    <xf numFmtId="0" fontId="0" fillId="0" borderId="0" xfId="0" applyAlignment="1" applyProtection="1">
      <alignment horizontal="left"/>
    </xf>
    <xf numFmtId="0" fontId="121" fillId="0" borderId="0" xfId="0" applyFont="1" applyAlignment="1" applyProtection="1">
      <alignment horizontal="left"/>
    </xf>
    <xf numFmtId="9" fontId="0" fillId="0" borderId="0" xfId="0" applyNumberFormat="1"/>
    <xf numFmtId="175" fontId="91" fillId="0" borderId="0" xfId="0" applyNumberFormat="1" applyFont="1"/>
    <xf numFmtId="9" fontId="165" fillId="2" borderId="55" xfId="9" applyFont="1" applyFill="1" applyBorder="1" applyAlignment="1" applyProtection="1">
      <alignment horizontal="center" vertical="top"/>
      <protection locked="0"/>
    </xf>
    <xf numFmtId="172" fontId="165" fillId="2" borderId="55" xfId="9" applyNumberFormat="1" applyFont="1" applyFill="1" applyBorder="1" applyAlignment="1" applyProtection="1">
      <alignment horizontal="right" vertical="top"/>
      <protection locked="0"/>
    </xf>
    <xf numFmtId="172" fontId="165" fillId="2" borderId="55" xfId="9" applyNumberFormat="1" applyFont="1" applyFill="1" applyBorder="1" applyAlignment="1" applyProtection="1">
      <alignment horizontal="center" vertical="top"/>
      <protection locked="0"/>
    </xf>
    <xf numFmtId="172" fontId="165" fillId="2" borderId="102" xfId="9" applyNumberFormat="1" applyFont="1" applyFill="1" applyBorder="1" applyAlignment="1" applyProtection="1">
      <alignment horizontal="right" vertical="top"/>
      <protection locked="0"/>
    </xf>
    <xf numFmtId="0" fontId="0" fillId="64" borderId="47" xfId="0" applyFill="1" applyBorder="1"/>
    <xf numFmtId="0" fontId="0" fillId="64" borderId="57" xfId="0" applyFont="1" applyFill="1" applyBorder="1" applyProtection="1"/>
    <xf numFmtId="174" fontId="0" fillId="64" borderId="0" xfId="0" applyNumberFormat="1" applyFill="1"/>
    <xf numFmtId="172" fontId="0" fillId="64" borderId="47" xfId="0" applyNumberFormat="1" applyFill="1" applyBorder="1"/>
    <xf numFmtId="174" fontId="11" fillId="64" borderId="134" xfId="0" applyNumberFormat="1" applyFont="1" applyFill="1" applyBorder="1" applyProtection="1"/>
    <xf numFmtId="0" fontId="0" fillId="0" borderId="0" xfId="0" applyFill="1"/>
    <xf numFmtId="0" fontId="0" fillId="0" borderId="47" xfId="0" applyFill="1" applyBorder="1"/>
    <xf numFmtId="174" fontId="92" fillId="0" borderId="0" xfId="0" applyNumberFormat="1" applyFont="1" applyFill="1"/>
    <xf numFmtId="9" fontId="165" fillId="2" borderId="102" xfId="9" applyFont="1" applyFill="1" applyBorder="1" applyAlignment="1" applyProtection="1">
      <alignment horizontal="center" vertical="top"/>
      <protection locked="0"/>
    </xf>
    <xf numFmtId="9" fontId="92" fillId="0" borderId="0" xfId="9" applyFont="1" applyFill="1" applyBorder="1" applyAlignment="1" applyProtection="1">
      <alignment horizontal="center" vertical="top"/>
      <protection locked="0"/>
    </xf>
    <xf numFmtId="172" fontId="101" fillId="0" borderId="0" xfId="9" applyNumberFormat="1" applyFont="1" applyFill="1" applyBorder="1" applyAlignment="1" applyProtection="1">
      <alignment vertical="top"/>
      <protection locked="0"/>
    </xf>
    <xf numFmtId="172" fontId="91" fillId="0" borderId="0" xfId="9" applyNumberFormat="1" applyFont="1" applyFill="1" applyBorder="1" applyAlignment="1" applyProtection="1">
      <alignment horizontal="center" vertical="top"/>
    </xf>
    <xf numFmtId="174" fontId="91" fillId="0" borderId="0" xfId="9" applyNumberFormat="1" applyFont="1" applyFill="1" applyBorder="1" applyAlignment="1" applyProtection="1">
      <alignment vertical="top"/>
    </xf>
    <xf numFmtId="175" fontId="91" fillId="0" borderId="0" xfId="0" applyNumberFormat="1" applyFont="1" applyBorder="1"/>
    <xf numFmtId="174" fontId="92" fillId="0" borderId="0" xfId="9" applyNumberFormat="1" applyFont="1" applyFill="1" applyBorder="1" applyAlignment="1" applyProtection="1">
      <alignment horizontal="center" vertical="top"/>
      <protection locked="0"/>
    </xf>
    <xf numFmtId="174" fontId="90" fillId="0" borderId="0" xfId="9" applyNumberFormat="1" applyFont="1" applyFill="1" applyBorder="1" applyAlignment="1" applyProtection="1">
      <alignment vertical="top"/>
      <protection locked="0"/>
    </xf>
    <xf numFmtId="172" fontId="90" fillId="0" borderId="0" xfId="9" applyNumberFormat="1" applyFont="1" applyFill="1" applyBorder="1" applyAlignment="1" applyProtection="1">
      <alignment vertical="top"/>
      <protection locked="0"/>
    </xf>
    <xf numFmtId="172" fontId="156" fillId="2" borderId="55" xfId="9" applyNumberFormat="1" applyFont="1" applyFill="1" applyBorder="1" applyAlignment="1" applyProtection="1">
      <alignment horizontal="center" vertical="top"/>
      <protection locked="0"/>
    </xf>
    <xf numFmtId="172" fontId="156" fillId="2" borderId="55" xfId="9" applyNumberFormat="1" applyFont="1" applyFill="1" applyBorder="1" applyAlignment="1" applyProtection="1">
      <alignment horizontal="right" vertical="top"/>
      <protection locked="0"/>
    </xf>
    <xf numFmtId="0" fontId="91" fillId="0" borderId="0" xfId="0" applyFont="1" applyAlignment="1" applyProtection="1">
      <alignment horizontal="center"/>
      <protection locked="0"/>
    </xf>
    <xf numFmtId="0" fontId="91" fillId="0" borderId="52" xfId="0" applyFont="1" applyBorder="1" applyAlignment="1" applyProtection="1">
      <alignment horizontal="right"/>
      <protection locked="0"/>
    </xf>
    <xf numFmtId="0" fontId="91" fillId="0" borderId="52" xfId="0" applyFont="1" applyBorder="1" applyProtection="1">
      <protection locked="0"/>
    </xf>
    <xf numFmtId="0" fontId="91" fillId="0" borderId="52" xfId="0" applyFont="1" applyBorder="1" applyAlignment="1" applyProtection="1">
      <alignment horizontal="center"/>
      <protection locked="0"/>
    </xf>
    <xf numFmtId="0" fontId="91" fillId="2" borderId="103" xfId="0" applyFont="1" applyFill="1" applyBorder="1" applyProtection="1">
      <protection locked="0"/>
    </xf>
    <xf numFmtId="196" fontId="91" fillId="0" borderId="75" xfId="0" applyNumberFormat="1" applyFont="1" applyBorder="1" applyProtection="1">
      <protection locked="0"/>
    </xf>
    <xf numFmtId="174" fontId="90" fillId="0" borderId="57" xfId="9" applyNumberFormat="1" applyFont="1" applyFill="1" applyBorder="1" applyAlignment="1" applyProtection="1">
      <alignment vertical="top"/>
      <protection locked="0"/>
    </xf>
    <xf numFmtId="174" fontId="91" fillId="68" borderId="0" xfId="9" applyNumberFormat="1" applyFont="1" applyFill="1" applyBorder="1" applyAlignment="1" applyProtection="1">
      <alignment vertical="top"/>
    </xf>
    <xf numFmtId="0" fontId="91" fillId="70" borderId="0" xfId="0" applyFont="1" applyFill="1" applyBorder="1"/>
    <xf numFmtId="9" fontId="89" fillId="0" borderId="55" xfId="9" applyFont="1" applyFill="1" applyBorder="1" applyAlignment="1" applyProtection="1">
      <alignment horizontal="center" vertical="top"/>
      <protection locked="0"/>
    </xf>
    <xf numFmtId="175" fontId="90" fillId="0" borderId="55" xfId="9" applyNumberFormat="1" applyFont="1" applyFill="1" applyBorder="1" applyAlignment="1" applyProtection="1">
      <alignment horizontal="right" vertical="top"/>
      <protection locked="0"/>
    </xf>
    <xf numFmtId="190" fontId="91" fillId="0" borderId="0" xfId="9" applyNumberFormat="1" applyFont="1" applyFill="1" applyBorder="1" applyAlignment="1" applyProtection="1">
      <alignment horizontal="center" vertical="top"/>
    </xf>
    <xf numFmtId="172" fontId="91" fillId="0" borderId="57" xfId="9" applyNumberFormat="1" applyFont="1" applyFill="1" applyBorder="1" applyAlignment="1" applyProtection="1">
      <alignment horizontal="center" vertical="top"/>
    </xf>
    <xf numFmtId="174" fontId="91" fillId="0" borderId="57" xfId="9" applyNumberFormat="1" applyFont="1" applyFill="1" applyBorder="1" applyAlignment="1" applyProtection="1">
      <alignment vertical="top"/>
    </xf>
    <xf numFmtId="174" fontId="91" fillId="0" borderId="0" xfId="9" applyNumberFormat="1" applyFont="1" applyFill="1" applyBorder="1" applyAlignment="1" applyProtection="1">
      <alignment horizontal="right" vertical="top"/>
    </xf>
    <xf numFmtId="174" fontId="91" fillId="0" borderId="57" xfId="0" applyNumberFormat="1" applyFont="1" applyFill="1" applyBorder="1"/>
    <xf numFmtId="0" fontId="107" fillId="63" borderId="63" xfId="0" applyFont="1" applyFill="1" applyBorder="1" applyAlignment="1" applyProtection="1">
      <alignment horizontal="center" vertical="top"/>
    </xf>
    <xf numFmtId="0" fontId="106" fillId="0" borderId="0" xfId="0" applyFont="1" applyBorder="1"/>
    <xf numFmtId="164" fontId="105" fillId="0" borderId="0" xfId="0" applyNumberFormat="1" applyFont="1" applyBorder="1" applyAlignment="1">
      <alignment horizontal="center" vertical="top"/>
    </xf>
    <xf numFmtId="0" fontId="91" fillId="0" borderId="0" xfId="0" quotePrefix="1" applyFont="1" applyAlignment="1" applyProtection="1">
      <alignment horizontal="center"/>
      <protection locked="0"/>
    </xf>
    <xf numFmtId="0" fontId="91" fillId="3" borderId="47" xfId="0" applyFont="1" applyFill="1" applyBorder="1" applyProtection="1">
      <protection locked="0"/>
    </xf>
    <xf numFmtId="0" fontId="91" fillId="3" borderId="75" xfId="0" applyFont="1" applyFill="1" applyBorder="1" applyProtection="1">
      <protection locked="0"/>
    </xf>
    <xf numFmtId="0" fontId="105" fillId="0" borderId="0" xfId="0" applyFont="1" applyProtection="1">
      <protection locked="0"/>
    </xf>
    <xf numFmtId="172" fontId="156" fillId="0" borderId="57" xfId="9" applyNumberFormat="1" applyFont="1" applyFill="1" applyBorder="1" applyAlignment="1" applyProtection="1">
      <alignment horizontal="center" vertical="top"/>
      <protection locked="0"/>
    </xf>
    <xf numFmtId="0" fontId="91" fillId="0" borderId="0" xfId="0" applyFont="1" applyBorder="1" applyProtection="1">
      <protection locked="0"/>
    </xf>
    <xf numFmtId="172" fontId="156" fillId="0" borderId="0" xfId="9" applyNumberFormat="1" applyFont="1" applyFill="1" applyBorder="1" applyAlignment="1" applyProtection="1">
      <alignment horizontal="center" vertical="top"/>
      <protection locked="0"/>
    </xf>
    <xf numFmtId="172" fontId="166" fillId="0" borderId="0" xfId="9" applyNumberFormat="1" applyFont="1" applyFill="1" applyBorder="1" applyAlignment="1" applyProtection="1">
      <alignment horizontal="right" vertical="top"/>
      <protection locked="0"/>
    </xf>
    <xf numFmtId="172" fontId="156" fillId="0" borderId="0" xfId="9" applyNumberFormat="1" applyFont="1" applyFill="1" applyBorder="1" applyAlignment="1" applyProtection="1">
      <alignment vertical="top"/>
      <protection locked="0"/>
    </xf>
    <xf numFmtId="0" fontId="92" fillId="2" borderId="141" xfId="0" applyFont="1" applyFill="1" applyBorder="1" applyAlignment="1" applyProtection="1">
      <alignment horizontal="center"/>
      <protection locked="0"/>
    </xf>
    <xf numFmtId="164" fontId="90" fillId="70" borderId="55" xfId="11" applyNumberFormat="1" applyFont="1" applyFill="1" applyBorder="1" applyAlignment="1" applyProtection="1">
      <alignment horizontal="center" vertical="top"/>
      <protection locked="0"/>
    </xf>
    <xf numFmtId="0" fontId="92" fillId="0" borderId="1" xfId="0" applyFont="1" applyBorder="1"/>
    <xf numFmtId="0" fontId="96" fillId="2" borderId="47" xfId="0" applyFont="1" applyFill="1" applyBorder="1" applyProtection="1">
      <protection locked="0"/>
    </xf>
    <xf numFmtId="0" fontId="96" fillId="2" borderId="50" xfId="0" applyFont="1" applyFill="1" applyBorder="1" applyProtection="1">
      <protection locked="0"/>
    </xf>
    <xf numFmtId="0" fontId="126" fillId="68" borderId="65" xfId="0" applyFont="1" applyFill="1" applyBorder="1"/>
    <xf numFmtId="195" fontId="92" fillId="64" borderId="63" xfId="0" applyNumberFormat="1" applyFont="1" applyFill="1" applyBorder="1" applyAlignment="1" applyProtection="1">
      <alignment horizontal="right"/>
    </xf>
    <xf numFmtId="174" fontId="92" fillId="0" borderId="65" xfId="0" applyNumberFormat="1" applyFont="1" applyBorder="1" applyAlignment="1" applyProtection="1">
      <alignment horizontal="right" vertical="top"/>
    </xf>
    <xf numFmtId="5" fontId="92" fillId="0" borderId="65" xfId="0" applyNumberFormat="1" applyFont="1" applyBorder="1" applyAlignment="1" applyProtection="1">
      <alignment horizontal="center" vertical="top"/>
    </xf>
    <xf numFmtId="1" fontId="91" fillId="0" borderId="65" xfId="0" applyNumberFormat="1" applyFont="1" applyFill="1" applyBorder="1" applyAlignment="1" applyProtection="1">
      <alignment horizontal="left"/>
    </xf>
    <xf numFmtId="172" fontId="91" fillId="0" borderId="65" xfId="0" applyNumberFormat="1" applyFont="1" applyFill="1" applyBorder="1" applyAlignment="1" applyProtection="1">
      <alignment horizontal="center"/>
    </xf>
    <xf numFmtId="177" fontId="91" fillId="0" borderId="57" xfId="0" applyNumberFormat="1" applyFont="1" applyFill="1" applyBorder="1" applyAlignment="1" applyProtection="1">
      <alignment horizontal="left"/>
    </xf>
    <xf numFmtId="177" fontId="91" fillId="0" borderId="57" xfId="0" applyNumberFormat="1" applyFont="1" applyFill="1" applyBorder="1" applyAlignment="1" applyProtection="1">
      <alignment horizontal="right" vertical="top"/>
    </xf>
    <xf numFmtId="174" fontId="91" fillId="0" borderId="57" xfId="0" applyNumberFormat="1" applyFont="1" applyFill="1" applyBorder="1" applyAlignment="1" applyProtection="1">
      <alignment horizontal="right" vertical="top"/>
    </xf>
    <xf numFmtId="0" fontId="110" fillId="63" borderId="65" xfId="0" applyFont="1" applyFill="1" applyBorder="1" applyProtection="1"/>
    <xf numFmtId="164" fontId="151" fillId="63" borderId="65" xfId="0" applyNumberFormat="1" applyFont="1" applyFill="1" applyBorder="1" applyAlignment="1" applyProtection="1">
      <alignment horizontal="right" vertical="top"/>
    </xf>
    <xf numFmtId="175" fontId="92" fillId="0" borderId="65" xfId="0" applyNumberFormat="1" applyFont="1" applyBorder="1" applyAlignment="1" applyProtection="1">
      <alignment horizontal="right" vertical="top"/>
    </xf>
    <xf numFmtId="0" fontId="104" fillId="0" borderId="57" xfId="0" applyFont="1" applyFill="1" applyBorder="1" applyAlignment="1" applyProtection="1">
      <alignment horizontal="center" vertical="top"/>
    </xf>
    <xf numFmtId="172" fontId="92" fillId="3" borderId="57" xfId="0" applyNumberFormat="1" applyFont="1" applyFill="1" applyBorder="1" applyAlignment="1">
      <alignment horizontal="right"/>
    </xf>
    <xf numFmtId="0" fontId="92" fillId="63" borderId="57" xfId="0" applyFont="1" applyFill="1" applyBorder="1"/>
    <xf numFmtId="172" fontId="92" fillId="0" borderId="57" xfId="0" applyNumberFormat="1" applyFont="1" applyFill="1" applyBorder="1" applyAlignment="1" applyProtection="1">
      <alignment horizontal="center"/>
    </xf>
    <xf numFmtId="172" fontId="92" fillId="0" borderId="57" xfId="0" applyNumberFormat="1" applyFont="1" applyFill="1" applyBorder="1" applyAlignment="1" applyProtection="1">
      <alignment horizontal="center" vertical="top"/>
    </xf>
    <xf numFmtId="172" fontId="91" fillId="66" borderId="57" xfId="0" applyNumberFormat="1" applyFont="1" applyFill="1" applyBorder="1" applyAlignment="1">
      <alignment horizontal="right"/>
    </xf>
    <xf numFmtId="0" fontId="107" fillId="0" borderId="57" xfId="0" applyFont="1" applyFill="1" applyBorder="1" applyAlignment="1" applyProtection="1">
      <alignment horizontal="right" vertical="top"/>
    </xf>
    <xf numFmtId="0" fontId="104" fillId="0" borderId="57" xfId="0" applyFont="1" applyFill="1" applyBorder="1" applyAlignment="1" applyProtection="1">
      <alignment horizontal="right" vertical="top"/>
    </xf>
    <xf numFmtId="0" fontId="91" fillId="70" borderId="57" xfId="0" applyFont="1" applyFill="1" applyBorder="1"/>
    <xf numFmtId="201" fontId="91" fillId="0" borderId="63" xfId="0" applyNumberFormat="1" applyFont="1" applyBorder="1" applyAlignment="1" applyProtection="1">
      <alignment horizontal="right"/>
    </xf>
    <xf numFmtId="172" fontId="92" fillId="6" borderId="57" xfId="0" applyNumberFormat="1" applyFont="1" applyFill="1" applyBorder="1" applyAlignment="1" applyProtection="1">
      <alignment horizontal="center"/>
    </xf>
    <xf numFmtId="174" fontId="91" fillId="0" borderId="57" xfId="0" applyNumberFormat="1" applyFont="1" applyFill="1" applyBorder="1" applyProtection="1"/>
    <xf numFmtId="164" fontId="91" fillId="3" borderId="65" xfId="0" applyNumberFormat="1" applyFont="1" applyFill="1" applyBorder="1" applyAlignment="1">
      <alignment horizontal="center" vertical="top"/>
    </xf>
    <xf numFmtId="0" fontId="91" fillId="3" borderId="65" xfId="0" applyFont="1" applyFill="1" applyBorder="1"/>
    <xf numFmtId="0" fontId="92" fillId="3" borderId="57" xfId="0" applyFont="1" applyFill="1" applyBorder="1" applyAlignment="1">
      <alignment horizontal="center"/>
    </xf>
    <xf numFmtId="172" fontId="2" fillId="0" borderId="0" xfId="6628" applyNumberFormat="1" applyFont="1"/>
    <xf numFmtId="0" fontId="89" fillId="0" borderId="57" xfId="0" applyFont="1" applyFill="1" applyBorder="1" applyProtection="1"/>
    <xf numFmtId="183" fontId="91" fillId="0" borderId="57" xfId="13118" applyNumberFormat="1" applyFont="1" applyFill="1" applyBorder="1" applyProtection="1"/>
    <xf numFmtId="174" fontId="92" fillId="0" borderId="57" xfId="13118" applyNumberFormat="1" applyFont="1" applyFill="1" applyBorder="1" applyProtection="1"/>
    <xf numFmtId="0" fontId="92" fillId="64" borderId="63" xfId="0" applyFont="1" applyFill="1" applyBorder="1" applyAlignment="1">
      <alignment horizontal="right"/>
    </xf>
    <xf numFmtId="0" fontId="92" fillId="3" borderId="57" xfId="0" applyFont="1" applyFill="1" applyBorder="1" applyProtection="1"/>
    <xf numFmtId="0" fontId="91" fillId="3" borderId="57" xfId="0" applyFont="1" applyFill="1" applyBorder="1" applyProtection="1"/>
    <xf numFmtId="0" fontId="92" fillId="3" borderId="57" xfId="0" applyFont="1" applyFill="1" applyBorder="1" applyAlignment="1" applyProtection="1">
      <alignment horizontal="center"/>
    </xf>
    <xf numFmtId="0" fontId="104" fillId="0" borderId="40" xfId="0" applyFont="1" applyFill="1" applyBorder="1" applyAlignment="1" applyProtection="1">
      <alignment horizontal="center" vertical="top"/>
    </xf>
    <xf numFmtId="0" fontId="107" fillId="0" borderId="40" xfId="0" applyFont="1" applyFill="1" applyBorder="1" applyAlignment="1" applyProtection="1">
      <alignment horizontal="center" vertical="top"/>
    </xf>
    <xf numFmtId="0" fontId="15" fillId="0" borderId="0" xfId="8" applyFont="1" applyAlignment="1">
      <alignment horizontal="center"/>
    </xf>
    <xf numFmtId="208" fontId="104" fillId="0" borderId="57" xfId="6" applyNumberFormat="1" applyFont="1" applyFill="1" applyBorder="1" applyAlignment="1" applyProtection="1">
      <alignment horizontal="center"/>
    </xf>
    <xf numFmtId="172" fontId="107" fillId="0" borderId="57" xfId="5" applyNumberFormat="1" applyFont="1" applyBorder="1" applyAlignment="1" applyProtection="1">
      <alignment horizontal="center"/>
    </xf>
    <xf numFmtId="43" fontId="83" fillId="0" borderId="57" xfId="4" applyFont="1" applyBorder="1" applyProtection="1"/>
    <xf numFmtId="0" fontId="83" fillId="0" borderId="57" xfId="0" applyFont="1" applyBorder="1"/>
    <xf numFmtId="174" fontId="107" fillId="0" borderId="57" xfId="5" applyNumberFormat="1" applyFont="1" applyBorder="1" applyAlignment="1" applyProtection="1">
      <alignment horizontal="right"/>
    </xf>
    <xf numFmtId="43" fontId="8" fillId="0" borderId="0" xfId="4" applyFont="1"/>
    <xf numFmtId="190" fontId="0" fillId="0" borderId="0" xfId="0" applyNumberFormat="1"/>
    <xf numFmtId="0" fontId="11" fillId="0" borderId="1" xfId="0" quotePrefix="1" applyFont="1" applyBorder="1" applyAlignment="1">
      <alignment horizontal="right"/>
    </xf>
    <xf numFmtId="175" fontId="121" fillId="0" borderId="0" xfId="0" applyNumberFormat="1" applyFont="1" applyBorder="1" applyAlignment="1">
      <alignment horizontal="center"/>
    </xf>
    <xf numFmtId="0" fontId="83" fillId="68" borderId="0" xfId="0" applyFont="1" applyFill="1" applyProtection="1"/>
    <xf numFmtId="0" fontId="83" fillId="68" borderId="47" xfId="0" applyFont="1" applyFill="1" applyBorder="1" applyProtection="1"/>
    <xf numFmtId="0" fontId="91" fillId="0" borderId="0" xfId="0" quotePrefix="1" applyFont="1" applyFill="1" applyBorder="1" applyAlignment="1" applyProtection="1">
      <alignment horizontal="right" vertical="top"/>
    </xf>
    <xf numFmtId="174" fontId="0" fillId="0" borderId="0" xfId="0" applyNumberFormat="1" applyFont="1"/>
    <xf numFmtId="174" fontId="11" fillId="2" borderId="0" xfId="0" applyNumberFormat="1" applyFont="1" applyFill="1"/>
    <xf numFmtId="174" fontId="0" fillId="0" borderId="0" xfId="0" quotePrefix="1" applyNumberFormat="1"/>
    <xf numFmtId="174" fontId="0" fillId="0" borderId="47" xfId="0" applyNumberFormat="1" applyFill="1" applyBorder="1"/>
    <xf numFmtId="175" fontId="154" fillId="2" borderId="0" xfId="0" applyNumberFormat="1" applyFont="1" applyFill="1"/>
    <xf numFmtId="174" fontId="0" fillId="0" borderId="51" xfId="0" applyNumberFormat="1" applyFill="1" applyBorder="1"/>
    <xf numFmtId="174" fontId="0" fillId="0" borderId="124" xfId="0" applyNumberFormat="1" applyFill="1" applyBorder="1"/>
    <xf numFmtId="175" fontId="0" fillId="0" borderId="125" xfId="0" applyNumberFormat="1" applyFill="1" applyBorder="1"/>
    <xf numFmtId="174" fontId="0" fillId="0" borderId="56" xfId="0" applyNumberFormat="1" applyFill="1" applyBorder="1"/>
    <xf numFmtId="175" fontId="0" fillId="0" borderId="126" xfId="0" applyNumberFormat="1" applyFill="1" applyBorder="1"/>
    <xf numFmtId="174" fontId="0" fillId="0" borderId="123" xfId="0" applyNumberFormat="1" applyFill="1" applyBorder="1"/>
    <xf numFmtId="175" fontId="0" fillId="0" borderId="142" xfId="0" applyNumberFormat="1" applyFill="1" applyBorder="1"/>
    <xf numFmtId="174" fontId="0" fillId="0" borderId="143" xfId="0" applyNumberFormat="1" applyFill="1" applyBorder="1"/>
    <xf numFmtId="172" fontId="0" fillId="0" borderId="144" xfId="0" applyNumberFormat="1" applyFill="1" applyBorder="1"/>
    <xf numFmtId="174" fontId="0" fillId="0" borderId="145" xfId="0" applyNumberFormat="1" applyFill="1" applyBorder="1"/>
    <xf numFmtId="0" fontId="167" fillId="0" borderId="0" xfId="8" applyFont="1" applyAlignment="1" applyProtection="1">
      <alignment horizontal="left"/>
    </xf>
    <xf numFmtId="174" fontId="152" fillId="0" borderId="65" xfId="0" applyNumberFormat="1" applyFont="1" applyBorder="1" applyAlignment="1" applyProtection="1">
      <alignment horizontal="right"/>
    </xf>
    <xf numFmtId="38" fontId="95" fillId="0" borderId="0" xfId="8" applyNumberFormat="1" applyFont="1" applyFill="1" applyBorder="1" applyProtection="1"/>
    <xf numFmtId="174" fontId="168" fillId="0" borderId="0" xfId="0" applyNumberFormat="1" applyFont="1" applyBorder="1" applyAlignment="1" applyProtection="1">
      <alignment horizontal="right"/>
    </xf>
    <xf numFmtId="174" fontId="105" fillId="0" borderId="0" xfId="0" applyNumberFormat="1" applyFont="1" applyBorder="1" applyProtection="1"/>
    <xf numFmtId="175" fontId="95" fillId="0" borderId="0" xfId="8" applyNumberFormat="1" applyFont="1" applyProtection="1"/>
    <xf numFmtId="0" fontId="169" fillId="0" borderId="57" xfId="0" applyFont="1" applyBorder="1" applyProtection="1"/>
    <xf numFmtId="172" fontId="104" fillId="0" borderId="57" xfId="0" applyNumberFormat="1" applyFont="1" applyBorder="1" applyAlignment="1" applyProtection="1">
      <alignment horizontal="right"/>
    </xf>
    <xf numFmtId="174" fontId="170" fillId="0" borderId="57" xfId="0" applyNumberFormat="1" applyFont="1" applyBorder="1" applyAlignment="1" applyProtection="1">
      <alignment horizontal="right"/>
    </xf>
    <xf numFmtId="174" fontId="171" fillId="0" borderId="57" xfId="0" applyNumberFormat="1" applyFont="1" applyBorder="1" applyProtection="1"/>
    <xf numFmtId="175" fontId="94" fillId="0" borderId="0" xfId="8" applyNumberFormat="1" applyFont="1" applyProtection="1"/>
    <xf numFmtId="174" fontId="95" fillId="0" borderId="0" xfId="8" applyNumberFormat="1" applyFont="1" applyFill="1" applyBorder="1" applyProtection="1"/>
    <xf numFmtId="172" fontId="95" fillId="2" borderId="0" xfId="8" applyNumberFormat="1" applyFont="1" applyFill="1" applyBorder="1" applyProtection="1">
      <protection locked="0"/>
    </xf>
    <xf numFmtId="174" fontId="92" fillId="0" borderId="65" xfId="0" applyNumberFormat="1" applyFont="1" applyBorder="1" applyProtection="1"/>
    <xf numFmtId="172" fontId="116" fillId="2" borderId="102" xfId="8" applyNumberFormat="1" applyFont="1" applyFill="1" applyBorder="1" applyProtection="1">
      <protection locked="0"/>
    </xf>
    <xf numFmtId="172" fontId="95" fillId="0" borderId="0" xfId="8" applyNumberFormat="1" applyFont="1" applyProtection="1"/>
    <xf numFmtId="0" fontId="94" fillId="0" borderId="0" xfId="8" applyFont="1" applyFill="1" applyBorder="1" applyAlignment="1" applyProtection="1">
      <alignment horizontal="center" wrapText="1"/>
    </xf>
    <xf numFmtId="0" fontId="94" fillId="0" borderId="0" xfId="8" quotePrefix="1" applyFont="1" applyBorder="1" applyAlignment="1" applyProtection="1">
      <alignment horizontal="center" wrapText="1"/>
    </xf>
    <xf numFmtId="0" fontId="95" fillId="0" borderId="0" xfId="8" applyFont="1" applyFill="1" applyBorder="1" applyAlignment="1" applyProtection="1">
      <alignment horizontal="center" wrapText="1"/>
    </xf>
    <xf numFmtId="172" fontId="95" fillId="0" borderId="0" xfId="6" applyNumberFormat="1" applyFont="1" applyFill="1" applyBorder="1" applyAlignment="1" applyProtection="1">
      <alignment horizontal="center"/>
    </xf>
    <xf numFmtId="14" fontId="95" fillId="0" borderId="0" xfId="6" applyNumberFormat="1" applyFont="1" applyFill="1" applyBorder="1" applyAlignment="1" applyProtection="1">
      <alignment horizontal="center"/>
    </xf>
    <xf numFmtId="0" fontId="95" fillId="0" borderId="0" xfId="8" quotePrefix="1" applyFont="1" applyFill="1" applyBorder="1" applyAlignment="1" applyProtection="1">
      <alignment horizontal="center" wrapText="1"/>
    </xf>
    <xf numFmtId="172" fontId="95" fillId="0" borderId="0" xfId="8" quotePrefix="1" applyNumberFormat="1" applyFont="1" applyFill="1" applyBorder="1" applyAlignment="1" applyProtection="1">
      <alignment horizontal="center" wrapText="1"/>
    </xf>
    <xf numFmtId="174" fontId="95" fillId="0" borderId="57" xfId="8" applyNumberFormat="1" applyFont="1" applyBorder="1" applyProtection="1"/>
    <xf numFmtId="0" fontId="92" fillId="63" borderId="57" xfId="0" applyFont="1" applyFill="1" applyBorder="1" applyAlignment="1">
      <alignment wrapText="1"/>
    </xf>
    <xf numFmtId="0" fontId="92" fillId="63" borderId="65" xfId="0" applyFont="1" applyFill="1" applyBorder="1" applyAlignment="1">
      <alignment wrapText="1"/>
    </xf>
    <xf numFmtId="0" fontId="92" fillId="0" borderId="69" xfId="0" applyFont="1" applyFill="1" applyBorder="1" applyAlignment="1" applyProtection="1">
      <alignment horizontal="center"/>
    </xf>
    <xf numFmtId="0" fontId="64" fillId="0" borderId="0" xfId="8" applyFont="1" applyBorder="1" applyAlignment="1" applyProtection="1">
      <alignment horizontal="center"/>
    </xf>
    <xf numFmtId="0" fontId="135" fillId="0" borderId="0" xfId="0" applyFont="1" applyAlignment="1">
      <alignment horizontal="center"/>
    </xf>
    <xf numFmtId="172" fontId="15" fillId="0" borderId="57" xfId="6628" applyNumberFormat="1" applyFont="1" applyBorder="1" applyAlignment="1">
      <alignment horizontal="center"/>
    </xf>
    <xf numFmtId="196" fontId="91" fillId="0" borderId="57" xfId="0" applyNumberFormat="1" applyFont="1" applyBorder="1" applyProtection="1">
      <protection locked="0"/>
    </xf>
    <xf numFmtId="196" fontId="92" fillId="0" borderId="57" xfId="0" applyNumberFormat="1" applyFont="1" applyBorder="1" applyProtection="1">
      <protection locked="0"/>
    </xf>
    <xf numFmtId="172" fontId="95" fillId="0" borderId="102" xfId="8" applyNumberFormat="1" applyFont="1" applyFill="1" applyBorder="1" applyProtection="1">
      <protection locked="0"/>
    </xf>
    <xf numFmtId="174" fontId="94" fillId="0" borderId="103" xfId="8" applyNumberFormat="1" applyFont="1" applyFill="1" applyBorder="1" applyProtection="1">
      <protection locked="0"/>
    </xf>
    <xf numFmtId="0" fontId="91" fillId="68" borderId="0" xfId="0" applyFont="1" applyFill="1" applyBorder="1"/>
    <xf numFmtId="172" fontId="91" fillId="68" borderId="0" xfId="0" applyNumberFormat="1" applyFont="1" applyFill="1" applyBorder="1"/>
    <xf numFmtId="0" fontId="11" fillId="0" borderId="1" xfId="0" applyFont="1" applyBorder="1" applyAlignment="1" applyProtection="1">
      <alignment horizontal="right" wrapText="1"/>
    </xf>
    <xf numFmtId="0" fontId="11" fillId="0" borderId="1" xfId="0" applyFont="1" applyBorder="1" applyAlignment="1">
      <alignment horizontal="right" wrapText="1"/>
    </xf>
    <xf numFmtId="0" fontId="135" fillId="0" borderId="0" xfId="0" applyFont="1" applyFill="1" applyProtection="1"/>
    <xf numFmtId="0" fontId="0" fillId="0" borderId="0" xfId="0" applyFill="1" applyProtection="1"/>
    <xf numFmtId="0" fontId="83" fillId="0" borderId="0" xfId="0" applyFont="1" applyFill="1" applyProtection="1"/>
    <xf numFmtId="174" fontId="0" fillId="0" borderId="0" xfId="0" applyNumberFormat="1" applyFill="1" applyProtection="1"/>
    <xf numFmtId="0" fontId="83" fillId="0" borderId="47" xfId="0" applyFont="1" applyFill="1" applyBorder="1" applyProtection="1"/>
    <xf numFmtId="172" fontId="0" fillId="0" borderId="47" xfId="0" applyNumberFormat="1" applyFill="1" applyBorder="1" applyProtection="1"/>
    <xf numFmtId="0" fontId="83" fillId="0" borderId="75" xfId="0" applyFont="1" applyFill="1" applyBorder="1" applyProtection="1"/>
    <xf numFmtId="172" fontId="0" fillId="0" borderId="75" xfId="0" applyNumberFormat="1" applyFill="1" applyBorder="1" applyProtection="1"/>
    <xf numFmtId="172" fontId="0" fillId="63" borderId="75" xfId="0" applyNumberFormat="1" applyFill="1" applyBorder="1" applyProtection="1"/>
    <xf numFmtId="190" fontId="0" fillId="0" borderId="1" xfId="0" applyNumberFormat="1" applyBorder="1"/>
    <xf numFmtId="174" fontId="0" fillId="0" borderId="75" xfId="0" applyNumberFormat="1" applyFill="1" applyBorder="1"/>
    <xf numFmtId="0" fontId="92" fillId="63" borderId="5" xfId="0" applyFont="1" applyFill="1" applyBorder="1" applyAlignment="1" applyProtection="1">
      <alignment horizontal="left"/>
    </xf>
    <xf numFmtId="174" fontId="92" fillId="63" borderId="6" xfId="0" applyNumberFormat="1" applyFont="1" applyFill="1" applyBorder="1" applyAlignment="1" applyProtection="1">
      <alignment horizontal="center"/>
    </xf>
    <xf numFmtId="175" fontId="92" fillId="63" borderId="6" xfId="0" applyNumberFormat="1" applyFont="1" applyFill="1" applyBorder="1" applyAlignment="1" applyProtection="1">
      <alignment horizontal="center"/>
    </xf>
    <xf numFmtId="174" fontId="92" fillId="63" borderId="6" xfId="0" applyNumberFormat="1" applyFont="1" applyFill="1" applyBorder="1" applyAlignment="1" applyProtection="1">
      <alignment horizontal="right"/>
    </xf>
    <xf numFmtId="0" fontId="96" fillId="2" borderId="48" xfId="0" applyFont="1" applyFill="1" applyBorder="1" applyAlignment="1" applyProtection="1">
      <protection locked="0"/>
    </xf>
    <xf numFmtId="0" fontId="96" fillId="2" borderId="48" xfId="0" quotePrefix="1" applyFont="1" applyFill="1" applyBorder="1" applyAlignment="1" applyProtection="1">
      <protection locked="0"/>
    </xf>
    <xf numFmtId="0" fontId="96" fillId="2" borderId="107" xfId="0" applyFont="1" applyFill="1" applyBorder="1" applyAlignment="1" applyProtection="1">
      <protection locked="0"/>
    </xf>
    <xf numFmtId="0" fontId="96" fillId="2" borderId="48" xfId="0" applyFont="1" applyFill="1" applyBorder="1" applyAlignment="1" applyProtection="1">
      <protection locked="0"/>
    </xf>
    <xf numFmtId="187" fontId="0" fillId="0" borderId="0" xfId="0" applyNumberFormat="1"/>
    <xf numFmtId="190" fontId="0" fillId="2" borderId="0" xfId="0" applyNumberFormat="1" applyFill="1" applyAlignment="1" applyProtection="1">
      <alignment horizontal="right"/>
    </xf>
    <xf numFmtId="8" fontId="0" fillId="0" borderId="0" xfId="0" applyNumberFormat="1"/>
    <xf numFmtId="0" fontId="0" fillId="0" borderId="0" xfId="0" quotePrefix="1"/>
    <xf numFmtId="172" fontId="2" fillId="67" borderId="0" xfId="6628" applyNumberFormat="1" applyFill="1"/>
    <xf numFmtId="0" fontId="107" fillId="0" borderId="55" xfId="0" applyFont="1" applyBorder="1" applyAlignment="1">
      <alignment horizontal="center"/>
    </xf>
    <xf numFmtId="0" fontId="118" fillId="2" borderId="55" xfId="0" applyFont="1" applyFill="1" applyBorder="1" applyAlignment="1" applyProtection="1">
      <alignment horizontal="center"/>
      <protection locked="0"/>
    </xf>
    <xf numFmtId="0" fontId="92" fillId="0" borderId="0" xfId="0" applyFont="1" applyAlignment="1" applyProtection="1"/>
    <xf numFmtId="0" fontId="96" fillId="2" borderId="146" xfId="0" applyFont="1" applyFill="1" applyBorder="1" applyAlignment="1" applyProtection="1">
      <protection locked="0"/>
    </xf>
    <xf numFmtId="172" fontId="96" fillId="74" borderId="55" xfId="0" applyNumberFormat="1" applyFont="1" applyFill="1" applyBorder="1" applyAlignment="1" applyProtection="1">
      <alignment horizontal="right" wrapText="1"/>
      <protection locked="0"/>
    </xf>
    <xf numFmtId="172" fontId="96" fillId="74" borderId="55" xfId="0" applyNumberFormat="1" applyFont="1" applyFill="1" applyBorder="1" applyAlignment="1" applyProtection="1">
      <alignment horizontal="right"/>
      <protection locked="0"/>
    </xf>
    <xf numFmtId="172" fontId="96" fillId="2" borderId="49" xfId="13118" applyNumberFormat="1" applyFont="1" applyFill="1" applyBorder="1" applyProtection="1">
      <protection locked="0"/>
    </xf>
    <xf numFmtId="174" fontId="96" fillId="2" borderId="48" xfId="13118" applyNumberFormat="1" applyFont="1" applyFill="1" applyBorder="1" applyProtection="1">
      <protection locked="0"/>
    </xf>
    <xf numFmtId="0" fontId="169" fillId="0" borderId="0" xfId="0" applyFont="1" applyBorder="1" applyProtection="1"/>
    <xf numFmtId="172" fontId="104" fillId="0" borderId="0" xfId="0" applyNumberFormat="1" applyFont="1" applyBorder="1" applyAlignment="1" applyProtection="1">
      <alignment horizontal="right"/>
    </xf>
    <xf numFmtId="174" fontId="170" fillId="0" borderId="0" xfId="0" applyNumberFormat="1" applyFont="1" applyBorder="1" applyAlignment="1" applyProtection="1">
      <alignment horizontal="right"/>
    </xf>
    <xf numFmtId="174" fontId="171" fillId="0" borderId="0" xfId="0" applyNumberFormat="1" applyFont="1" applyBorder="1" applyProtection="1"/>
    <xf numFmtId="0" fontId="104" fillId="66" borderId="59" xfId="0" applyFont="1" applyFill="1" applyBorder="1" applyProtection="1"/>
    <xf numFmtId="0" fontId="92" fillId="66" borderId="57" xfId="0" applyFont="1" applyFill="1" applyBorder="1" applyAlignment="1" applyProtection="1">
      <alignment horizontal="center"/>
    </xf>
    <xf numFmtId="0" fontId="92" fillId="66" borderId="40" xfId="0" applyFont="1" applyFill="1" applyBorder="1" applyAlignment="1" applyProtection="1">
      <alignment horizontal="center"/>
    </xf>
    <xf numFmtId="188" fontId="92" fillId="66" borderId="63" xfId="0" applyNumberFormat="1" applyFont="1" applyFill="1" applyBorder="1" applyAlignment="1" applyProtection="1">
      <alignment horizontal="center"/>
    </xf>
    <xf numFmtId="188" fontId="92" fillId="66" borderId="65" xfId="0" applyNumberFormat="1" applyFont="1" applyFill="1" applyBorder="1" applyAlignment="1" applyProtection="1">
      <alignment horizontal="center"/>
    </xf>
    <xf numFmtId="189" fontId="92" fillId="66" borderId="65" xfId="0" applyNumberFormat="1" applyFont="1" applyFill="1" applyBorder="1" applyAlignment="1" applyProtection="1">
      <alignment horizontal="center"/>
    </xf>
    <xf numFmtId="189" fontId="92" fillId="66" borderId="63" xfId="0" applyNumberFormat="1" applyFont="1" applyFill="1" applyBorder="1" applyAlignment="1" applyProtection="1">
      <alignment horizontal="center"/>
    </xf>
    <xf numFmtId="0" fontId="104" fillId="66" borderId="15" xfId="0" applyFont="1" applyFill="1" applyBorder="1" applyProtection="1"/>
    <xf numFmtId="0" fontId="92" fillId="66" borderId="1" xfId="0" applyFont="1" applyFill="1" applyBorder="1" applyAlignment="1" applyProtection="1">
      <alignment horizontal="center"/>
    </xf>
    <xf numFmtId="0" fontId="92" fillId="66" borderId="17" xfId="0" quotePrefix="1" applyFont="1" applyFill="1" applyBorder="1" applyAlignment="1" applyProtection="1">
      <alignment horizontal="center"/>
    </xf>
    <xf numFmtId="188" fontId="92" fillId="66" borderId="58" xfId="0" applyNumberFormat="1" applyFont="1" applyFill="1" applyBorder="1" applyAlignment="1" applyProtection="1">
      <alignment horizontal="center"/>
    </xf>
    <xf numFmtId="188" fontId="92" fillId="66" borderId="15" xfId="0" applyNumberFormat="1" applyFont="1" applyFill="1" applyBorder="1" applyAlignment="1" applyProtection="1">
      <alignment horizontal="center"/>
    </xf>
    <xf numFmtId="188" fontId="92" fillId="66" borderId="1" xfId="0" applyNumberFormat="1" applyFont="1" applyFill="1" applyBorder="1" applyAlignment="1" applyProtection="1">
      <alignment horizontal="center"/>
    </xf>
    <xf numFmtId="188" fontId="92" fillId="66" borderId="14" xfId="0" applyNumberFormat="1" applyFont="1" applyFill="1" applyBorder="1" applyAlignment="1" applyProtection="1">
      <alignment horizontal="center"/>
    </xf>
    <xf numFmtId="172" fontId="91" fillId="0" borderId="0" xfId="0" quotePrefix="1" applyNumberFormat="1" applyFont="1" applyFill="1" applyAlignment="1" applyProtection="1">
      <alignment horizontal="right" vertical="top"/>
    </xf>
    <xf numFmtId="196" fontId="91" fillId="0" borderId="47" xfId="0" applyNumberFormat="1" applyFont="1" applyFill="1" applyBorder="1" applyProtection="1">
      <protection locked="0"/>
    </xf>
    <xf numFmtId="196" fontId="91" fillId="0" borderId="47" xfId="0" quotePrefix="1" applyNumberFormat="1" applyFont="1" applyFill="1" applyBorder="1" applyProtection="1">
      <protection locked="0"/>
    </xf>
    <xf numFmtId="196" fontId="91" fillId="0" borderId="50" xfId="0" applyNumberFormat="1" applyFont="1" applyFill="1" applyBorder="1" applyProtection="1">
      <protection locked="0"/>
    </xf>
    <xf numFmtId="196" fontId="91" fillId="0" borderId="0" xfId="0" applyNumberFormat="1" applyFont="1" applyBorder="1" applyProtection="1">
      <protection locked="0"/>
    </xf>
    <xf numFmtId="196" fontId="92" fillId="0" borderId="0" xfId="0" applyNumberFormat="1" applyFont="1" applyBorder="1" applyProtection="1">
      <protection locked="0"/>
    </xf>
    <xf numFmtId="172" fontId="89" fillId="0" borderId="0" xfId="9" applyNumberFormat="1" applyFont="1" applyFill="1" applyBorder="1" applyAlignment="1" applyProtection="1">
      <alignment vertical="top"/>
      <protection locked="0"/>
    </xf>
    <xf numFmtId="175" fontId="89" fillId="0" borderId="0" xfId="9" applyNumberFormat="1" applyFont="1" applyFill="1" applyBorder="1" applyAlignment="1" applyProtection="1">
      <alignment vertical="top"/>
      <protection locked="0"/>
    </xf>
    <xf numFmtId="172" fontId="89" fillId="0" borderId="57" xfId="9" applyNumberFormat="1" applyFont="1" applyFill="1" applyBorder="1" applyAlignment="1" applyProtection="1">
      <alignment vertical="top"/>
      <protection locked="0"/>
    </xf>
    <xf numFmtId="0" fontId="91" fillId="3" borderId="50" xfId="0" applyFont="1" applyFill="1" applyBorder="1"/>
    <xf numFmtId="0" fontId="91" fillId="0" borderId="50" xfId="0" applyFont="1" applyBorder="1"/>
    <xf numFmtId="9" fontId="89" fillId="0" borderId="102" xfId="9" applyFont="1" applyFill="1" applyBorder="1" applyAlignment="1" applyProtection="1">
      <alignment horizontal="center" vertical="top"/>
      <protection locked="0"/>
    </xf>
    <xf numFmtId="175" fontId="90" fillId="0" borderId="102" xfId="9" applyNumberFormat="1" applyFont="1" applyFill="1" applyBorder="1" applyAlignment="1" applyProtection="1">
      <alignment horizontal="right" vertical="top"/>
      <protection locked="0"/>
    </xf>
    <xf numFmtId="172" fontId="91" fillId="0" borderId="103" xfId="9" applyNumberFormat="1" applyFont="1" applyFill="1" applyBorder="1" applyAlignment="1" applyProtection="1">
      <alignment horizontal="center" vertical="top"/>
    </xf>
    <xf numFmtId="172" fontId="91" fillId="0" borderId="103" xfId="9" applyNumberFormat="1" applyFont="1" applyFill="1" applyBorder="1" applyAlignment="1" applyProtection="1">
      <alignment horizontal="right" vertical="top"/>
    </xf>
    <xf numFmtId="0" fontId="91" fillId="0" borderId="103" xfId="0" applyFont="1" applyFill="1" applyBorder="1" applyProtection="1">
      <protection locked="0"/>
    </xf>
    <xf numFmtId="0" fontId="92" fillId="0" borderId="0" xfId="0" applyFont="1" applyFill="1" applyProtection="1">
      <protection locked="0"/>
    </xf>
    <xf numFmtId="0" fontId="92" fillId="63" borderId="1" xfId="0" applyFont="1" applyFill="1" applyBorder="1" applyProtection="1">
      <protection locked="0"/>
    </xf>
    <xf numFmtId="0" fontId="91" fillId="63" borderId="1" xfId="0" applyFont="1" applyFill="1" applyBorder="1" applyAlignment="1" applyProtection="1">
      <alignment horizontal="center"/>
      <protection locked="0"/>
    </xf>
    <xf numFmtId="0" fontId="91" fillId="63" borderId="1" xfId="0" applyFont="1" applyFill="1" applyBorder="1" applyProtection="1">
      <protection locked="0"/>
    </xf>
    <xf numFmtId="0" fontId="92" fillId="63" borderId="1" xfId="0" applyFont="1" applyFill="1" applyBorder="1" applyAlignment="1" applyProtection="1">
      <alignment horizontal="right"/>
      <protection locked="0"/>
    </xf>
    <xf numFmtId="9" fontId="92" fillId="63" borderId="1" xfId="9" applyFont="1" applyFill="1" applyBorder="1" applyAlignment="1" applyProtection="1">
      <alignment horizontal="center" vertical="top"/>
      <protection locked="0"/>
    </xf>
    <xf numFmtId="172" fontId="101" fillId="63" borderId="1" xfId="9" applyNumberFormat="1" applyFont="1" applyFill="1" applyBorder="1" applyAlignment="1" applyProtection="1">
      <alignment vertical="top"/>
      <protection locked="0"/>
    </xf>
    <xf numFmtId="0" fontId="92" fillId="63" borderId="0" xfId="0" applyFont="1" applyFill="1" applyBorder="1"/>
    <xf numFmtId="0" fontId="91" fillId="3" borderId="51" xfId="0" applyFont="1" applyFill="1" applyBorder="1"/>
    <xf numFmtId="9" fontId="89" fillId="0" borderId="66" xfId="9" applyFont="1" applyFill="1" applyBorder="1" applyAlignment="1" applyProtection="1">
      <alignment horizontal="center" vertical="top"/>
      <protection locked="0"/>
    </xf>
    <xf numFmtId="175" fontId="90" fillId="0" borderId="66" xfId="9" applyNumberFormat="1" applyFont="1" applyFill="1" applyBorder="1" applyAlignment="1" applyProtection="1">
      <alignment horizontal="right" vertical="top"/>
      <protection locked="0"/>
    </xf>
    <xf numFmtId="175" fontId="91" fillId="63" borderId="1" xfId="0" applyNumberFormat="1" applyFont="1" applyFill="1" applyBorder="1"/>
    <xf numFmtId="0" fontId="91" fillId="63" borderId="1" xfId="0" applyFont="1" applyFill="1" applyBorder="1" applyAlignment="1">
      <alignment horizontal="right"/>
    </xf>
    <xf numFmtId="0" fontId="92" fillId="63" borderId="1" xfId="0" applyFont="1" applyFill="1" applyBorder="1" applyAlignment="1">
      <alignment horizontal="right"/>
    </xf>
    <xf numFmtId="0" fontId="92" fillId="63" borderId="0" xfId="0" applyFont="1" applyFill="1" applyBorder="1" applyProtection="1"/>
    <xf numFmtId="9" fontId="92" fillId="63" borderId="0" xfId="9" applyFont="1" applyFill="1" applyBorder="1" applyAlignment="1" applyProtection="1">
      <alignment horizontal="center" vertical="top"/>
      <protection locked="0"/>
    </xf>
    <xf numFmtId="172" fontId="91" fillId="63" borderId="0" xfId="0" applyNumberFormat="1" applyFont="1" applyFill="1" applyBorder="1"/>
    <xf numFmtId="0" fontId="107" fillId="63" borderId="0" xfId="0" applyFont="1" applyFill="1" applyBorder="1" applyAlignment="1" applyProtection="1">
      <alignment horizontal="center" vertical="top"/>
    </xf>
    <xf numFmtId="0" fontId="104" fillId="63" borderId="0" xfId="0" applyFont="1" applyFill="1" applyBorder="1" applyAlignment="1" applyProtection="1">
      <alignment horizontal="center" vertical="top"/>
    </xf>
    <xf numFmtId="0" fontId="91" fillId="63" borderId="0" xfId="0" applyFont="1" applyFill="1"/>
    <xf numFmtId="196" fontId="173" fillId="2" borderId="47" xfId="0" applyNumberFormat="1" applyFont="1" applyFill="1" applyBorder="1" applyProtection="1">
      <protection locked="0"/>
    </xf>
    <xf numFmtId="0" fontId="105" fillId="0" borderId="0" xfId="0" applyFont="1" applyBorder="1" applyAlignment="1" applyProtection="1">
      <alignment horizontal="left"/>
    </xf>
    <xf numFmtId="174" fontId="91" fillId="0" borderId="0" xfId="0" applyNumberFormat="1" applyFont="1" applyBorder="1" applyAlignment="1" applyProtection="1">
      <alignment horizontal="center"/>
    </xf>
    <xf numFmtId="0" fontId="105" fillId="74" borderId="0" xfId="0" applyFont="1" applyFill="1" applyBorder="1" applyAlignment="1" applyProtection="1">
      <alignment horizontal="left"/>
    </xf>
    <xf numFmtId="174" fontId="91" fillId="74" borderId="0" xfId="0" applyNumberFormat="1" applyFont="1" applyFill="1" applyBorder="1" applyAlignment="1" applyProtection="1">
      <alignment horizontal="center"/>
    </xf>
    <xf numFmtId="174" fontId="92" fillId="74" borderId="0" xfId="0" applyNumberFormat="1" applyFont="1" applyFill="1" applyBorder="1" applyAlignment="1" applyProtection="1">
      <alignment horizontal="center"/>
    </xf>
    <xf numFmtId="0" fontId="137" fillId="0" borderId="0" xfId="0" applyFont="1" applyAlignment="1">
      <alignment horizontal="left"/>
    </xf>
    <xf numFmtId="217" fontId="92" fillId="0" borderId="6" xfId="0" applyNumberFormat="1" applyFont="1" applyBorder="1" applyAlignment="1" applyProtection="1">
      <alignment horizontal="right"/>
    </xf>
    <xf numFmtId="0" fontId="91" fillId="0" borderId="5" xfId="0" applyFont="1" applyFill="1" applyBorder="1"/>
    <xf numFmtId="174" fontId="91" fillId="0" borderId="6" xfId="0" applyNumberFormat="1" applyFont="1" applyFill="1" applyBorder="1" applyAlignment="1">
      <alignment horizontal="right"/>
    </xf>
    <xf numFmtId="0" fontId="91" fillId="0" borderId="6" xfId="0" applyFont="1" applyFill="1" applyBorder="1"/>
    <xf numFmtId="174" fontId="91" fillId="0" borderId="6" xfId="0" applyNumberFormat="1" applyFont="1" applyFill="1" applyBorder="1" applyAlignment="1" applyProtection="1">
      <alignment horizontal="right"/>
    </xf>
    <xf numFmtId="0" fontId="129" fillId="0" borderId="0" xfId="0" applyFont="1" applyAlignment="1">
      <alignment horizontal="left" indent="1"/>
    </xf>
    <xf numFmtId="172" fontId="91" fillId="0" borderId="0" xfId="0" quotePrefix="1" applyNumberFormat="1" applyFont="1" applyAlignment="1">
      <alignment horizontal="right"/>
    </xf>
    <xf numFmtId="172" fontId="91" fillId="0" borderId="0" xfId="0" applyNumberFormat="1" applyFont="1" applyAlignment="1">
      <alignment horizontal="right"/>
    </xf>
    <xf numFmtId="196" fontId="91" fillId="0" borderId="0" xfId="0" applyNumberFormat="1" applyFont="1" applyAlignment="1">
      <alignment horizontal="right"/>
    </xf>
    <xf numFmtId="0" fontId="92" fillId="66" borderId="1" xfId="0" applyFont="1" applyFill="1" applyBorder="1"/>
    <xf numFmtId="174" fontId="91" fillId="66" borderId="1" xfId="0" applyNumberFormat="1" applyFont="1" applyFill="1" applyBorder="1" applyAlignment="1">
      <alignment horizontal="right"/>
    </xf>
    <xf numFmtId="0" fontId="91" fillId="66" borderId="1" xfId="0" applyFont="1" applyFill="1" applyBorder="1"/>
    <xf numFmtId="172" fontId="91" fillId="66" borderId="1" xfId="0" applyNumberFormat="1" applyFont="1" applyFill="1" applyBorder="1" applyProtection="1"/>
    <xf numFmtId="174" fontId="96" fillId="0" borderId="0" xfId="0" applyNumberFormat="1" applyFont="1" applyFill="1" applyBorder="1" applyAlignment="1" applyProtection="1">
      <alignment horizontal="right"/>
      <protection locked="0"/>
    </xf>
    <xf numFmtId="174" fontId="90" fillId="0" borderId="0" xfId="0" applyNumberFormat="1" applyFont="1" applyFill="1" applyBorder="1" applyAlignment="1" applyProtection="1">
      <alignment horizontal="right"/>
      <protection locked="0"/>
    </xf>
    <xf numFmtId="174" fontId="90" fillId="0" borderId="57" xfId="0" applyNumberFormat="1" applyFont="1" applyFill="1" applyBorder="1" applyAlignment="1" applyProtection="1">
      <alignment horizontal="right"/>
      <protection locked="0"/>
    </xf>
    <xf numFmtId="174" fontId="96" fillId="2" borderId="57" xfId="0" applyNumberFormat="1" applyFont="1" applyFill="1" applyBorder="1" applyAlignment="1" applyProtection="1">
      <alignment horizontal="right"/>
      <protection locked="0"/>
    </xf>
    <xf numFmtId="0" fontId="91" fillId="63" borderId="1" xfId="0" applyFont="1" applyFill="1" applyBorder="1" applyAlignment="1" applyProtection="1">
      <alignment horizontal="right"/>
      <protection locked="0"/>
    </xf>
    <xf numFmtId="196" fontId="114" fillId="0" borderId="0" xfId="0" applyNumberFormat="1" applyFont="1"/>
    <xf numFmtId="195" fontId="92" fillId="64" borderId="65" xfId="0" applyNumberFormat="1" applyFont="1" applyFill="1" applyBorder="1" applyAlignment="1">
      <alignment horizontal="right"/>
    </xf>
    <xf numFmtId="195" fontId="92" fillId="64" borderId="63" xfId="0" applyNumberFormat="1" applyFont="1" applyFill="1" applyBorder="1" applyAlignment="1">
      <alignment horizontal="right"/>
    </xf>
    <xf numFmtId="0" fontId="92" fillId="64" borderId="105" xfId="0" applyFont="1" applyFill="1" applyBorder="1" applyAlignment="1">
      <alignment horizontal="right"/>
    </xf>
    <xf numFmtId="0" fontId="92" fillId="64" borderId="106" xfId="0" applyFont="1" applyFill="1" applyBorder="1" applyAlignment="1">
      <alignment horizontal="right"/>
    </xf>
    <xf numFmtId="0" fontId="92" fillId="64" borderId="1" xfId="0" applyFont="1" applyFill="1" applyBorder="1" applyAlignment="1">
      <alignment horizontal="right"/>
    </xf>
    <xf numFmtId="0" fontId="92" fillId="64" borderId="14" xfId="0" applyFont="1" applyFill="1" applyBorder="1" applyAlignment="1">
      <alignment horizontal="right"/>
    </xf>
    <xf numFmtId="174" fontId="15" fillId="0" borderId="57" xfId="6628" applyNumberFormat="1" applyFont="1" applyBorder="1"/>
    <xf numFmtId="172" fontId="15" fillId="0" borderId="0" xfId="6628" applyNumberFormat="1" applyFont="1" applyAlignment="1">
      <alignment horizontal="left"/>
    </xf>
    <xf numFmtId="172" fontId="15" fillId="0" borderId="0" xfId="6628" applyNumberFormat="1" applyFont="1"/>
    <xf numFmtId="174" fontId="2" fillId="2" borderId="0" xfId="6628" applyNumberFormat="1" applyFill="1"/>
    <xf numFmtId="195" fontId="92" fillId="64" borderId="69" xfId="0" applyNumberFormat="1" applyFont="1" applyFill="1" applyBorder="1" applyAlignment="1">
      <alignment horizontal="right"/>
    </xf>
    <xf numFmtId="0" fontId="92" fillId="64" borderId="104" xfId="0" applyFont="1" applyFill="1" applyBorder="1" applyAlignment="1">
      <alignment horizontal="right"/>
    </xf>
    <xf numFmtId="0" fontId="92" fillId="64" borderId="15" xfId="0" applyFont="1" applyFill="1" applyBorder="1" applyAlignment="1">
      <alignment horizontal="right"/>
    </xf>
    <xf numFmtId="0" fontId="175" fillId="0" borderId="147" xfId="0" applyFont="1" applyBorder="1" applyAlignment="1">
      <alignment vertical="center" wrapText="1"/>
    </xf>
    <xf numFmtId="0" fontId="109" fillId="65" borderId="55" xfId="0" applyFont="1" applyFill="1" applyBorder="1" applyProtection="1"/>
    <xf numFmtId="0" fontId="175" fillId="0" borderId="0" xfId="0" applyFont="1" applyFill="1" applyBorder="1" applyAlignment="1" applyProtection="1">
      <alignment vertical="center" wrapText="1"/>
    </xf>
    <xf numFmtId="174" fontId="0" fillId="0" borderId="0" xfId="0" applyNumberFormat="1" applyProtection="1"/>
    <xf numFmtId="174" fontId="8" fillId="0" borderId="0" xfId="4" applyNumberFormat="1" applyFont="1" applyProtection="1"/>
    <xf numFmtId="218" fontId="11" fillId="0" borderId="1" xfId="0" applyNumberFormat="1" applyFont="1" applyBorder="1" applyAlignment="1" applyProtection="1">
      <alignment horizontal="right"/>
    </xf>
    <xf numFmtId="219" fontId="11" fillId="0" borderId="1" xfId="0" applyNumberFormat="1" applyFont="1" applyBorder="1" applyAlignment="1" applyProtection="1">
      <alignment horizontal="right"/>
    </xf>
    <xf numFmtId="43" fontId="11" fillId="0" borderId="1" xfId="4" applyFont="1" applyBorder="1" applyAlignment="1" applyProtection="1">
      <alignment horizontal="right"/>
    </xf>
    <xf numFmtId="43" fontId="136" fillId="0" borderId="0" xfId="4" applyFont="1" applyProtection="1"/>
    <xf numFmtId="164" fontId="90" fillId="0" borderId="55" xfId="11" applyNumberFormat="1" applyFont="1" applyFill="1" applyBorder="1" applyAlignment="1" applyProtection="1">
      <alignment horizontal="center" vertical="top"/>
      <protection locked="0"/>
    </xf>
    <xf numFmtId="172" fontId="91" fillId="68" borderId="55" xfId="0" applyNumberFormat="1" applyFont="1" applyFill="1" applyBorder="1" applyAlignment="1">
      <alignment horizontal="right" vertical="top"/>
    </xf>
    <xf numFmtId="165" fontId="90" fillId="68" borderId="55" xfId="11" applyNumberFormat="1" applyFont="1" applyFill="1" applyBorder="1" applyAlignment="1" applyProtection="1">
      <alignment horizontal="center" vertical="top"/>
      <protection locked="0"/>
    </xf>
    <xf numFmtId="190" fontId="96" fillId="2" borderId="0" xfId="0" applyNumberFormat="1" applyFont="1" applyFill="1" applyBorder="1" applyAlignment="1" applyProtection="1">
      <alignment horizontal="right"/>
      <protection locked="0"/>
    </xf>
    <xf numFmtId="172" fontId="90" fillId="0" borderId="0" xfId="0" applyNumberFormat="1" applyFont="1" applyFill="1" applyBorder="1" applyAlignment="1" applyProtection="1">
      <alignment horizontal="right"/>
      <protection locked="0"/>
    </xf>
    <xf numFmtId="0" fontId="176" fillId="0" borderId="0" xfId="0" applyFont="1"/>
    <xf numFmtId="0" fontId="107" fillId="0" borderId="0" xfId="0" applyFont="1" applyFill="1" applyBorder="1"/>
    <xf numFmtId="173" fontId="107" fillId="0" borderId="0" xfId="0" applyNumberFormat="1" applyFont="1" applyFill="1" applyBorder="1" applyAlignment="1">
      <alignment horizontal="right" vertical="top"/>
    </xf>
    <xf numFmtId="0" fontId="107" fillId="0" borderId="0" xfId="0" applyFont="1" applyFill="1"/>
    <xf numFmtId="0" fontId="107" fillId="0" borderId="0" xfId="0" applyFont="1" applyFill="1" applyProtection="1"/>
    <xf numFmtId="164" fontId="107" fillId="0" borderId="0" xfId="0" applyNumberFormat="1" applyFont="1" applyFill="1" applyBorder="1" applyAlignment="1">
      <alignment horizontal="center"/>
    </xf>
    <xf numFmtId="0" fontId="107" fillId="0" borderId="57" xfId="0" applyFont="1" applyFill="1" applyBorder="1"/>
    <xf numFmtId="0" fontId="107" fillId="0" borderId="57" xfId="0" applyFont="1" applyFill="1" applyBorder="1" applyProtection="1"/>
    <xf numFmtId="203" fontId="107" fillId="0" borderId="57" xfId="0" applyNumberFormat="1" applyFont="1" applyFill="1" applyBorder="1"/>
    <xf numFmtId="0" fontId="104" fillId="0" borderId="57" xfId="0" applyFont="1" applyFill="1" applyBorder="1"/>
    <xf numFmtId="0" fontId="104" fillId="0" borderId="57" xfId="0" applyFont="1" applyFill="1" applyBorder="1" applyProtection="1"/>
    <xf numFmtId="203" fontId="104" fillId="0" borderId="57" xfId="0" applyNumberFormat="1" applyFont="1" applyFill="1" applyBorder="1"/>
    <xf numFmtId="173" fontId="104" fillId="0" borderId="57" xfId="0" applyNumberFormat="1" applyFont="1" applyFill="1" applyBorder="1" applyAlignment="1">
      <alignment horizontal="right" vertical="top"/>
    </xf>
    <xf numFmtId="0" fontId="102" fillId="0" borderId="1" xfId="0" applyFont="1" applyBorder="1"/>
    <xf numFmtId="188" fontId="110" fillId="0" borderId="1" xfId="0" applyNumberFormat="1" applyFont="1" applyBorder="1"/>
    <xf numFmtId="220" fontId="101" fillId="4" borderId="55" xfId="11" applyNumberFormat="1" applyFont="1" applyBorder="1" applyAlignment="1" applyProtection="1">
      <alignment horizontal="right"/>
      <protection locked="0"/>
    </xf>
    <xf numFmtId="0" fontId="105" fillId="67" borderId="0" xfId="0" applyFont="1" applyFill="1" applyBorder="1" applyAlignment="1" applyProtection="1">
      <alignment horizontal="left"/>
    </xf>
    <xf numFmtId="174" fontId="91" fillId="67" borderId="0" xfId="0" applyNumberFormat="1" applyFont="1" applyFill="1" applyBorder="1" applyAlignment="1" applyProtection="1">
      <alignment horizontal="center"/>
    </xf>
    <xf numFmtId="0" fontId="91" fillId="0" borderId="0" xfId="0" applyFont="1" applyFill="1" applyAlignment="1" applyProtection="1"/>
    <xf numFmtId="172" fontId="178" fillId="0" borderId="57" xfId="9" applyNumberFormat="1" applyFont="1" applyFill="1" applyBorder="1" applyAlignment="1" applyProtection="1">
      <alignment horizontal="center" vertical="top"/>
      <protection locked="0"/>
    </xf>
    <xf numFmtId="172" fontId="178" fillId="0" borderId="57" xfId="9" applyNumberFormat="1" applyFont="1" applyFill="1" applyBorder="1" applyAlignment="1" applyProtection="1">
      <alignment vertical="top"/>
      <protection locked="0"/>
    </xf>
    <xf numFmtId="9" fontId="177" fillId="0" borderId="55" xfId="9" applyFont="1" applyFill="1" applyBorder="1" applyAlignment="1" applyProtection="1">
      <alignment horizontal="center" vertical="top"/>
      <protection locked="0"/>
    </xf>
    <xf numFmtId="172" fontId="178" fillId="0" borderId="55" xfId="9" applyNumberFormat="1" applyFont="1" applyFill="1" applyBorder="1" applyAlignment="1" applyProtection="1">
      <alignment horizontal="center" vertical="top"/>
      <protection locked="0"/>
    </xf>
    <xf numFmtId="172" fontId="177" fillId="0" borderId="55" xfId="9" applyNumberFormat="1" applyFont="1" applyFill="1" applyBorder="1" applyAlignment="1" applyProtection="1">
      <alignment horizontal="center" vertical="top"/>
      <protection locked="0"/>
    </xf>
    <xf numFmtId="9" fontId="177" fillId="0" borderId="102" xfId="9" applyFont="1" applyFill="1" applyBorder="1" applyAlignment="1" applyProtection="1">
      <alignment horizontal="center" vertical="top"/>
      <protection locked="0"/>
    </xf>
    <xf numFmtId="172" fontId="177" fillId="0" borderId="102" xfId="9" applyNumberFormat="1" applyFont="1" applyFill="1" applyBorder="1" applyAlignment="1" applyProtection="1">
      <alignment horizontal="right" vertical="top"/>
      <protection locked="0"/>
    </xf>
    <xf numFmtId="172" fontId="168" fillId="0" borderId="55" xfId="9" applyNumberFormat="1" applyFont="1" applyFill="1" applyBorder="1" applyAlignment="1" applyProtection="1">
      <alignment horizontal="right" vertical="top"/>
      <protection locked="0"/>
    </xf>
    <xf numFmtId="174" fontId="179" fillId="0" borderId="0" xfId="8" applyNumberFormat="1" applyFont="1" applyProtection="1"/>
    <xf numFmtId="174" fontId="179" fillId="0" borderId="0" xfId="10" applyNumberFormat="1" applyFont="1" applyProtection="1"/>
    <xf numFmtId="0" fontId="92" fillId="63" borderId="1" xfId="0" quotePrefix="1" applyFont="1" applyFill="1" applyBorder="1" applyProtection="1">
      <protection locked="0"/>
    </xf>
    <xf numFmtId="174" fontId="104" fillId="0" borderId="57" xfId="0" applyNumberFormat="1" applyFont="1" applyFill="1" applyBorder="1"/>
    <xf numFmtId="174" fontId="107" fillId="0" borderId="57" xfId="0" applyNumberFormat="1" applyFont="1" applyFill="1" applyBorder="1"/>
    <xf numFmtId="182" fontId="92" fillId="0" borderId="57" xfId="0" applyNumberFormat="1" applyFont="1" applyFill="1" applyBorder="1" applyAlignment="1">
      <alignment horizontal="center" vertical="top"/>
    </xf>
    <xf numFmtId="0" fontId="91" fillId="3" borderId="0" xfId="0" applyFont="1" applyFill="1" applyBorder="1" applyAlignment="1" applyProtection="1">
      <alignment horizontal="center"/>
    </xf>
    <xf numFmtId="0" fontId="92" fillId="68" borderId="104" xfId="0" applyFont="1" applyFill="1" applyBorder="1" applyAlignment="1" applyProtection="1">
      <alignment horizontal="right"/>
    </xf>
    <xf numFmtId="0" fontId="92" fillId="68" borderId="15" xfId="0" applyFont="1" applyFill="1" applyBorder="1" applyAlignment="1" applyProtection="1">
      <alignment horizontal="right"/>
    </xf>
    <xf numFmtId="0" fontId="92" fillId="68" borderId="69" xfId="0" applyFont="1" applyFill="1" applyBorder="1" applyAlignment="1" applyProtection="1">
      <alignment horizontal="right"/>
    </xf>
    <xf numFmtId="174" fontId="90" fillId="2" borderId="55" xfId="11" applyNumberFormat="1" applyFont="1" applyFill="1" applyBorder="1" applyAlignment="1" applyProtection="1">
      <alignment horizontal="right" vertical="center"/>
      <protection locked="0"/>
    </xf>
    <xf numFmtId="172" fontId="90" fillId="2" borderId="55" xfId="11" applyNumberFormat="1" applyFont="1" applyFill="1" applyBorder="1" applyAlignment="1" applyProtection="1">
      <alignment horizontal="right" vertical="top"/>
      <protection locked="0"/>
    </xf>
    <xf numFmtId="172" fontId="173" fillId="2" borderId="55" xfId="11" applyNumberFormat="1" applyFont="1" applyFill="1" applyBorder="1" applyAlignment="1" applyProtection="1">
      <alignment horizontal="right" vertical="top"/>
      <protection locked="0"/>
    </xf>
    <xf numFmtId="0" fontId="89" fillId="0" borderId="0" xfId="0" applyFont="1" applyFill="1" applyBorder="1" applyProtection="1"/>
    <xf numFmtId="183" fontId="91" fillId="0" borderId="0" xfId="13118" applyNumberFormat="1" applyFont="1" applyFill="1" applyBorder="1" applyProtection="1"/>
    <xf numFmtId="174" fontId="92" fillId="0" borderId="0" xfId="13118" applyNumberFormat="1" applyFont="1" applyFill="1" applyBorder="1" applyProtection="1"/>
    <xf numFmtId="211" fontId="91" fillId="0" borderId="0" xfId="33110" applyNumberFormat="1" applyFont="1" applyFill="1" applyBorder="1"/>
    <xf numFmtId="183" fontId="92" fillId="0" borderId="0" xfId="4" applyNumberFormat="1" applyFont="1" applyFill="1" applyBorder="1"/>
    <xf numFmtId="183" fontId="92" fillId="0" borderId="0" xfId="4" applyNumberFormat="1" applyFont="1" applyFill="1" applyBorder="1" applyAlignment="1">
      <alignment horizontal="center"/>
    </xf>
    <xf numFmtId="211" fontId="91" fillId="0" borderId="57" xfId="33110" applyNumberFormat="1" applyFont="1" applyFill="1" applyBorder="1"/>
    <xf numFmtId="183" fontId="92" fillId="0" borderId="57" xfId="4" applyNumberFormat="1" applyFont="1" applyFill="1" applyBorder="1"/>
    <xf numFmtId="183" fontId="92" fillId="0" borderId="57" xfId="4" applyNumberFormat="1" applyFont="1" applyFill="1" applyBorder="1" applyAlignment="1">
      <alignment horizontal="center"/>
    </xf>
    <xf numFmtId="174" fontId="92" fillId="0" borderId="0" xfId="0" applyNumberFormat="1" applyFont="1" applyBorder="1" applyAlignment="1" applyProtection="1">
      <alignment horizontal="right"/>
    </xf>
    <xf numFmtId="172" fontId="101" fillId="2" borderId="55" xfId="9" applyNumberFormat="1" applyFont="1" applyFill="1" applyBorder="1" applyAlignment="1" applyProtection="1">
      <alignment horizontal="right" vertical="top"/>
      <protection locked="0"/>
    </xf>
    <xf numFmtId="185" fontId="94" fillId="64" borderId="64" xfId="6628" applyNumberFormat="1" applyFont="1" applyFill="1" applyBorder="1" applyAlignment="1">
      <alignment horizontal="center"/>
    </xf>
    <xf numFmtId="185" fontId="94" fillId="64" borderId="17" xfId="6628" applyNumberFormat="1" applyFont="1" applyFill="1" applyBorder="1" applyAlignment="1">
      <alignment horizontal="center"/>
    </xf>
    <xf numFmtId="172" fontId="125" fillId="0" borderId="0" xfId="6628" applyNumberFormat="1" applyFont="1" applyAlignment="1">
      <alignment horizontal="center"/>
    </xf>
    <xf numFmtId="174" fontId="173" fillId="2" borderId="55" xfId="0" applyNumberFormat="1" applyFont="1" applyFill="1" applyBorder="1" applyAlignment="1" applyProtection="1">
      <alignment horizontal="right" vertical="top"/>
      <protection locked="0"/>
    </xf>
    <xf numFmtId="174" fontId="173" fillId="68" borderId="55" xfId="0" applyNumberFormat="1" applyFont="1" applyFill="1" applyBorder="1" applyAlignment="1" applyProtection="1">
      <alignment horizontal="right" vertical="top"/>
      <protection locked="0"/>
    </xf>
    <xf numFmtId="172" fontId="2" fillId="0" borderId="0" xfId="6628" applyNumberFormat="1" applyProtection="1">
      <protection locked="0"/>
    </xf>
    <xf numFmtId="0" fontId="2" fillId="0" borderId="0" xfId="6628" applyProtection="1">
      <protection locked="0"/>
    </xf>
    <xf numFmtId="173" fontId="96" fillId="2" borderId="142" xfId="0" applyNumberFormat="1" applyFont="1" applyFill="1" applyBorder="1" applyAlignment="1" applyProtection="1">
      <alignment horizontal="center"/>
      <protection locked="0"/>
    </xf>
    <xf numFmtId="196" fontId="90" fillId="0" borderId="47" xfId="0" applyNumberFormat="1" applyFont="1" applyFill="1" applyBorder="1" applyAlignment="1" applyProtection="1">
      <alignment horizontal="center"/>
      <protection locked="0"/>
    </xf>
    <xf numFmtId="190" fontId="90" fillId="0" borderId="47" xfId="0" applyNumberFormat="1" applyFont="1" applyFill="1" applyBorder="1" applyAlignment="1" applyProtection="1">
      <alignment horizontal="center"/>
      <protection locked="0"/>
    </xf>
    <xf numFmtId="196" fontId="173" fillId="68" borderId="50" xfId="0" applyNumberFormat="1" applyFont="1" applyFill="1" applyBorder="1" applyAlignment="1" applyProtection="1">
      <alignment horizontal="center"/>
      <protection locked="0"/>
    </xf>
    <xf numFmtId="196" fontId="92" fillId="0" borderId="57" xfId="0" applyNumberFormat="1" applyFont="1" applyBorder="1" applyAlignment="1" applyProtection="1">
      <alignment horizontal="center"/>
      <protection locked="0"/>
    </xf>
    <xf numFmtId="0" fontId="162" fillId="62" borderId="0" xfId="0" applyFont="1" applyFill="1" applyAlignment="1">
      <alignment horizontal="center" vertical="center"/>
    </xf>
    <xf numFmtId="0" fontId="140" fillId="0" borderId="0" xfId="0" applyFont="1" applyAlignment="1">
      <alignment horizontal="center" vertical="center"/>
    </xf>
    <xf numFmtId="0" fontId="91" fillId="62" borderId="47" xfId="0" applyFont="1" applyFill="1" applyBorder="1"/>
    <xf numFmtId="0" fontId="0" fillId="62" borderId="47" xfId="0" applyFill="1" applyBorder="1"/>
    <xf numFmtId="0" fontId="104" fillId="62" borderId="47" xfId="0" applyFont="1" applyFill="1" applyBorder="1"/>
    <xf numFmtId="0" fontId="182" fillId="0" borderId="0" xfId="0" applyFont="1" applyAlignment="1">
      <alignment horizontal="center"/>
    </xf>
    <xf numFmtId="0" fontId="183" fillId="0" borderId="0" xfId="7" applyFont="1" applyBorder="1" applyAlignment="1" applyProtection="1">
      <alignment horizontal="left"/>
    </xf>
    <xf numFmtId="0" fontId="183" fillId="0" borderId="51" xfId="7" applyFont="1" applyBorder="1" applyAlignment="1" applyProtection="1">
      <alignment horizontal="right"/>
    </xf>
    <xf numFmtId="172" fontId="32" fillId="0" borderId="0" xfId="6628" applyNumberFormat="1" applyFont="1"/>
    <xf numFmtId="172" fontId="32" fillId="0" borderId="0" xfId="6628" applyNumberFormat="1" applyFont="1" applyFill="1"/>
    <xf numFmtId="175" fontId="148" fillId="0" borderId="0" xfId="0" applyNumberFormat="1" applyFont="1" applyFill="1" applyAlignment="1">
      <alignment horizontal="center"/>
    </xf>
    <xf numFmtId="172" fontId="32" fillId="0" borderId="47" xfId="6628" applyNumberFormat="1" applyFont="1" applyFill="1" applyBorder="1"/>
    <xf numFmtId="175" fontId="148" fillId="0" borderId="47" xfId="0" applyNumberFormat="1" applyFont="1" applyFill="1" applyBorder="1" applyAlignment="1">
      <alignment horizontal="center"/>
    </xf>
    <xf numFmtId="172" fontId="32" fillId="0" borderId="51" xfId="6628" applyNumberFormat="1" applyFont="1" applyFill="1" applyBorder="1"/>
    <xf numFmtId="175" fontId="148" fillId="0" borderId="51" xfId="0" applyNumberFormat="1" applyFont="1" applyFill="1" applyBorder="1" applyAlignment="1">
      <alignment horizontal="center"/>
    </xf>
    <xf numFmtId="172" fontId="32" fillId="0" borderId="0" xfId="6628" quotePrefix="1" applyNumberFormat="1" applyFont="1"/>
    <xf numFmtId="172" fontId="32" fillId="64" borderId="47" xfId="6628" applyNumberFormat="1" applyFont="1" applyFill="1" applyBorder="1"/>
    <xf numFmtId="175" fontId="148" fillId="64" borderId="47" xfId="0" applyNumberFormat="1" applyFont="1" applyFill="1" applyBorder="1" applyAlignment="1">
      <alignment horizontal="center"/>
    </xf>
    <xf numFmtId="175" fontId="148" fillId="64" borderId="0" xfId="0" applyNumberFormat="1" applyFont="1" applyFill="1" applyAlignment="1">
      <alignment horizontal="center"/>
    </xf>
    <xf numFmtId="172" fontId="32" fillId="0" borderId="0" xfId="6628" quotePrefix="1" applyNumberFormat="1" applyFont="1" applyFill="1"/>
    <xf numFmtId="0" fontId="32" fillId="0" borderId="0" xfId="6628" applyFont="1" applyFill="1" applyAlignment="1">
      <alignment horizontal="center"/>
    </xf>
    <xf numFmtId="172" fontId="32" fillId="0" borderId="0" xfId="6628" applyNumberFormat="1" applyFont="1" applyFill="1" applyAlignment="1">
      <alignment horizontal="center"/>
    </xf>
    <xf numFmtId="0" fontId="148" fillId="0" borderId="0" xfId="0" applyFont="1" applyFill="1" applyAlignment="1">
      <alignment horizontal="left"/>
    </xf>
    <xf numFmtId="0" fontId="148" fillId="0" borderId="0" xfId="0" applyFont="1" applyFill="1" applyAlignment="1">
      <alignment horizontal="center"/>
    </xf>
    <xf numFmtId="0" fontId="104" fillId="0" borderId="0" xfId="0" applyFont="1" applyFill="1" applyAlignment="1">
      <alignment horizontal="center"/>
    </xf>
    <xf numFmtId="0" fontId="104" fillId="0" borderId="1" xfId="0" applyFont="1" applyFill="1" applyBorder="1" applyAlignment="1">
      <alignment horizontal="center"/>
    </xf>
    <xf numFmtId="0" fontId="13" fillId="0" borderId="0" xfId="0" applyFont="1" applyFill="1" applyAlignment="1">
      <alignment wrapText="1"/>
    </xf>
    <xf numFmtId="0" fontId="174" fillId="2" borderId="0" xfId="0" applyFont="1" applyFill="1" applyBorder="1" applyAlignment="1" applyProtection="1">
      <alignment horizontal="left"/>
      <protection locked="0"/>
    </xf>
    <xf numFmtId="174" fontId="96" fillId="2" borderId="0" xfId="0" applyNumberFormat="1" applyFont="1" applyFill="1" applyBorder="1" applyAlignment="1" applyProtection="1">
      <alignment horizontal="center"/>
      <protection locked="0"/>
    </xf>
    <xf numFmtId="174" fontId="101" fillId="2" borderId="0" xfId="0" applyNumberFormat="1" applyFont="1" applyFill="1" applyBorder="1" applyAlignment="1" applyProtection="1">
      <alignment horizontal="center"/>
      <protection locked="0"/>
    </xf>
    <xf numFmtId="175" fontId="101" fillId="0" borderId="0" xfId="0" applyNumberFormat="1" applyFont="1" applyBorder="1" applyAlignment="1" applyProtection="1">
      <alignment horizontal="center"/>
      <protection locked="0"/>
    </xf>
    <xf numFmtId="0" fontId="92" fillId="0" borderId="1" xfId="0" applyFont="1" applyBorder="1" applyProtection="1">
      <protection locked="0"/>
    </xf>
    <xf numFmtId="0" fontId="0" fillId="0" borderId="0" xfId="0" applyProtection="1">
      <protection locked="0"/>
    </xf>
    <xf numFmtId="174" fontId="91" fillId="0" borderId="0" xfId="0" applyNumberFormat="1" applyFont="1" applyFill="1" applyAlignment="1" applyProtection="1">
      <alignment horizontal="center" vertical="top"/>
    </xf>
    <xf numFmtId="175" fontId="91" fillId="0" borderId="0" xfId="0" applyNumberFormat="1" applyFont="1" applyFill="1" applyAlignment="1" applyProtection="1">
      <alignment horizontal="center" vertical="top"/>
    </xf>
    <xf numFmtId="190" fontId="91" fillId="0" borderId="0" xfId="0" applyNumberFormat="1" applyFont="1" applyFill="1" applyAlignment="1" applyProtection="1">
      <alignment horizontal="center" vertical="top"/>
    </xf>
    <xf numFmtId="0" fontId="92" fillId="0" borderId="65" xfId="0" applyFont="1" applyFill="1" applyBorder="1" applyProtection="1"/>
    <xf numFmtId="174" fontId="92" fillId="0" borderId="65" xfId="0" applyNumberFormat="1" applyFont="1" applyFill="1" applyBorder="1" applyAlignment="1" applyProtection="1">
      <alignment horizontal="center" vertical="top"/>
    </xf>
    <xf numFmtId="175" fontId="92" fillId="0" borderId="65" xfId="0" applyNumberFormat="1" applyFont="1" applyFill="1" applyBorder="1" applyAlignment="1" applyProtection="1">
      <alignment horizontal="center" vertical="top"/>
    </xf>
    <xf numFmtId="174" fontId="92" fillId="0" borderId="65" xfId="0" applyNumberFormat="1" applyFont="1" applyFill="1" applyBorder="1" applyAlignment="1" applyProtection="1">
      <alignment horizontal="right" vertical="top"/>
    </xf>
    <xf numFmtId="0" fontId="105" fillId="0" borderId="0" xfId="0" applyFont="1" applyFill="1"/>
    <xf numFmtId="174" fontId="105" fillId="0" borderId="0" xfId="0" applyNumberFormat="1" applyFont="1" applyFill="1" applyAlignment="1" applyProtection="1">
      <alignment horizontal="right"/>
    </xf>
    <xf numFmtId="0" fontId="105" fillId="0" borderId="0" xfId="0" applyFont="1" applyFill="1" applyBorder="1" applyProtection="1"/>
    <xf numFmtId="5" fontId="105" fillId="0" borderId="0" xfId="0" applyNumberFormat="1" applyFont="1" applyFill="1" applyBorder="1" applyAlignment="1" applyProtection="1">
      <alignment horizontal="center" vertical="top"/>
    </xf>
    <xf numFmtId="175" fontId="105" fillId="0" borderId="0" xfId="0" applyNumberFormat="1" applyFont="1" applyFill="1" applyBorder="1" applyAlignment="1" applyProtection="1">
      <alignment horizontal="center" vertical="top"/>
    </xf>
    <xf numFmtId="174" fontId="105" fillId="0" borderId="0" xfId="0" applyNumberFormat="1" applyFont="1" applyFill="1" applyBorder="1" applyAlignment="1" applyProtection="1">
      <alignment horizontal="right" vertical="top"/>
    </xf>
    <xf numFmtId="0" fontId="105" fillId="0" borderId="0" xfId="0" applyFont="1" applyFill="1" applyBorder="1" applyAlignment="1" applyProtection="1">
      <alignment horizontal="left"/>
    </xf>
    <xf numFmtId="175" fontId="92" fillId="0" borderId="0" xfId="0" applyNumberFormat="1" applyFont="1" applyFill="1" applyBorder="1" applyAlignment="1" applyProtection="1">
      <alignment horizontal="center"/>
    </xf>
    <xf numFmtId="0" fontId="2" fillId="0" borderId="0" xfId="6628" applyProtection="1"/>
    <xf numFmtId="0" fontId="92" fillId="0" borderId="115" xfId="0" applyFont="1" applyBorder="1" applyProtection="1"/>
    <xf numFmtId="0" fontId="92" fillId="63" borderId="65" xfId="0" applyFont="1" applyFill="1" applyBorder="1" applyAlignment="1">
      <alignment horizontal="center" wrapText="1"/>
    </xf>
    <xf numFmtId="172" fontId="2" fillId="0" borderId="0" xfId="8" applyNumberFormat="1" applyProtection="1">
      <protection locked="0"/>
    </xf>
    <xf numFmtId="0" fontId="91" fillId="0" borderId="0" xfId="0" applyFont="1" applyFill="1" applyProtection="1">
      <protection locked="0"/>
    </xf>
    <xf numFmtId="0" fontId="91" fillId="3" borderId="57" xfId="0" applyFont="1" applyFill="1" applyBorder="1" applyProtection="1">
      <protection locked="0"/>
    </xf>
    <xf numFmtId="172" fontId="91" fillId="3" borderId="57" xfId="0" applyNumberFormat="1" applyFont="1" applyFill="1" applyBorder="1" applyProtection="1">
      <protection locked="0"/>
    </xf>
    <xf numFmtId="194" fontId="91" fillId="3" borderId="57" xfId="0" quotePrefix="1" applyNumberFormat="1" applyFont="1" applyFill="1" applyBorder="1" applyAlignment="1" applyProtection="1">
      <alignment horizontal="center"/>
      <protection locked="0"/>
    </xf>
    <xf numFmtId="172" fontId="91" fillId="0" borderId="0" xfId="0" applyNumberFormat="1" applyFont="1" applyBorder="1" applyProtection="1">
      <protection locked="0"/>
    </xf>
    <xf numFmtId="0" fontId="105" fillId="3" borderId="0" xfId="0" applyFont="1" applyFill="1" applyBorder="1" applyProtection="1">
      <protection locked="0"/>
    </xf>
    <xf numFmtId="0" fontId="91" fillId="3" borderId="0" xfId="0" applyFont="1" applyFill="1" applyBorder="1" applyProtection="1">
      <protection locked="0"/>
    </xf>
    <xf numFmtId="0" fontId="91" fillId="2" borderId="0" xfId="0" applyFont="1" applyFill="1" applyBorder="1" applyProtection="1">
      <protection locked="0"/>
    </xf>
    <xf numFmtId="172" fontId="91" fillId="2" borderId="0" xfId="0" applyNumberFormat="1" applyFont="1" applyFill="1" applyBorder="1" applyProtection="1">
      <protection locked="0"/>
    </xf>
    <xf numFmtId="194" fontId="91" fillId="2" borderId="0" xfId="0" quotePrefix="1" applyNumberFormat="1" applyFont="1" applyFill="1" applyBorder="1" applyAlignment="1" applyProtection="1">
      <alignment horizontal="center"/>
      <protection locked="0"/>
    </xf>
    <xf numFmtId="0" fontId="105" fillId="0" borderId="0" xfId="0" applyFont="1" applyFill="1" applyProtection="1">
      <protection locked="0"/>
    </xf>
    <xf numFmtId="0" fontId="91" fillId="0" borderId="0" xfId="0" quotePrefix="1" applyFont="1" applyFill="1" applyAlignment="1" applyProtection="1">
      <alignment horizontal="left"/>
      <protection locked="0"/>
    </xf>
    <xf numFmtId="0" fontId="91" fillId="0" borderId="0" xfId="0" applyFont="1" applyFill="1" applyAlignment="1" applyProtection="1">
      <alignment horizontal="left"/>
      <protection locked="0"/>
    </xf>
    <xf numFmtId="196" fontId="91" fillId="0" borderId="0" xfId="0" applyNumberFormat="1" applyFont="1" applyFill="1" applyBorder="1" applyProtection="1">
      <protection locked="0"/>
    </xf>
    <xf numFmtId="196" fontId="92" fillId="0" borderId="0" xfId="0" applyNumberFormat="1" applyFont="1" applyFill="1" applyBorder="1" applyProtection="1">
      <protection locked="0"/>
    </xf>
    <xf numFmtId="190" fontId="90" fillId="0" borderId="47" xfId="0" quotePrefix="1" applyNumberFormat="1" applyFont="1" applyFill="1" applyBorder="1" applyAlignment="1" applyProtection="1">
      <alignment horizontal="center"/>
      <protection locked="0"/>
    </xf>
    <xf numFmtId="196" fontId="90" fillId="0" borderId="50" xfId="0" applyNumberFormat="1" applyFont="1" applyFill="1" applyBorder="1" applyAlignment="1" applyProtection="1">
      <alignment horizontal="center"/>
      <protection locked="0"/>
    </xf>
    <xf numFmtId="190" fontId="90" fillId="0" borderId="50" xfId="0" quotePrefix="1" applyNumberFormat="1" applyFont="1" applyFill="1" applyBorder="1" applyAlignment="1" applyProtection="1">
      <alignment horizontal="center"/>
      <protection locked="0"/>
    </xf>
    <xf numFmtId="0" fontId="92" fillId="0" borderId="0" xfId="0" applyFont="1" applyBorder="1" applyProtection="1">
      <protection locked="0"/>
    </xf>
    <xf numFmtId="174" fontId="91" fillId="0" borderId="0" xfId="0" applyNumberFormat="1" applyFont="1" applyBorder="1" applyAlignment="1" applyProtection="1">
      <alignment horizontal="right" vertical="top"/>
      <protection locked="0"/>
    </xf>
    <xf numFmtId="172" fontId="91" fillId="0" borderId="55" xfId="0" applyNumberFormat="1" applyFont="1" applyFill="1" applyBorder="1" applyAlignment="1">
      <alignment horizontal="center" vertical="top"/>
    </xf>
    <xf numFmtId="172" fontId="91" fillId="0" borderId="55" xfId="0" quotePrefix="1" applyNumberFormat="1" applyFont="1" applyFill="1" applyBorder="1" applyAlignment="1">
      <alignment horizontal="right" vertical="top"/>
    </xf>
    <xf numFmtId="182" fontId="106" fillId="0" borderId="57" xfId="0" applyNumberFormat="1" applyFont="1" applyFill="1" applyBorder="1" applyAlignment="1">
      <alignment horizontal="center" vertical="top"/>
    </xf>
    <xf numFmtId="182" fontId="106" fillId="0" borderId="0" xfId="0" applyNumberFormat="1" applyFont="1" applyFill="1" applyAlignment="1">
      <alignment horizontal="center" vertical="top"/>
    </xf>
    <xf numFmtId="174" fontId="92" fillId="63" borderId="0" xfId="0" applyNumberFormat="1" applyFont="1" applyFill="1" applyBorder="1"/>
    <xf numFmtId="0" fontId="91" fillId="0" borderId="47" xfId="0" applyFont="1" applyFill="1" applyBorder="1" applyProtection="1">
      <protection locked="0"/>
    </xf>
    <xf numFmtId="196" fontId="114" fillId="0" borderId="0" xfId="0" applyNumberFormat="1" applyFont="1" applyFill="1"/>
    <xf numFmtId="196" fontId="91" fillId="0" borderId="57" xfId="0" applyNumberFormat="1" applyFont="1" applyFill="1" applyBorder="1" applyAlignment="1" applyProtection="1">
      <alignment horizontal="center"/>
      <protection locked="0"/>
    </xf>
    <xf numFmtId="0" fontId="91" fillId="2" borderId="0" xfId="0" applyFont="1" applyFill="1" applyProtection="1">
      <protection locked="0"/>
    </xf>
    <xf numFmtId="172" fontId="32" fillId="0" borderId="55" xfId="8" applyNumberFormat="1" applyFont="1" applyFill="1" applyBorder="1" applyProtection="1">
      <protection locked="0"/>
    </xf>
    <xf numFmtId="172" fontId="32" fillId="0" borderId="103" xfId="8" applyNumberFormat="1" applyFont="1" applyFill="1" applyBorder="1" applyProtection="1">
      <protection locked="0"/>
    </xf>
    <xf numFmtId="190" fontId="172" fillId="2" borderId="0" xfId="8" applyNumberFormat="1" applyFont="1" applyFill="1" applyProtection="1">
      <protection locked="0"/>
    </xf>
    <xf numFmtId="174" fontId="91" fillId="0" borderId="0" xfId="0" applyNumberFormat="1" applyFont="1" applyAlignment="1" applyProtection="1">
      <alignment horizontal="right"/>
      <protection locked="0"/>
    </xf>
    <xf numFmtId="172" fontId="91" fillId="0" borderId="0" xfId="0" applyNumberFormat="1" applyFont="1" applyProtection="1">
      <protection locked="0"/>
    </xf>
    <xf numFmtId="174" fontId="91" fillId="0" borderId="0" xfId="0" applyNumberFormat="1" applyFont="1" applyAlignment="1" applyProtection="1">
      <alignment horizontal="right" vertical="top"/>
      <protection locked="0"/>
    </xf>
    <xf numFmtId="174" fontId="92" fillId="0" borderId="0" xfId="0" applyNumberFormat="1" applyFont="1" applyFill="1" applyBorder="1" applyAlignment="1" applyProtection="1">
      <alignment horizontal="right"/>
      <protection locked="0"/>
    </xf>
    <xf numFmtId="3" fontId="92" fillId="0" borderId="0" xfId="0" applyNumberFormat="1" applyFont="1" applyFill="1" applyBorder="1" applyAlignment="1" applyProtection="1">
      <alignment horizontal="center"/>
      <protection locked="0"/>
    </xf>
    <xf numFmtId="172" fontId="91" fillId="0" borderId="0" xfId="0" applyNumberFormat="1" applyFont="1" applyAlignment="1" applyProtection="1">
      <alignment horizontal="right"/>
      <protection locked="0"/>
    </xf>
    <xf numFmtId="172" fontId="91" fillId="0" borderId="0" xfId="0" applyNumberFormat="1" applyFont="1" applyFill="1" applyProtection="1">
      <protection locked="0"/>
    </xf>
    <xf numFmtId="0" fontId="91" fillId="0" borderId="47" xfId="0" quotePrefix="1" applyFont="1" applyFill="1" applyBorder="1" applyProtection="1">
      <protection locked="0"/>
    </xf>
    <xf numFmtId="0" fontId="96" fillId="0" borderId="0" xfId="0" applyFont="1" applyFill="1" applyBorder="1" applyAlignment="1" applyProtection="1">
      <alignment horizontal="left"/>
      <protection locked="0"/>
    </xf>
    <xf numFmtId="0" fontId="96" fillId="0" borderId="0" xfId="0" applyFont="1" applyFill="1" applyBorder="1" applyAlignment="1" applyProtection="1">
      <alignment horizontal="center"/>
      <protection locked="0"/>
    </xf>
    <xf numFmtId="1" fontId="96" fillId="0" borderId="0" xfId="0" applyNumberFormat="1" applyFont="1" applyFill="1" applyBorder="1" applyAlignment="1" applyProtection="1">
      <alignment horizontal="right"/>
      <protection locked="0"/>
    </xf>
    <xf numFmtId="1" fontId="96" fillId="0" borderId="0" xfId="0" applyNumberFormat="1" applyFont="1" applyFill="1" applyBorder="1" applyAlignment="1" applyProtection="1">
      <alignment horizontal="center"/>
      <protection locked="0"/>
    </xf>
    <xf numFmtId="0" fontId="96" fillId="0" borderId="0" xfId="0" applyFont="1" applyFill="1" applyAlignment="1" applyProtection="1">
      <alignment horizontal="center"/>
      <protection locked="0"/>
    </xf>
    <xf numFmtId="174" fontId="96" fillId="0" borderId="0" xfId="0" applyNumberFormat="1" applyFont="1" applyFill="1" applyBorder="1" applyAlignment="1" applyProtection="1">
      <alignment horizontal="center"/>
      <protection locked="0"/>
    </xf>
    <xf numFmtId="0" fontId="96" fillId="0" borderId="0" xfId="0" applyFont="1" applyFill="1" applyProtection="1">
      <protection locked="0"/>
    </xf>
    <xf numFmtId="0" fontId="96" fillId="0" borderId="0" xfId="0" applyFont="1" applyFill="1" applyBorder="1" applyProtection="1">
      <protection locked="0"/>
    </xf>
    <xf numFmtId="1" fontId="92" fillId="3" borderId="0" xfId="11" applyNumberFormat="1" applyFont="1" applyFill="1" applyBorder="1" applyAlignment="1" applyProtection="1">
      <alignment horizontal="center"/>
      <protection locked="0"/>
    </xf>
    <xf numFmtId="164" fontId="92" fillId="3" borderId="0" xfId="11" applyNumberFormat="1" applyFont="1" applyFill="1" applyBorder="1" applyAlignment="1" applyProtection="1">
      <alignment horizontal="center"/>
      <protection locked="0"/>
    </xf>
    <xf numFmtId="174" fontId="96" fillId="0" borderId="0" xfId="0" applyNumberFormat="1" applyFont="1" applyFill="1" applyBorder="1" applyProtection="1">
      <protection locked="0"/>
    </xf>
    <xf numFmtId="0" fontId="91" fillId="0" borderId="0" xfId="0" applyFont="1" applyFill="1" applyBorder="1" applyProtection="1">
      <protection locked="0"/>
    </xf>
    <xf numFmtId="172" fontId="96" fillId="0" borderId="0" xfId="11" applyNumberFormat="1" applyFont="1" applyFill="1" applyBorder="1" applyAlignment="1" applyProtection="1">
      <alignment horizontal="right"/>
      <protection locked="0"/>
    </xf>
    <xf numFmtId="182" fontId="96" fillId="0" borderId="0" xfId="11" applyNumberFormat="1" applyFont="1" applyFill="1" applyBorder="1" applyAlignment="1" applyProtection="1">
      <alignment horizontal="center"/>
      <protection locked="0"/>
    </xf>
    <xf numFmtId="182" fontId="96" fillId="0" borderId="0" xfId="0" applyNumberFormat="1" applyFont="1" applyFill="1" applyBorder="1" applyAlignment="1" applyProtection="1">
      <alignment horizontal="center"/>
      <protection locked="0"/>
    </xf>
    <xf numFmtId="1" fontId="91" fillId="0" borderId="0" xfId="0" applyNumberFormat="1" applyFont="1" applyFill="1" applyBorder="1" applyAlignment="1" applyProtection="1">
      <alignment horizontal="center"/>
      <protection locked="0"/>
    </xf>
    <xf numFmtId="182" fontId="91" fillId="0" borderId="0" xfId="0" applyNumberFormat="1" applyFont="1" applyFill="1" applyBorder="1" applyAlignment="1" applyProtection="1">
      <alignment horizontal="center"/>
      <protection locked="0"/>
    </xf>
    <xf numFmtId="0" fontId="92" fillId="0" borderId="57" xfId="0" applyFont="1" applyFill="1" applyBorder="1" applyProtection="1">
      <protection locked="0"/>
    </xf>
    <xf numFmtId="0" fontId="91" fillId="0" borderId="57" xfId="0" applyFont="1" applyFill="1" applyBorder="1" applyProtection="1">
      <protection locked="0"/>
    </xf>
    <xf numFmtId="182" fontId="91" fillId="0" borderId="57" xfId="0" applyNumberFormat="1" applyFont="1" applyFill="1" applyBorder="1" applyAlignment="1" applyProtection="1">
      <alignment horizontal="center"/>
      <protection locked="0"/>
    </xf>
    <xf numFmtId="172" fontId="92" fillId="0" borderId="57" xfId="0" applyNumberFormat="1" applyFont="1" applyFill="1" applyBorder="1" applyAlignment="1" applyProtection="1">
      <alignment horizontal="center" vertical="top"/>
      <protection locked="0"/>
    </xf>
    <xf numFmtId="0" fontId="91" fillId="62" borderId="0" xfId="0" applyFont="1" applyFill="1" applyBorder="1" applyProtection="1">
      <protection locked="0"/>
    </xf>
    <xf numFmtId="182" fontId="91" fillId="62" borderId="0" xfId="0" applyNumberFormat="1" applyFont="1" applyFill="1" applyBorder="1" applyAlignment="1" applyProtection="1">
      <alignment horizontal="center"/>
      <protection locked="0"/>
    </xf>
    <xf numFmtId="164" fontId="91" fillId="62" borderId="0" xfId="0" applyNumberFormat="1" applyFont="1" applyFill="1" applyBorder="1" applyAlignment="1" applyProtection="1">
      <alignment horizontal="center"/>
      <protection locked="0"/>
    </xf>
    <xf numFmtId="172" fontId="91" fillId="62" borderId="0" xfId="0" applyNumberFormat="1" applyFont="1" applyFill="1" applyBorder="1" applyAlignment="1" applyProtection="1">
      <alignment horizontal="center" vertical="top"/>
      <protection locked="0"/>
    </xf>
    <xf numFmtId="0" fontId="92" fillId="0" borderId="1" xfId="0" applyFont="1" applyFill="1" applyBorder="1" applyProtection="1">
      <protection locked="0"/>
    </xf>
    <xf numFmtId="0" fontId="91" fillId="0" borderId="1" xfId="0" applyFont="1" applyFill="1" applyBorder="1" applyProtection="1">
      <protection locked="0"/>
    </xf>
    <xf numFmtId="182" fontId="91" fillId="0" borderId="1" xfId="0" applyNumberFormat="1" applyFont="1" applyFill="1" applyBorder="1" applyAlignment="1" applyProtection="1">
      <alignment horizontal="center"/>
      <protection locked="0"/>
    </xf>
    <xf numFmtId="164" fontId="91" fillId="0" borderId="1" xfId="0" applyNumberFormat="1" applyFont="1" applyFill="1" applyBorder="1" applyAlignment="1" applyProtection="1">
      <alignment horizontal="center"/>
      <protection locked="0"/>
    </xf>
    <xf numFmtId="172" fontId="91" fillId="0" borderId="1" xfId="0" applyNumberFormat="1" applyFont="1" applyFill="1" applyBorder="1" applyAlignment="1" applyProtection="1">
      <alignment horizontal="center" vertical="top"/>
      <protection locked="0"/>
    </xf>
    <xf numFmtId="182" fontId="91" fillId="0" borderId="0" xfId="0" applyNumberFormat="1" applyFont="1" applyFill="1" applyBorder="1" applyProtection="1">
      <protection locked="0"/>
    </xf>
    <xf numFmtId="182" fontId="91" fillId="0" borderId="57" xfId="0" applyNumberFormat="1" applyFont="1" applyFill="1" applyBorder="1" applyProtection="1">
      <protection locked="0"/>
    </xf>
    <xf numFmtId="0" fontId="91" fillId="62" borderId="0" xfId="0" applyFont="1" applyFill="1" applyProtection="1">
      <protection locked="0"/>
    </xf>
    <xf numFmtId="182" fontId="91" fillId="62" borderId="0" xfId="0" applyNumberFormat="1" applyFont="1" applyFill="1" applyBorder="1" applyProtection="1">
      <protection locked="0"/>
    </xf>
    <xf numFmtId="172" fontId="92" fillId="0" borderId="57" xfId="0" applyNumberFormat="1" applyFont="1" applyFill="1" applyBorder="1" applyAlignment="1" applyProtection="1">
      <alignment horizontal="center"/>
      <protection locked="0"/>
    </xf>
    <xf numFmtId="173" fontId="92" fillId="0" borderId="57" xfId="0" applyNumberFormat="1" applyFont="1" applyFill="1" applyBorder="1" applyAlignment="1" applyProtection="1">
      <alignment horizontal="center"/>
      <protection locked="0"/>
    </xf>
    <xf numFmtId="173" fontId="92" fillId="0" borderId="57" xfId="0" applyNumberFormat="1" applyFont="1" applyFill="1" applyBorder="1" applyAlignment="1" applyProtection="1">
      <alignment horizontal="center" vertical="top"/>
      <protection locked="0"/>
    </xf>
    <xf numFmtId="0" fontId="92" fillId="0" borderId="0" xfId="0" applyFont="1" applyFill="1" applyBorder="1" applyProtection="1">
      <protection locked="0"/>
    </xf>
    <xf numFmtId="0" fontId="91" fillId="0" borderId="0" xfId="0" applyFont="1" applyFill="1" applyBorder="1" applyAlignment="1" applyProtection="1">
      <alignment horizontal="center"/>
      <protection locked="0"/>
    </xf>
    <xf numFmtId="0" fontId="92" fillId="62" borderId="0" xfId="0" applyFont="1" applyFill="1" applyBorder="1" applyProtection="1">
      <protection locked="0"/>
    </xf>
    <xf numFmtId="172" fontId="92" fillId="62" borderId="0" xfId="0" applyNumberFormat="1" applyFont="1" applyFill="1" applyBorder="1" applyAlignment="1" applyProtection="1">
      <alignment horizontal="center" vertical="top"/>
      <protection locked="0"/>
    </xf>
    <xf numFmtId="0" fontId="104" fillId="0" borderId="1" xfId="0" applyFont="1" applyFill="1" applyBorder="1" applyProtection="1">
      <protection locked="0"/>
    </xf>
    <xf numFmtId="174" fontId="92" fillId="3" borderId="0" xfId="9" applyNumberFormat="1" applyFont="1" applyFill="1" applyBorder="1" applyAlignment="1" applyProtection="1">
      <alignment horizontal="center" vertical="top"/>
      <protection locked="0"/>
    </xf>
    <xf numFmtId="10" fontId="91" fillId="3" borderId="0" xfId="9" applyNumberFormat="1" applyFont="1" applyFill="1" applyBorder="1" applyAlignment="1" applyProtection="1">
      <alignment horizontal="center" vertical="top"/>
      <protection locked="0"/>
    </xf>
    <xf numFmtId="10" fontId="91" fillId="3" borderId="0" xfId="9" quotePrefix="1" applyNumberFormat="1" applyFont="1" applyFill="1" applyBorder="1" applyAlignment="1" applyProtection="1">
      <alignment horizontal="center" vertical="top"/>
      <protection locked="0"/>
    </xf>
    <xf numFmtId="0" fontId="185" fillId="0" borderId="0" xfId="0" applyFont="1" applyFill="1" applyBorder="1"/>
    <xf numFmtId="0" fontId="185" fillId="0" borderId="57" xfId="0" applyFont="1" applyFill="1" applyBorder="1"/>
    <xf numFmtId="174" fontId="92" fillId="0" borderId="0" xfId="0" applyNumberFormat="1" applyFont="1" applyFill="1" applyBorder="1" applyAlignment="1" applyProtection="1">
      <alignment horizontal="center"/>
      <protection locked="0"/>
    </xf>
    <xf numFmtId="6" fontId="91" fillId="0" borderId="0" xfId="0" applyNumberFormat="1" applyFont="1" applyAlignment="1" applyProtection="1">
      <alignment horizontal="center"/>
      <protection locked="0"/>
    </xf>
    <xf numFmtId="174" fontId="91" fillId="0" borderId="0" xfId="0" applyNumberFormat="1" applyFont="1" applyAlignment="1" applyProtection="1">
      <alignment horizontal="center"/>
      <protection locked="0"/>
    </xf>
    <xf numFmtId="174" fontId="90" fillId="0" borderId="0" xfId="0" applyNumberFormat="1" applyFont="1" applyFill="1" applyBorder="1" applyAlignment="1" applyProtection="1">
      <alignment horizontal="center"/>
      <protection locked="0"/>
    </xf>
    <xf numFmtId="8" fontId="92" fillId="0" borderId="0" xfId="0" applyNumberFormat="1" applyFont="1" applyProtection="1">
      <protection locked="0"/>
    </xf>
    <xf numFmtId="172" fontId="96" fillId="0" borderId="0" xfId="0" applyNumberFormat="1" applyFont="1" applyFill="1" applyAlignment="1" applyProtection="1">
      <alignment horizontal="right"/>
      <protection locked="0"/>
    </xf>
    <xf numFmtId="172" fontId="90" fillId="0" borderId="0" xfId="0" applyNumberFormat="1" applyFont="1" applyFill="1" applyProtection="1">
      <protection locked="0"/>
    </xf>
    <xf numFmtId="0" fontId="91" fillId="0" borderId="0" xfId="0" quotePrefix="1" applyFont="1" applyProtection="1">
      <protection locked="0"/>
    </xf>
    <xf numFmtId="172" fontId="91" fillId="0" borderId="0" xfId="0" applyNumberFormat="1" applyFont="1" applyAlignment="1" applyProtection="1">
      <alignment horizontal="right" wrapText="1"/>
      <protection locked="0"/>
    </xf>
    <xf numFmtId="0" fontId="91" fillId="0" borderId="57" xfId="0" quotePrefix="1" applyFont="1" applyBorder="1" applyProtection="1">
      <protection locked="0"/>
    </xf>
    <xf numFmtId="172" fontId="91" fillId="0" borderId="57" xfId="0" applyNumberFormat="1" applyFont="1" applyBorder="1" applyAlignment="1" applyProtection="1">
      <alignment horizontal="right" wrapText="1"/>
      <protection locked="0"/>
    </xf>
    <xf numFmtId="0" fontId="180" fillId="0" borderId="0" xfId="0" applyFont="1" applyFill="1" applyBorder="1" applyAlignment="1" applyProtection="1">
      <alignment horizontal="left"/>
    </xf>
    <xf numFmtId="174" fontId="92" fillId="0" borderId="65" xfId="0" applyNumberFormat="1" applyFont="1" applyFill="1" applyBorder="1" applyAlignment="1" applyProtection="1">
      <alignment horizontal="right" wrapText="1"/>
    </xf>
    <xf numFmtId="0" fontId="173" fillId="2" borderId="47" xfId="0" applyFont="1" applyFill="1" applyBorder="1" applyProtection="1">
      <protection locked="0"/>
    </xf>
    <xf numFmtId="172" fontId="91" fillId="3" borderId="47" xfId="9" applyNumberFormat="1" applyFont="1" applyFill="1" applyBorder="1" applyAlignment="1" applyProtection="1">
      <alignment horizontal="center" vertical="top"/>
      <protection locked="0"/>
    </xf>
    <xf numFmtId="187" fontId="91" fillId="3" borderId="47" xfId="0" applyNumberFormat="1" applyFont="1" applyFill="1" applyBorder="1" applyAlignment="1" applyProtection="1">
      <alignment horizontal="center" vertical="top"/>
      <protection locked="0"/>
    </xf>
    <xf numFmtId="174" fontId="91" fillId="3" borderId="47" xfId="0" applyNumberFormat="1" applyFont="1" applyFill="1" applyBorder="1" applyAlignment="1" applyProtection="1">
      <alignment horizontal="center"/>
      <protection locked="0"/>
    </xf>
    <xf numFmtId="174" fontId="90" fillId="0" borderId="57" xfId="4" applyNumberFormat="1" applyFont="1" applyFill="1" applyBorder="1" applyAlignment="1" applyProtection="1">
      <alignment horizontal="center"/>
      <protection locked="0"/>
    </xf>
    <xf numFmtId="174" fontId="90" fillId="0" borderId="0" xfId="4" applyNumberFormat="1" applyFont="1" applyFill="1" applyBorder="1" applyAlignment="1" applyProtection="1">
      <alignment horizontal="center"/>
      <protection locked="0"/>
    </xf>
    <xf numFmtId="0" fontId="105" fillId="0" borderId="0" xfId="0" quotePrefix="1" applyFont="1" applyFill="1" applyAlignment="1" applyProtection="1">
      <alignment horizontal="center"/>
    </xf>
    <xf numFmtId="172" fontId="173" fillId="2" borderId="55" xfId="0" applyNumberFormat="1" applyFont="1" applyFill="1" applyBorder="1" applyAlignment="1" applyProtection="1">
      <alignment horizontal="center"/>
      <protection locked="0"/>
    </xf>
    <xf numFmtId="172" fontId="173" fillId="2" borderId="55" xfId="0" applyNumberFormat="1" applyFont="1" applyFill="1" applyBorder="1" applyAlignment="1" applyProtection="1">
      <alignment horizontal="center" vertical="top"/>
      <protection locked="0"/>
    </xf>
    <xf numFmtId="164" fontId="92" fillId="0" borderId="0" xfId="0" applyNumberFormat="1" applyFont="1" applyFill="1" applyBorder="1" applyAlignment="1" applyProtection="1">
      <alignment horizontal="left"/>
      <protection locked="0"/>
    </xf>
    <xf numFmtId="172" fontId="91" fillId="0" borderId="52" xfId="0" applyNumberFormat="1" applyFont="1" applyFill="1" applyBorder="1" applyProtection="1">
      <protection locked="0"/>
    </xf>
    <xf numFmtId="172" fontId="91" fillId="0" borderId="47" xfId="0" applyNumberFormat="1" applyFont="1" applyFill="1" applyBorder="1" applyProtection="1">
      <protection locked="0"/>
    </xf>
    <xf numFmtId="174" fontId="91" fillId="0" borderId="52" xfId="0" applyNumberFormat="1" applyFont="1" applyFill="1" applyBorder="1" applyProtection="1">
      <protection locked="0"/>
    </xf>
    <xf numFmtId="172" fontId="91" fillId="0" borderId="50" xfId="0" applyNumberFormat="1" applyFont="1" applyFill="1" applyBorder="1" applyProtection="1">
      <protection locked="0"/>
    </xf>
    <xf numFmtId="174" fontId="91" fillId="0" borderId="47" xfId="0" applyNumberFormat="1" applyFont="1" applyFill="1" applyBorder="1" applyProtection="1">
      <protection locked="0"/>
    </xf>
    <xf numFmtId="0" fontId="91" fillId="64" borderId="0" xfId="0" applyFont="1" applyFill="1"/>
    <xf numFmtId="0" fontId="92" fillId="64" borderId="0" xfId="0" applyFont="1" applyFill="1" applyBorder="1"/>
    <xf numFmtId="0" fontId="92" fillId="64" borderId="0" xfId="0" applyFont="1" applyFill="1" applyBorder="1" applyAlignment="1">
      <alignment horizontal="right" wrapText="1"/>
    </xf>
    <xf numFmtId="174" fontId="90" fillId="0" borderId="57" xfId="0" applyNumberFormat="1" applyFont="1" applyFill="1" applyBorder="1" applyProtection="1">
      <protection locked="0"/>
    </xf>
    <xf numFmtId="172" fontId="90" fillId="0" borderId="47" xfId="0" applyNumberFormat="1" applyFont="1" applyFill="1" applyBorder="1" applyProtection="1">
      <protection locked="0"/>
    </xf>
    <xf numFmtId="172" fontId="90" fillId="0" borderId="1" xfId="0" applyNumberFormat="1" applyFont="1" applyFill="1" applyBorder="1" applyProtection="1">
      <protection locked="0"/>
    </xf>
    <xf numFmtId="174" fontId="91" fillId="0" borderId="103" xfId="0" applyNumberFormat="1" applyFont="1" applyBorder="1" applyAlignment="1" applyProtection="1">
      <alignment horizontal="right" vertical="top"/>
      <protection locked="0"/>
    </xf>
    <xf numFmtId="174" fontId="91" fillId="0" borderId="55" xfId="0" applyNumberFormat="1" applyFont="1" applyBorder="1" applyAlignment="1" applyProtection="1">
      <alignment horizontal="right" vertical="top"/>
      <protection locked="0"/>
    </xf>
    <xf numFmtId="174" fontId="91" fillId="0" borderId="112" xfId="0" applyNumberFormat="1" applyFont="1" applyBorder="1" applyAlignment="1" applyProtection="1">
      <alignment horizontal="right" vertical="top"/>
      <protection locked="0"/>
    </xf>
    <xf numFmtId="0" fontId="92" fillId="61" borderId="47" xfId="0" applyFont="1" applyFill="1" applyBorder="1" applyAlignment="1" applyProtection="1">
      <alignment horizontal="center" vertical="top"/>
      <protection locked="0"/>
    </xf>
    <xf numFmtId="174" fontId="91" fillId="0" borderId="0" xfId="0" applyNumberFormat="1" applyFont="1" applyFill="1" applyBorder="1" applyAlignment="1" applyProtection="1">
      <alignment horizontal="center" vertical="top"/>
      <protection locked="0"/>
    </xf>
    <xf numFmtId="0" fontId="91" fillId="0" borderId="0" xfId="7" applyFont="1" applyFill="1" applyBorder="1" applyAlignment="1" applyProtection="1">
      <alignment horizontal="left" wrapText="1"/>
      <protection locked="0"/>
    </xf>
    <xf numFmtId="0" fontId="119" fillId="0" borderId="0" xfId="33111" applyFill="1" applyBorder="1" applyAlignment="1" applyProtection="1">
      <alignment horizontal="left" vertical="top"/>
      <protection locked="0"/>
    </xf>
    <xf numFmtId="0" fontId="92" fillId="64" borderId="1" xfId="0" applyFont="1" applyFill="1" applyBorder="1" applyAlignment="1" applyProtection="1">
      <alignment horizontal="center"/>
      <protection locked="0"/>
    </xf>
    <xf numFmtId="0" fontId="92" fillId="64" borderId="14" xfId="0" applyFont="1" applyFill="1" applyBorder="1" applyAlignment="1" applyProtection="1">
      <alignment horizontal="center"/>
      <protection locked="0"/>
    </xf>
    <xf numFmtId="0" fontId="107" fillId="64" borderId="60" xfId="0" applyFont="1" applyFill="1" applyBorder="1" applyAlignment="1" applyProtection="1">
      <alignment horizontal="center" vertical="top"/>
      <protection locked="0"/>
    </xf>
    <xf numFmtId="0" fontId="107" fillId="64" borderId="61" xfId="0" applyFont="1" applyFill="1" applyBorder="1" applyAlignment="1" applyProtection="1">
      <alignment horizontal="center" vertical="top"/>
      <protection locked="0"/>
    </xf>
    <xf numFmtId="0" fontId="107" fillId="64" borderId="62" xfId="0" applyFont="1" applyFill="1" applyBorder="1" applyAlignment="1" applyProtection="1">
      <alignment horizontal="center" vertical="top"/>
      <protection locked="0"/>
    </xf>
    <xf numFmtId="0" fontId="104" fillId="64" borderId="45" xfId="0" applyFont="1" applyFill="1" applyBorder="1" applyAlignment="1" applyProtection="1">
      <alignment horizontal="center" vertical="top"/>
      <protection locked="0"/>
    </xf>
    <xf numFmtId="0" fontId="104" fillId="64" borderId="41" xfId="0" applyFont="1" applyFill="1" applyBorder="1" applyAlignment="1" applyProtection="1">
      <alignment horizontal="center" vertical="top"/>
      <protection locked="0"/>
    </xf>
    <xf numFmtId="0" fontId="104" fillId="64" borderId="46" xfId="0" applyFont="1" applyFill="1" applyBorder="1" applyAlignment="1" applyProtection="1">
      <alignment horizontal="center" vertical="top"/>
      <protection locked="0"/>
    </xf>
    <xf numFmtId="0" fontId="122" fillId="0" borderId="55" xfId="33111" applyFont="1" applyFill="1" applyBorder="1" applyAlignment="1" applyProtection="1">
      <alignment horizontal="center" vertical="top"/>
      <protection locked="0"/>
    </xf>
    <xf numFmtId="172" fontId="122" fillId="0" borderId="55" xfId="33111" applyNumberFormat="1" applyFont="1" applyFill="1" applyBorder="1" applyAlignment="1" applyProtection="1">
      <alignment horizontal="center" vertical="top"/>
      <protection locked="0"/>
    </xf>
    <xf numFmtId="0" fontId="120" fillId="72" borderId="0" xfId="33111" applyFont="1" applyFill="1" applyBorder="1" applyAlignment="1" applyProtection="1">
      <alignment horizontal="left" vertical="top" wrapText="1"/>
      <protection locked="0"/>
    </xf>
    <xf numFmtId="0" fontId="64" fillId="62" borderId="90" xfId="33111" applyFont="1" applyFill="1" applyBorder="1" applyAlignment="1" applyProtection="1">
      <alignment horizontal="center" vertical="top" wrapText="1"/>
      <protection locked="0"/>
    </xf>
    <xf numFmtId="0" fontId="91" fillId="0" borderId="93" xfId="33111" applyFont="1" applyFill="1" applyBorder="1" applyAlignment="1" applyProtection="1">
      <alignment vertical="center" wrapText="1"/>
      <protection locked="0"/>
    </xf>
    <xf numFmtId="0" fontId="91" fillId="0" borderId="16" xfId="33111" applyFont="1" applyFill="1" applyBorder="1" applyAlignment="1" applyProtection="1">
      <alignment horizontal="left" vertical="center"/>
      <protection locked="0"/>
    </xf>
    <xf numFmtId="0" fontId="91" fillId="0" borderId="95" xfId="33111" applyFont="1" applyFill="1" applyBorder="1" applyAlignment="1" applyProtection="1">
      <alignment horizontal="right" vertical="center" wrapText="1"/>
      <protection locked="0"/>
    </xf>
    <xf numFmtId="0" fontId="91" fillId="0" borderId="95" xfId="33111" applyFont="1" applyFill="1" applyBorder="1" applyAlignment="1" applyProtection="1">
      <alignment vertical="center" wrapText="1"/>
      <protection locked="0"/>
    </xf>
    <xf numFmtId="0" fontId="91" fillId="0" borderId="94" xfId="33111" applyFont="1" applyFill="1" applyBorder="1" applyAlignment="1" applyProtection="1">
      <alignment horizontal="right" vertical="center" wrapText="1"/>
      <protection locked="0"/>
    </xf>
    <xf numFmtId="0" fontId="91" fillId="0" borderId="70" xfId="33111" applyFont="1" applyFill="1" applyBorder="1" applyAlignment="1" applyProtection="1">
      <alignment horizontal="left" vertical="center"/>
      <protection locked="0"/>
    </xf>
    <xf numFmtId="0" fontId="91" fillId="0" borderId="74" xfId="33111" applyFont="1" applyFill="1" applyBorder="1" applyAlignment="1" applyProtection="1">
      <alignment horizontal="right" vertical="center" wrapText="1"/>
      <protection locked="0"/>
    </xf>
    <xf numFmtId="0" fontId="91" fillId="0" borderId="70" xfId="33111" applyFont="1" applyFill="1" applyBorder="1" applyAlignment="1" applyProtection="1">
      <alignment horizontal="right" vertical="center" wrapText="1"/>
      <protection locked="0"/>
    </xf>
    <xf numFmtId="172" fontId="91" fillId="0" borderId="70" xfId="33111" applyNumberFormat="1" applyFont="1" applyFill="1" applyBorder="1" applyAlignment="1" applyProtection="1">
      <alignment horizontal="right" vertical="center"/>
      <protection locked="0"/>
    </xf>
    <xf numFmtId="172" fontId="91" fillId="0" borderId="95" xfId="33111" applyNumberFormat="1" applyFont="1" applyFill="1" applyBorder="1" applyAlignment="1" applyProtection="1">
      <alignment vertical="center" wrapText="1"/>
      <protection locked="0"/>
    </xf>
    <xf numFmtId="0" fontId="96" fillId="0" borderId="94" xfId="33111" applyFont="1" applyFill="1" applyBorder="1" applyAlignment="1" applyProtection="1">
      <alignment horizontal="right" vertical="center" wrapText="1"/>
      <protection locked="0"/>
    </xf>
    <xf numFmtId="181" fontId="91" fillId="0" borderId="95" xfId="33111" applyNumberFormat="1" applyFont="1" applyFill="1" applyBorder="1" applyAlignment="1" applyProtection="1">
      <alignment horizontal="right" vertical="center" wrapText="1"/>
      <protection locked="0"/>
    </xf>
    <xf numFmtId="172" fontId="91" fillId="0" borderId="94" xfId="33111" applyNumberFormat="1" applyFont="1" applyFill="1" applyBorder="1" applyAlignment="1" applyProtection="1">
      <alignment horizontal="right" vertical="center" wrapText="1"/>
      <protection locked="0"/>
    </xf>
    <xf numFmtId="172" fontId="91" fillId="0" borderId="95" xfId="33111" applyNumberFormat="1" applyFont="1" applyFill="1" applyBorder="1" applyAlignment="1" applyProtection="1">
      <alignment horizontal="right" vertical="center" wrapText="1"/>
      <protection locked="0"/>
    </xf>
    <xf numFmtId="172" fontId="90" fillId="0" borderId="95" xfId="33111" quotePrefix="1" applyNumberFormat="1" applyFont="1" applyFill="1" applyBorder="1" applyAlignment="1" applyProtection="1">
      <alignment vertical="center" wrapText="1"/>
      <protection locked="0"/>
    </xf>
    <xf numFmtId="172" fontId="91" fillId="0" borderId="101" xfId="33111" applyNumberFormat="1" applyFont="1" applyFill="1" applyBorder="1" applyAlignment="1" applyProtection="1">
      <alignment horizontal="right" vertical="center" wrapText="1"/>
      <protection locked="0"/>
    </xf>
    <xf numFmtId="0" fontId="91" fillId="0" borderId="58" xfId="33111" applyFont="1" applyFill="1" applyBorder="1" applyAlignment="1" applyProtection="1">
      <alignment vertical="top" wrapText="1"/>
      <protection locked="0"/>
    </xf>
    <xf numFmtId="0" fontId="91" fillId="0" borderId="57" xfId="33111" applyFont="1" applyFill="1" applyBorder="1" applyAlignment="1" applyProtection="1">
      <alignment vertical="top" wrapText="1"/>
      <protection locked="0"/>
    </xf>
    <xf numFmtId="172" fontId="91" fillId="0" borderId="57" xfId="33111" applyNumberFormat="1" applyFont="1" applyFill="1" applyBorder="1" applyAlignment="1" applyProtection="1">
      <alignment horizontal="right" vertical="top" wrapText="1"/>
      <protection locked="0"/>
    </xf>
    <xf numFmtId="0" fontId="91" fillId="0" borderId="57" xfId="33111" applyFont="1" applyFill="1" applyBorder="1" applyAlignment="1" applyProtection="1">
      <alignment horizontal="right" vertical="top" wrapText="1"/>
      <protection locked="0"/>
    </xf>
    <xf numFmtId="0" fontId="91" fillId="0" borderId="1" xfId="33111" applyFont="1" applyFill="1" applyBorder="1" applyAlignment="1" applyProtection="1">
      <alignment vertical="top" wrapText="1"/>
      <protection locked="0"/>
    </xf>
    <xf numFmtId="172" fontId="91" fillId="0" borderId="1" xfId="33111" applyNumberFormat="1" applyFont="1" applyFill="1" applyBorder="1" applyAlignment="1" applyProtection="1">
      <alignment horizontal="right" vertical="top" wrapText="1"/>
      <protection locked="0"/>
    </xf>
    <xf numFmtId="0" fontId="91" fillId="0" borderId="1" xfId="33111" applyFont="1" applyFill="1" applyBorder="1" applyAlignment="1" applyProtection="1">
      <alignment horizontal="right" vertical="top" wrapText="1"/>
      <protection locked="0"/>
    </xf>
    <xf numFmtId="0" fontId="121" fillId="0" borderId="0" xfId="33111" applyFont="1" applyFill="1" applyBorder="1" applyAlignment="1" applyProtection="1">
      <alignment vertical="top" wrapText="1"/>
      <protection locked="0"/>
    </xf>
    <xf numFmtId="181" fontId="89" fillId="0" borderId="85" xfId="33111" applyNumberFormat="1" applyFont="1" applyFill="1" applyBorder="1" applyAlignment="1" applyProtection="1">
      <alignment horizontal="right" vertical="top" wrapText="1"/>
      <protection locked="0"/>
    </xf>
    <xf numFmtId="0" fontId="89" fillId="0" borderId="86" xfId="33111" applyFont="1" applyFill="1" applyBorder="1" applyAlignment="1" applyProtection="1">
      <alignment horizontal="left" vertical="top" wrapText="1"/>
      <protection locked="0"/>
    </xf>
    <xf numFmtId="192" fontId="90" fillId="0" borderId="81" xfId="33111" applyNumberFormat="1" applyFont="1" applyFill="1" applyBorder="1" applyAlignment="1" applyProtection="1">
      <alignment horizontal="right" vertical="top" wrapText="1"/>
      <protection locked="0"/>
    </xf>
    <xf numFmtId="0" fontId="90" fillId="0" borderId="82" xfId="33111" applyFont="1" applyFill="1" applyBorder="1" applyAlignment="1" applyProtection="1">
      <alignment horizontal="left" vertical="top" wrapText="1"/>
      <protection locked="0"/>
    </xf>
    <xf numFmtId="187" fontId="128" fillId="2" borderId="0" xfId="33111" applyNumberFormat="1" applyFont="1" applyFill="1" applyBorder="1" applyAlignment="1" applyProtection="1">
      <alignment horizontal="right" vertical="top"/>
      <protection locked="0"/>
    </xf>
    <xf numFmtId="0" fontId="128" fillId="0" borderId="0" xfId="33111" applyFont="1" applyFill="1" applyBorder="1" applyAlignment="1" applyProtection="1">
      <alignment horizontal="left" vertical="top"/>
      <protection locked="0"/>
    </xf>
    <xf numFmtId="174" fontId="128" fillId="0" borderId="0" xfId="33111" applyNumberFormat="1" applyFont="1" applyFill="1" applyBorder="1" applyAlignment="1" applyProtection="1">
      <alignment horizontal="right" vertical="top"/>
      <protection locked="0"/>
    </xf>
    <xf numFmtId="0" fontId="128" fillId="0" borderId="0" xfId="33111" quotePrefix="1" applyFont="1" applyFill="1" applyBorder="1" applyAlignment="1" applyProtection="1">
      <alignment horizontal="left" vertical="top"/>
      <protection locked="0"/>
    </xf>
    <xf numFmtId="174" fontId="119" fillId="0" borderId="0" xfId="33111" applyNumberFormat="1" applyFill="1" applyBorder="1" applyAlignment="1" applyProtection="1">
      <alignment horizontal="right" vertical="top"/>
      <protection locked="0"/>
    </xf>
    <xf numFmtId="0" fontId="11" fillId="66" borderId="69" xfId="0" applyFont="1" applyFill="1" applyBorder="1" applyAlignment="1">
      <alignment horizontal="center"/>
    </xf>
    <xf numFmtId="0" fontId="11" fillId="66" borderId="65" xfId="0" applyFont="1" applyFill="1" applyBorder="1" applyAlignment="1">
      <alignment horizontal="center"/>
    </xf>
    <xf numFmtId="0" fontId="11" fillId="66" borderId="63" xfId="0" applyFont="1" applyFill="1" applyBorder="1" applyAlignment="1">
      <alignment horizontal="center"/>
    </xf>
    <xf numFmtId="0" fontId="11" fillId="66" borderId="65" xfId="0" applyFont="1" applyFill="1" applyBorder="1" applyAlignment="1">
      <alignment horizontal="center" wrapText="1"/>
    </xf>
    <xf numFmtId="0" fontId="11" fillId="66" borderId="63" xfId="0" applyFont="1" applyFill="1" applyBorder="1" applyAlignment="1">
      <alignment horizontal="center" wrapText="1"/>
    </xf>
    <xf numFmtId="172" fontId="92" fillId="0" borderId="0" xfId="0" applyNumberFormat="1" applyFont="1" applyAlignment="1" applyProtection="1">
      <alignment horizontal="center"/>
    </xf>
    <xf numFmtId="172" fontId="92" fillId="0" borderId="57" xfId="0" applyNumberFormat="1" applyFont="1" applyBorder="1" applyAlignment="1" applyProtection="1">
      <alignment horizontal="center"/>
    </xf>
    <xf numFmtId="0" fontId="92" fillId="64" borderId="0" xfId="0" applyFont="1" applyFill="1" applyProtection="1"/>
    <xf numFmtId="209" fontId="92" fillId="0" borderId="47" xfId="0" applyNumberFormat="1" applyFont="1" applyFill="1" applyBorder="1" applyAlignment="1">
      <alignment horizontal="right" vertical="top"/>
    </xf>
    <xf numFmtId="172" fontId="89" fillId="0" borderId="52" xfId="0" applyNumberFormat="1" applyFont="1" applyFill="1" applyBorder="1" applyAlignment="1" applyProtection="1">
      <alignment horizontal="right" vertical="top"/>
    </xf>
    <xf numFmtId="0" fontId="92" fillId="3" borderId="47" xfId="0" applyFont="1" applyFill="1" applyBorder="1"/>
    <xf numFmtId="172" fontId="91" fillId="3" borderId="47" xfId="0" applyNumberFormat="1" applyFont="1" applyFill="1" applyBorder="1" applyAlignment="1">
      <alignment horizontal="right" vertical="top"/>
    </xf>
    <xf numFmtId="172" fontId="92" fillId="0" borderId="57" xfId="0" applyNumberFormat="1" applyFont="1" applyFill="1" applyBorder="1" applyAlignment="1">
      <alignment horizontal="right" vertical="top"/>
    </xf>
    <xf numFmtId="174" fontId="173" fillId="2" borderId="47" xfId="0" applyNumberFormat="1" applyFont="1" applyFill="1" applyBorder="1" applyAlignment="1" applyProtection="1">
      <alignment horizontal="center" vertical="top"/>
    </xf>
    <xf numFmtId="172" fontId="173" fillId="2" borderId="47" xfId="0" applyNumberFormat="1" applyFont="1" applyFill="1" applyBorder="1" applyAlignment="1" applyProtection="1">
      <alignment horizontal="center" vertical="top"/>
    </xf>
    <xf numFmtId="0" fontId="105" fillId="0" borderId="0" xfId="0" applyFont="1" applyAlignment="1" applyProtection="1">
      <alignment horizontal="center"/>
    </xf>
    <xf numFmtId="221" fontId="90" fillId="0" borderId="55" xfId="11" applyNumberFormat="1" applyFont="1" applyFill="1" applyBorder="1" applyAlignment="1" applyProtection="1">
      <alignment horizontal="right"/>
    </xf>
    <xf numFmtId="0" fontId="92" fillId="64" borderId="13" xfId="0" applyFont="1" applyFill="1" applyBorder="1" applyProtection="1"/>
    <xf numFmtId="0" fontId="92" fillId="64" borderId="11" xfId="0" applyFont="1" applyFill="1" applyBorder="1" applyProtection="1"/>
    <xf numFmtId="0" fontId="92" fillId="64" borderId="12" xfId="0" applyFont="1" applyFill="1" applyBorder="1" applyProtection="1"/>
    <xf numFmtId="0" fontId="92" fillId="64" borderId="10" xfId="0" applyFont="1" applyFill="1" applyBorder="1" applyProtection="1"/>
    <xf numFmtId="0" fontId="92" fillId="64" borderId="9" xfId="0" applyFont="1" applyFill="1" applyBorder="1" applyProtection="1"/>
    <xf numFmtId="0" fontId="104" fillId="0" borderId="0" xfId="0" applyFont="1" applyFill="1"/>
    <xf numFmtId="172" fontId="173" fillId="2" borderId="0" xfId="0" applyNumberFormat="1" applyFont="1" applyFill="1" applyProtection="1">
      <protection locked="0"/>
    </xf>
    <xf numFmtId="172" fontId="91" fillId="0" borderId="57" xfId="0" applyNumberFormat="1" applyFont="1" applyBorder="1" applyProtection="1">
      <protection locked="0"/>
    </xf>
    <xf numFmtId="172" fontId="92" fillId="0" borderId="57" xfId="0" applyNumberFormat="1" applyFont="1" applyBorder="1" applyProtection="1">
      <protection locked="0"/>
    </xf>
    <xf numFmtId="172" fontId="92" fillId="0" borderId="57" xfId="0" applyNumberFormat="1" applyFont="1" applyBorder="1"/>
    <xf numFmtId="172" fontId="91" fillId="0" borderId="65" xfId="0" applyNumberFormat="1" applyFont="1" applyBorder="1"/>
    <xf numFmtId="0" fontId="102" fillId="64" borderId="1" xfId="0" applyFont="1" applyFill="1" applyBorder="1"/>
    <xf numFmtId="211" fontId="91" fillId="64" borderId="1" xfId="33110" applyNumberFormat="1" applyFont="1" applyFill="1" applyBorder="1"/>
    <xf numFmtId="183" fontId="92" fillId="64" borderId="1" xfId="4" applyNumberFormat="1" applyFont="1" applyFill="1" applyBorder="1"/>
    <xf numFmtId="183" fontId="92" fillId="64" borderId="1" xfId="4" applyNumberFormat="1" applyFont="1" applyFill="1" applyBorder="1" applyAlignment="1">
      <alignment horizontal="center"/>
    </xf>
    <xf numFmtId="0" fontId="181" fillId="62" borderId="47" xfId="7" applyFont="1" applyFill="1" applyBorder="1" applyAlignment="1" applyProtection="1">
      <alignment horizontal="left" vertical="center"/>
    </xf>
    <xf numFmtId="0" fontId="181" fillId="0" borderId="47" xfId="7" applyFont="1" applyBorder="1" applyAlignment="1" applyProtection="1">
      <alignment horizontal="left" vertical="center"/>
    </xf>
    <xf numFmtId="0" fontId="181" fillId="0" borderId="47" xfId="7" applyFont="1" applyBorder="1" applyAlignment="1" applyProtection="1">
      <alignment horizontal="left" vertical="center" wrapText="1"/>
    </xf>
    <xf numFmtId="0" fontId="186" fillId="0" borderId="47" xfId="7" applyFont="1" applyBorder="1" applyAlignment="1" applyProtection="1"/>
    <xf numFmtId="174" fontId="90" fillId="0" borderId="47" xfId="9" applyNumberFormat="1" applyFont="1" applyFill="1" applyBorder="1" applyAlignment="1" applyProtection="1">
      <alignment horizontal="right" vertical="top"/>
      <protection locked="0"/>
    </xf>
    <xf numFmtId="174" fontId="90" fillId="0" borderId="47" xfId="9" applyNumberFormat="1" applyFont="1" applyFill="1" applyBorder="1" applyAlignment="1" applyProtection="1">
      <alignment horizontal="right" vertical="top"/>
    </xf>
    <xf numFmtId="174" fontId="91" fillId="0" borderId="47" xfId="9" applyNumberFormat="1" applyFont="1" applyFill="1" applyBorder="1" applyAlignment="1" applyProtection="1">
      <alignment horizontal="right" vertical="top"/>
      <protection locked="0"/>
    </xf>
    <xf numFmtId="172" fontId="90" fillId="0" borderId="50" xfId="13330" applyNumberFormat="1" applyFont="1" applyFill="1" applyBorder="1" applyAlignment="1">
      <alignment horizontal="right" vertical="top"/>
    </xf>
    <xf numFmtId="172" fontId="90" fillId="0" borderId="51" xfId="9" applyNumberFormat="1" applyFont="1" applyFill="1" applyBorder="1" applyAlignment="1" applyProtection="1">
      <alignment horizontal="right" vertical="top"/>
    </xf>
    <xf numFmtId="9" fontId="90" fillId="0" borderId="47" xfId="9" applyFont="1" applyFill="1" applyBorder="1" applyAlignment="1" applyProtection="1">
      <alignment horizontal="right" vertical="top"/>
      <protection locked="0"/>
    </xf>
    <xf numFmtId="172" fontId="96" fillId="0" borderId="47" xfId="9" applyNumberFormat="1" applyFont="1" applyFill="1" applyBorder="1" applyAlignment="1" applyProtection="1">
      <alignment horizontal="right" vertical="top"/>
      <protection locked="0"/>
    </xf>
    <xf numFmtId="8" fontId="91" fillId="2" borderId="47" xfId="0" applyNumberFormat="1" applyFont="1" applyFill="1" applyBorder="1" applyProtection="1">
      <protection locked="0"/>
    </xf>
    <xf numFmtId="0" fontId="118" fillId="2" borderId="47" xfId="0" applyFont="1" applyFill="1" applyBorder="1" applyAlignment="1" applyProtection="1">
      <alignment horizontal="left"/>
      <protection locked="0"/>
    </xf>
    <xf numFmtId="0" fontId="127" fillId="2" borderId="52" xfId="0" applyFont="1" applyFill="1" applyBorder="1" applyAlignment="1" applyProtection="1">
      <alignment horizontal="center"/>
      <protection locked="0"/>
    </xf>
    <xf numFmtId="0" fontId="92" fillId="0" borderId="1" xfId="0" applyFont="1" applyBorder="1" applyAlignment="1">
      <alignment wrapText="1"/>
    </xf>
    <xf numFmtId="0" fontId="92" fillId="0" borderId="1" xfId="0" applyFont="1" applyBorder="1" applyAlignment="1"/>
    <xf numFmtId="0" fontId="96" fillId="2" borderId="52" xfId="0" applyFont="1" applyFill="1" applyBorder="1" applyAlignment="1" applyProtection="1">
      <alignment horizontal="left"/>
      <protection locked="0"/>
    </xf>
    <xf numFmtId="0" fontId="91" fillId="2" borderId="52" xfId="7" applyFont="1" applyFill="1" applyBorder="1" applyAlignment="1" applyProtection="1">
      <alignment horizontal="left" wrapText="1"/>
      <protection locked="0"/>
    </xf>
    <xf numFmtId="0" fontId="96" fillId="2" borderId="47" xfId="0" applyFont="1" applyFill="1" applyBorder="1" applyAlignment="1" applyProtection="1">
      <alignment horizontal="left"/>
      <protection locked="0"/>
    </xf>
    <xf numFmtId="0" fontId="91" fillId="2" borderId="47" xfId="7" applyFont="1" applyFill="1" applyBorder="1" applyAlignment="1" applyProtection="1">
      <alignment horizontal="left" wrapText="1"/>
      <protection locked="0"/>
    </xf>
    <xf numFmtId="0" fontId="118" fillId="2" borderId="52" xfId="0" applyFont="1" applyFill="1" applyBorder="1" applyAlignment="1" applyProtection="1">
      <alignment horizontal="left"/>
      <protection locked="0"/>
    </xf>
    <xf numFmtId="0" fontId="107" fillId="0" borderId="136" xfId="0" applyFont="1" applyBorder="1" applyAlignment="1">
      <alignment horizontal="left" vertical="center" wrapText="1"/>
    </xf>
    <xf numFmtId="0" fontId="107" fillId="0" borderId="47" xfId="0" applyFont="1" applyBorder="1" applyAlignment="1">
      <alignment horizontal="left" vertical="center" wrapText="1"/>
    </xf>
    <xf numFmtId="0" fontId="96" fillId="2" borderId="50" xfId="0" applyFont="1" applyFill="1" applyBorder="1" applyAlignment="1" applyProtection="1">
      <protection locked="0"/>
    </xf>
    <xf numFmtId="0" fontId="96" fillId="2" borderId="52" xfId="0" applyFont="1" applyFill="1" applyBorder="1" applyAlignment="1" applyProtection="1">
      <protection locked="0"/>
    </xf>
    <xf numFmtId="0" fontId="96" fillId="2" borderId="47" xfId="0" applyFont="1" applyFill="1" applyBorder="1" applyAlignment="1" applyProtection="1">
      <protection locked="0"/>
    </xf>
    <xf numFmtId="0" fontId="92" fillId="63" borderId="57" xfId="0" applyFont="1" applyFill="1" applyBorder="1" applyAlignment="1">
      <alignment wrapText="1"/>
    </xf>
    <xf numFmtId="0" fontId="92" fillId="63" borderId="65" xfId="0" applyFont="1" applyFill="1" applyBorder="1" applyAlignment="1">
      <alignment wrapText="1"/>
    </xf>
    <xf numFmtId="0" fontId="89" fillId="60" borderId="69" xfId="0" applyFont="1" applyFill="1" applyBorder="1" applyAlignment="1" applyProtection="1">
      <alignment horizontal="center" vertical="center" wrapText="1"/>
    </xf>
    <xf numFmtId="0" fontId="89" fillId="60" borderId="65" xfId="0" applyFont="1" applyFill="1" applyBorder="1" applyAlignment="1" applyProtection="1">
      <alignment horizontal="center" vertical="center" wrapText="1"/>
    </xf>
    <xf numFmtId="0" fontId="89" fillId="60" borderId="63" xfId="0" applyFont="1" applyFill="1" applyBorder="1" applyAlignment="1" applyProtection="1">
      <alignment horizontal="center" vertical="center" wrapText="1"/>
    </xf>
    <xf numFmtId="0" fontId="96" fillId="2" borderId="108" xfId="0" applyFont="1" applyFill="1" applyBorder="1" applyAlignment="1" applyProtection="1">
      <protection locked="0"/>
    </xf>
    <xf numFmtId="0" fontId="89" fillId="0" borderId="57" xfId="0" applyFont="1" applyFill="1" applyBorder="1" applyAlignment="1">
      <alignment horizontal="left"/>
    </xf>
    <xf numFmtId="0" fontId="89" fillId="0" borderId="65" xfId="0" applyFont="1" applyFill="1" applyBorder="1" applyAlignment="1">
      <alignment horizontal="left"/>
    </xf>
    <xf numFmtId="0" fontId="100" fillId="0" borderId="1" xfId="7" applyFont="1" applyFill="1" applyBorder="1" applyAlignment="1" applyProtection="1">
      <alignment horizontal="right" wrapText="1" indent="1"/>
    </xf>
    <xf numFmtId="0" fontId="100" fillId="0" borderId="14" xfId="7" applyFont="1" applyFill="1" applyBorder="1" applyAlignment="1" applyProtection="1">
      <alignment horizontal="right" wrapText="1" indent="1"/>
    </xf>
    <xf numFmtId="0" fontId="91" fillId="0" borderId="0" xfId="0" applyFont="1" applyFill="1" applyAlignment="1" applyProtection="1"/>
    <xf numFmtId="0" fontId="109" fillId="65" borderId="0" xfId="0" applyFont="1" applyFill="1" applyAlignment="1" applyProtection="1">
      <alignment wrapText="1"/>
    </xf>
    <xf numFmtId="0" fontId="61" fillId="68" borderId="0" xfId="0" applyFont="1" applyFill="1" applyAlignment="1"/>
    <xf numFmtId="0" fontId="102" fillId="64" borderId="0" xfId="0" applyFont="1" applyFill="1" applyBorder="1" applyAlignment="1">
      <alignment horizontal="left"/>
    </xf>
    <xf numFmtId="0" fontId="113" fillId="65" borderId="0" xfId="0" quotePrefix="1" applyFont="1" applyFill="1" applyAlignment="1">
      <alignment wrapText="1"/>
    </xf>
    <xf numFmtId="0" fontId="92" fillId="0" borderId="69" xfId="0" applyFont="1" applyFill="1" applyBorder="1" applyAlignment="1" applyProtection="1">
      <alignment horizontal="center"/>
    </xf>
    <xf numFmtId="0" fontId="92" fillId="0" borderId="65" xfId="0" applyFont="1" applyFill="1" applyBorder="1" applyAlignment="1" applyProtection="1">
      <alignment horizontal="center"/>
    </xf>
    <xf numFmtId="0" fontId="92" fillId="0" borderId="63" xfId="0" applyFont="1" applyFill="1" applyBorder="1" applyAlignment="1" applyProtection="1">
      <alignment horizontal="center"/>
    </xf>
    <xf numFmtId="0" fontId="184" fillId="66" borderId="69" xfId="0" quotePrefix="1" applyFont="1" applyFill="1" applyBorder="1" applyAlignment="1">
      <alignment wrapText="1"/>
    </xf>
    <xf numFmtId="0" fontId="184" fillId="66" borderId="65" xfId="0" applyFont="1" applyFill="1" applyBorder="1"/>
    <xf numFmtId="0" fontId="64" fillId="6" borderId="0" xfId="0" applyFont="1" applyFill="1" applyProtection="1"/>
    <xf numFmtId="0" fontId="64" fillId="0" borderId="0" xfId="8" applyFont="1" applyBorder="1" applyAlignment="1" applyProtection="1">
      <alignment horizontal="center"/>
    </xf>
    <xf numFmtId="0" fontId="135" fillId="0" borderId="0" xfId="0" applyFont="1" applyAlignment="1">
      <alignment horizontal="center"/>
    </xf>
    <xf numFmtId="0" fontId="64" fillId="62" borderId="98" xfId="33111" applyFont="1" applyFill="1" applyBorder="1" applyAlignment="1" applyProtection="1">
      <alignment horizontal="center" vertical="top" wrapText="1"/>
      <protection locked="0"/>
    </xf>
    <xf numFmtId="0" fontId="64" fillId="62" borderId="99" xfId="33111" applyFont="1" applyFill="1" applyBorder="1" applyAlignment="1" applyProtection="1">
      <alignment horizontal="center" vertical="top" wrapText="1"/>
      <protection locked="0"/>
    </xf>
    <xf numFmtId="172" fontId="15" fillId="0" borderId="57" xfId="6628" applyNumberFormat="1" applyFont="1" applyBorder="1" applyAlignment="1">
      <alignment horizontal="center"/>
    </xf>
  </cellXfs>
  <cellStyles count="33112">
    <cellStyle name="20% - Accent1" xfId="28" builtinId="30" customBuiltin="1"/>
    <cellStyle name="20% - Accent1 10" xfId="53" xr:uid="{00000000-0005-0000-0000-000001000000}"/>
    <cellStyle name="20% - Accent1 10 2" xfId="54" xr:uid="{00000000-0005-0000-0000-000002000000}"/>
    <cellStyle name="20% - Accent1 10 2 2" xfId="55" xr:uid="{00000000-0005-0000-0000-000003000000}"/>
    <cellStyle name="20% - Accent1 10 2 2 2" xfId="12454" xr:uid="{00000000-0005-0000-0000-000004000000}"/>
    <cellStyle name="20% - Accent1 10 2 2 2 2" xfId="26166" xr:uid="{00000000-0005-0000-0000-000005000000}"/>
    <cellStyle name="20% - Accent1 10 2 2 3" xfId="17378" xr:uid="{00000000-0005-0000-0000-000006000000}"/>
    <cellStyle name="20% - Accent1 10 2 3" xfId="56" xr:uid="{00000000-0005-0000-0000-000007000000}"/>
    <cellStyle name="20% - Accent1 10 2 3 2" xfId="14599" xr:uid="{00000000-0005-0000-0000-000008000000}"/>
    <cellStyle name="20% - Accent1 10 2 3 2 2" xfId="28148" xr:uid="{00000000-0005-0000-0000-000009000000}"/>
    <cellStyle name="20% - Accent1 10 2 3 3" xfId="17379" xr:uid="{00000000-0005-0000-0000-00000A000000}"/>
    <cellStyle name="20% - Accent1 10 2 4" xfId="10546" xr:uid="{00000000-0005-0000-0000-00000B000000}"/>
    <cellStyle name="20% - Accent1 10 2 4 2" xfId="24488" xr:uid="{00000000-0005-0000-0000-00000C000000}"/>
    <cellStyle name="20% - Accent1 10 2 5" xfId="17377" xr:uid="{00000000-0005-0000-0000-00000D000000}"/>
    <cellStyle name="20% - Accent1 10 3" xfId="57" xr:uid="{00000000-0005-0000-0000-00000E000000}"/>
    <cellStyle name="20% - Accent1 10 3 2" xfId="12413" xr:uid="{00000000-0005-0000-0000-00000F000000}"/>
    <cellStyle name="20% - Accent1 10 3 2 2" xfId="26125" xr:uid="{00000000-0005-0000-0000-000010000000}"/>
    <cellStyle name="20% - Accent1 10 3 3" xfId="17380" xr:uid="{00000000-0005-0000-0000-000011000000}"/>
    <cellStyle name="20% - Accent1 10 4" xfId="58" xr:uid="{00000000-0005-0000-0000-000012000000}"/>
    <cellStyle name="20% - Accent1 10 4 2" xfId="14600" xr:uid="{00000000-0005-0000-0000-000013000000}"/>
    <cellStyle name="20% - Accent1 10 4 2 2" xfId="28149" xr:uid="{00000000-0005-0000-0000-000014000000}"/>
    <cellStyle name="20% - Accent1 10 4 3" xfId="17381" xr:uid="{00000000-0005-0000-0000-000015000000}"/>
    <cellStyle name="20% - Accent1 10 5" xfId="59" xr:uid="{00000000-0005-0000-0000-000016000000}"/>
    <cellStyle name="20% - Accent1 10 5 2" xfId="17185" xr:uid="{00000000-0005-0000-0000-000017000000}"/>
    <cellStyle name="20% - Accent1 10 5 2 2" xfId="30544" xr:uid="{00000000-0005-0000-0000-000018000000}"/>
    <cellStyle name="20% - Accent1 10 5 3" xfId="17382" xr:uid="{00000000-0005-0000-0000-000019000000}"/>
    <cellStyle name="20% - Accent1 10 6" xfId="8821" xr:uid="{00000000-0005-0000-0000-00001A000000}"/>
    <cellStyle name="20% - Accent1 10 6 2" xfId="23296" xr:uid="{00000000-0005-0000-0000-00001B000000}"/>
    <cellStyle name="20% - Accent1 10 7" xfId="17376" xr:uid="{00000000-0005-0000-0000-00001C000000}"/>
    <cellStyle name="20% - Accent1 11" xfId="60" xr:uid="{00000000-0005-0000-0000-00001D000000}"/>
    <cellStyle name="20% - Accent1 11 2" xfId="61" xr:uid="{00000000-0005-0000-0000-00001E000000}"/>
    <cellStyle name="20% - Accent1 11 2 2" xfId="10547" xr:uid="{00000000-0005-0000-0000-00001F000000}"/>
    <cellStyle name="20% - Accent1 11 2 2 2" xfId="24489" xr:uid="{00000000-0005-0000-0000-000020000000}"/>
    <cellStyle name="20% - Accent1 11 2 3" xfId="17384" xr:uid="{00000000-0005-0000-0000-000021000000}"/>
    <cellStyle name="20% - Accent1 11 3" xfId="62" xr:uid="{00000000-0005-0000-0000-000022000000}"/>
    <cellStyle name="20% - Accent1 11 3 2" xfId="12645" xr:uid="{00000000-0005-0000-0000-000023000000}"/>
    <cellStyle name="20% - Accent1 11 3 2 2" xfId="26357" xr:uid="{00000000-0005-0000-0000-000024000000}"/>
    <cellStyle name="20% - Accent1 11 3 3" xfId="17385" xr:uid="{00000000-0005-0000-0000-000025000000}"/>
    <cellStyle name="20% - Accent1 11 4" xfId="63" xr:uid="{00000000-0005-0000-0000-000026000000}"/>
    <cellStyle name="20% - Accent1 11 4 2" xfId="14598" xr:uid="{00000000-0005-0000-0000-000027000000}"/>
    <cellStyle name="20% - Accent1 11 4 2 2" xfId="28147" xr:uid="{00000000-0005-0000-0000-000028000000}"/>
    <cellStyle name="20% - Accent1 11 4 3" xfId="17386" xr:uid="{00000000-0005-0000-0000-000029000000}"/>
    <cellStyle name="20% - Accent1 11 5" xfId="64" xr:uid="{00000000-0005-0000-0000-00002A000000}"/>
    <cellStyle name="20% - Accent1 11 5 2" xfId="17274" xr:uid="{00000000-0005-0000-0000-00002B000000}"/>
    <cellStyle name="20% - Accent1 11 5 2 2" xfId="30633" xr:uid="{00000000-0005-0000-0000-00002C000000}"/>
    <cellStyle name="20% - Accent1 11 5 3" xfId="17387" xr:uid="{00000000-0005-0000-0000-00002D000000}"/>
    <cellStyle name="20% - Accent1 11 6" xfId="8822" xr:uid="{00000000-0005-0000-0000-00002E000000}"/>
    <cellStyle name="20% - Accent1 11 6 2" xfId="23297" xr:uid="{00000000-0005-0000-0000-00002F000000}"/>
    <cellStyle name="20% - Accent1 11 7" xfId="17383" xr:uid="{00000000-0005-0000-0000-000030000000}"/>
    <cellStyle name="20% - Accent1 12" xfId="65" xr:uid="{00000000-0005-0000-0000-000031000000}"/>
    <cellStyle name="20% - Accent1 12 2" xfId="66" xr:uid="{00000000-0005-0000-0000-000032000000}"/>
    <cellStyle name="20% - Accent1 12 2 2" xfId="67" xr:uid="{00000000-0005-0000-0000-000033000000}"/>
    <cellStyle name="20% - Accent1 12 2 2 2" xfId="10549" xr:uid="{00000000-0005-0000-0000-000034000000}"/>
    <cellStyle name="20% - Accent1 12 2 2 2 2" xfId="24491" xr:uid="{00000000-0005-0000-0000-000035000000}"/>
    <cellStyle name="20% - Accent1 12 2 2 3" xfId="17390" xr:uid="{00000000-0005-0000-0000-000036000000}"/>
    <cellStyle name="20% - Accent1 12 2 3" xfId="68" xr:uid="{00000000-0005-0000-0000-000037000000}"/>
    <cellStyle name="20% - Accent1 12 2 3 2" xfId="12765" xr:uid="{00000000-0005-0000-0000-000038000000}"/>
    <cellStyle name="20% - Accent1 12 2 3 2 2" xfId="26477" xr:uid="{00000000-0005-0000-0000-000039000000}"/>
    <cellStyle name="20% - Accent1 12 2 3 3" xfId="17391" xr:uid="{00000000-0005-0000-0000-00003A000000}"/>
    <cellStyle name="20% - Accent1 12 2 4" xfId="69" xr:uid="{00000000-0005-0000-0000-00003B000000}"/>
    <cellStyle name="20% - Accent1 12 2 4 2" xfId="14596" xr:uid="{00000000-0005-0000-0000-00003C000000}"/>
    <cellStyle name="20% - Accent1 12 2 4 2 2" xfId="28145" xr:uid="{00000000-0005-0000-0000-00003D000000}"/>
    <cellStyle name="20% - Accent1 12 2 4 3" xfId="17392" xr:uid="{00000000-0005-0000-0000-00003E000000}"/>
    <cellStyle name="20% - Accent1 12 2 5" xfId="8824" xr:uid="{00000000-0005-0000-0000-00003F000000}"/>
    <cellStyle name="20% - Accent1 12 2 5 2" xfId="23299" xr:uid="{00000000-0005-0000-0000-000040000000}"/>
    <cellStyle name="20% - Accent1 12 2 6" xfId="17389" xr:uid="{00000000-0005-0000-0000-000041000000}"/>
    <cellStyle name="20% - Accent1 12 3" xfId="70" xr:uid="{00000000-0005-0000-0000-000042000000}"/>
    <cellStyle name="20% - Accent1 12 3 2" xfId="10548" xr:uid="{00000000-0005-0000-0000-000043000000}"/>
    <cellStyle name="20% - Accent1 12 3 2 2" xfId="24490" xr:uid="{00000000-0005-0000-0000-000044000000}"/>
    <cellStyle name="20% - Accent1 12 3 3" xfId="17393" xr:uid="{00000000-0005-0000-0000-000045000000}"/>
    <cellStyle name="20% - Accent1 12 4" xfId="71" xr:uid="{00000000-0005-0000-0000-000046000000}"/>
    <cellStyle name="20% - Accent1 12 4 2" xfId="12433" xr:uid="{00000000-0005-0000-0000-000047000000}"/>
    <cellStyle name="20% - Accent1 12 4 2 2" xfId="26145" xr:uid="{00000000-0005-0000-0000-000048000000}"/>
    <cellStyle name="20% - Accent1 12 4 3" xfId="17394" xr:uid="{00000000-0005-0000-0000-000049000000}"/>
    <cellStyle name="20% - Accent1 12 5" xfId="72" xr:uid="{00000000-0005-0000-0000-00004A000000}"/>
    <cellStyle name="20% - Accent1 12 5 2" xfId="14597" xr:uid="{00000000-0005-0000-0000-00004B000000}"/>
    <cellStyle name="20% - Accent1 12 5 2 2" xfId="28146" xr:uid="{00000000-0005-0000-0000-00004C000000}"/>
    <cellStyle name="20% - Accent1 12 5 3" xfId="17395" xr:uid="{00000000-0005-0000-0000-00004D000000}"/>
    <cellStyle name="20% - Accent1 12 6" xfId="73" xr:uid="{00000000-0005-0000-0000-00004E000000}"/>
    <cellStyle name="20% - Accent1 12 6 2" xfId="16426" xr:uid="{00000000-0005-0000-0000-00004F000000}"/>
    <cellStyle name="20% - Accent1 12 6 2 2" xfId="29833" xr:uid="{00000000-0005-0000-0000-000050000000}"/>
    <cellStyle name="20% - Accent1 12 6 3" xfId="17396" xr:uid="{00000000-0005-0000-0000-000051000000}"/>
    <cellStyle name="20% - Accent1 12 7" xfId="8823" xr:uid="{00000000-0005-0000-0000-000052000000}"/>
    <cellStyle name="20% - Accent1 12 7 2" xfId="23298" xr:uid="{00000000-0005-0000-0000-000053000000}"/>
    <cellStyle name="20% - Accent1 12 8" xfId="17388" xr:uid="{00000000-0005-0000-0000-000054000000}"/>
    <cellStyle name="20% - Accent1 13" xfId="74" xr:uid="{00000000-0005-0000-0000-000055000000}"/>
    <cellStyle name="20% - Accent1 13 2" xfId="75" xr:uid="{00000000-0005-0000-0000-000056000000}"/>
    <cellStyle name="20% - Accent1 13 2 2" xfId="10550" xr:uid="{00000000-0005-0000-0000-000057000000}"/>
    <cellStyle name="20% - Accent1 13 2 2 2" xfId="24492" xr:uid="{00000000-0005-0000-0000-000058000000}"/>
    <cellStyle name="20% - Accent1 13 2 3" xfId="17398" xr:uid="{00000000-0005-0000-0000-000059000000}"/>
    <cellStyle name="20% - Accent1 13 3" xfId="76" xr:uid="{00000000-0005-0000-0000-00005A000000}"/>
    <cellStyle name="20% - Accent1 13 3 2" xfId="12634" xr:uid="{00000000-0005-0000-0000-00005B000000}"/>
    <cellStyle name="20% - Accent1 13 3 2 2" xfId="26346" xr:uid="{00000000-0005-0000-0000-00005C000000}"/>
    <cellStyle name="20% - Accent1 13 3 3" xfId="17399" xr:uid="{00000000-0005-0000-0000-00005D000000}"/>
    <cellStyle name="20% - Accent1 13 4" xfId="77" xr:uid="{00000000-0005-0000-0000-00005E000000}"/>
    <cellStyle name="20% - Accent1 13 4 2" xfId="14595" xr:uid="{00000000-0005-0000-0000-00005F000000}"/>
    <cellStyle name="20% - Accent1 13 4 2 2" xfId="28144" xr:uid="{00000000-0005-0000-0000-000060000000}"/>
    <cellStyle name="20% - Accent1 13 4 3" xfId="17400" xr:uid="{00000000-0005-0000-0000-000061000000}"/>
    <cellStyle name="20% - Accent1 13 5" xfId="8825" xr:uid="{00000000-0005-0000-0000-000062000000}"/>
    <cellStyle name="20% - Accent1 13 5 2" xfId="23300" xr:uid="{00000000-0005-0000-0000-000063000000}"/>
    <cellStyle name="20% - Accent1 13 6" xfId="17397" xr:uid="{00000000-0005-0000-0000-000064000000}"/>
    <cellStyle name="20% - Accent1 14" xfId="78" xr:uid="{00000000-0005-0000-0000-000065000000}"/>
    <cellStyle name="20% - Accent1 14 2" xfId="79" xr:uid="{00000000-0005-0000-0000-000066000000}"/>
    <cellStyle name="20% - Accent1 14 2 2" xfId="10551" xr:uid="{00000000-0005-0000-0000-000067000000}"/>
    <cellStyle name="20% - Accent1 14 2 2 2" xfId="24493" xr:uid="{00000000-0005-0000-0000-000068000000}"/>
    <cellStyle name="20% - Accent1 14 2 3" xfId="17402" xr:uid="{00000000-0005-0000-0000-000069000000}"/>
    <cellStyle name="20% - Accent1 14 3" xfId="80" xr:uid="{00000000-0005-0000-0000-00006A000000}"/>
    <cellStyle name="20% - Accent1 14 3 2" xfId="12602" xr:uid="{00000000-0005-0000-0000-00006B000000}"/>
    <cellStyle name="20% - Accent1 14 3 2 2" xfId="26314" xr:uid="{00000000-0005-0000-0000-00006C000000}"/>
    <cellStyle name="20% - Accent1 14 3 3" xfId="17403" xr:uid="{00000000-0005-0000-0000-00006D000000}"/>
    <cellStyle name="20% - Accent1 14 4" xfId="81" xr:uid="{00000000-0005-0000-0000-00006E000000}"/>
    <cellStyle name="20% - Accent1 14 4 2" xfId="14594" xr:uid="{00000000-0005-0000-0000-00006F000000}"/>
    <cellStyle name="20% - Accent1 14 4 2 2" xfId="28143" xr:uid="{00000000-0005-0000-0000-000070000000}"/>
    <cellStyle name="20% - Accent1 14 4 3" xfId="17404" xr:uid="{00000000-0005-0000-0000-000071000000}"/>
    <cellStyle name="20% - Accent1 14 5" xfId="8826" xr:uid="{00000000-0005-0000-0000-000072000000}"/>
    <cellStyle name="20% - Accent1 14 5 2" xfId="23301" xr:uid="{00000000-0005-0000-0000-000073000000}"/>
    <cellStyle name="20% - Accent1 14 6" xfId="17401" xr:uid="{00000000-0005-0000-0000-000074000000}"/>
    <cellStyle name="20% - Accent1 15" xfId="82" xr:uid="{00000000-0005-0000-0000-000075000000}"/>
    <cellStyle name="20% - Accent1 15 2" xfId="83" xr:uid="{00000000-0005-0000-0000-000076000000}"/>
    <cellStyle name="20% - Accent1 15 2 2" xfId="10552" xr:uid="{00000000-0005-0000-0000-000077000000}"/>
    <cellStyle name="20% - Accent1 15 2 2 2" xfId="24494" xr:uid="{00000000-0005-0000-0000-000078000000}"/>
    <cellStyle name="20% - Accent1 15 2 3" xfId="17406" xr:uid="{00000000-0005-0000-0000-000079000000}"/>
    <cellStyle name="20% - Accent1 15 3" xfId="84" xr:uid="{00000000-0005-0000-0000-00007A000000}"/>
    <cellStyle name="20% - Accent1 15 3 2" xfId="12475" xr:uid="{00000000-0005-0000-0000-00007B000000}"/>
    <cellStyle name="20% - Accent1 15 3 2 2" xfId="26187" xr:uid="{00000000-0005-0000-0000-00007C000000}"/>
    <cellStyle name="20% - Accent1 15 3 3" xfId="17407" xr:uid="{00000000-0005-0000-0000-00007D000000}"/>
    <cellStyle name="20% - Accent1 15 4" xfId="85" xr:uid="{00000000-0005-0000-0000-00007E000000}"/>
    <cellStyle name="20% - Accent1 15 4 2" xfId="14593" xr:uid="{00000000-0005-0000-0000-00007F000000}"/>
    <cellStyle name="20% - Accent1 15 4 2 2" xfId="28142" xr:uid="{00000000-0005-0000-0000-000080000000}"/>
    <cellStyle name="20% - Accent1 15 4 3" xfId="17408" xr:uid="{00000000-0005-0000-0000-000081000000}"/>
    <cellStyle name="20% - Accent1 15 5" xfId="8827" xr:uid="{00000000-0005-0000-0000-000082000000}"/>
    <cellStyle name="20% - Accent1 15 5 2" xfId="23302" xr:uid="{00000000-0005-0000-0000-000083000000}"/>
    <cellStyle name="20% - Accent1 15 6" xfId="17405" xr:uid="{00000000-0005-0000-0000-000084000000}"/>
    <cellStyle name="20% - Accent1 16" xfId="86" xr:uid="{00000000-0005-0000-0000-000085000000}"/>
    <cellStyle name="20% - Accent1 16 2" xfId="87" xr:uid="{00000000-0005-0000-0000-000086000000}"/>
    <cellStyle name="20% - Accent1 16 2 2" xfId="10553" xr:uid="{00000000-0005-0000-0000-000087000000}"/>
    <cellStyle name="20% - Accent1 16 2 2 2" xfId="24495" xr:uid="{00000000-0005-0000-0000-000088000000}"/>
    <cellStyle name="20% - Accent1 16 2 3" xfId="17410" xr:uid="{00000000-0005-0000-0000-000089000000}"/>
    <cellStyle name="20% - Accent1 16 3" xfId="88" xr:uid="{00000000-0005-0000-0000-00008A000000}"/>
    <cellStyle name="20% - Accent1 16 3 2" xfId="12498" xr:uid="{00000000-0005-0000-0000-00008B000000}"/>
    <cellStyle name="20% - Accent1 16 3 2 2" xfId="26210" xr:uid="{00000000-0005-0000-0000-00008C000000}"/>
    <cellStyle name="20% - Accent1 16 3 3" xfId="17411" xr:uid="{00000000-0005-0000-0000-00008D000000}"/>
    <cellStyle name="20% - Accent1 16 4" xfId="89" xr:uid="{00000000-0005-0000-0000-00008E000000}"/>
    <cellStyle name="20% - Accent1 16 4 2" xfId="14592" xr:uid="{00000000-0005-0000-0000-00008F000000}"/>
    <cellStyle name="20% - Accent1 16 4 2 2" xfId="28141" xr:uid="{00000000-0005-0000-0000-000090000000}"/>
    <cellStyle name="20% - Accent1 16 4 3" xfId="17412" xr:uid="{00000000-0005-0000-0000-000091000000}"/>
    <cellStyle name="20% - Accent1 16 5" xfId="8828" xr:uid="{00000000-0005-0000-0000-000092000000}"/>
    <cellStyle name="20% - Accent1 16 5 2" xfId="23303" xr:uid="{00000000-0005-0000-0000-000093000000}"/>
    <cellStyle name="20% - Accent1 16 6" xfId="17409" xr:uid="{00000000-0005-0000-0000-000094000000}"/>
    <cellStyle name="20% - Accent1 17" xfId="90" xr:uid="{00000000-0005-0000-0000-000095000000}"/>
    <cellStyle name="20% - Accent1 17 2" xfId="91" xr:uid="{00000000-0005-0000-0000-000096000000}"/>
    <cellStyle name="20% - Accent1 17 2 2" xfId="10554" xr:uid="{00000000-0005-0000-0000-000097000000}"/>
    <cellStyle name="20% - Accent1 17 2 2 2" xfId="24496" xr:uid="{00000000-0005-0000-0000-000098000000}"/>
    <cellStyle name="20% - Accent1 17 2 3" xfId="17414" xr:uid="{00000000-0005-0000-0000-000099000000}"/>
    <cellStyle name="20% - Accent1 17 3" xfId="92" xr:uid="{00000000-0005-0000-0000-00009A000000}"/>
    <cellStyle name="20% - Accent1 17 3 2" xfId="12112" xr:uid="{00000000-0005-0000-0000-00009B000000}"/>
    <cellStyle name="20% - Accent1 17 3 2 2" xfId="25824" xr:uid="{00000000-0005-0000-0000-00009C000000}"/>
    <cellStyle name="20% - Accent1 17 3 3" xfId="17415" xr:uid="{00000000-0005-0000-0000-00009D000000}"/>
    <cellStyle name="20% - Accent1 17 4" xfId="93" xr:uid="{00000000-0005-0000-0000-00009E000000}"/>
    <cellStyle name="20% - Accent1 17 4 2" xfId="14591" xr:uid="{00000000-0005-0000-0000-00009F000000}"/>
    <cellStyle name="20% - Accent1 17 4 2 2" xfId="28140" xr:uid="{00000000-0005-0000-0000-0000A0000000}"/>
    <cellStyle name="20% - Accent1 17 4 3" xfId="17416" xr:uid="{00000000-0005-0000-0000-0000A1000000}"/>
    <cellStyle name="20% - Accent1 17 5" xfId="8829" xr:uid="{00000000-0005-0000-0000-0000A2000000}"/>
    <cellStyle name="20% - Accent1 17 5 2" xfId="23304" xr:uid="{00000000-0005-0000-0000-0000A3000000}"/>
    <cellStyle name="20% - Accent1 17 6" xfId="17413" xr:uid="{00000000-0005-0000-0000-0000A4000000}"/>
    <cellStyle name="20% - Accent1 18" xfId="94" xr:uid="{00000000-0005-0000-0000-0000A5000000}"/>
    <cellStyle name="20% - Accent1 18 2" xfId="95" xr:uid="{00000000-0005-0000-0000-0000A6000000}"/>
    <cellStyle name="20% - Accent1 18 2 2" xfId="10555" xr:uid="{00000000-0005-0000-0000-0000A7000000}"/>
    <cellStyle name="20% - Accent1 18 2 2 2" xfId="24497" xr:uid="{00000000-0005-0000-0000-0000A8000000}"/>
    <cellStyle name="20% - Accent1 18 2 3" xfId="17418" xr:uid="{00000000-0005-0000-0000-0000A9000000}"/>
    <cellStyle name="20% - Accent1 18 3" xfId="96" xr:uid="{00000000-0005-0000-0000-0000AA000000}"/>
    <cellStyle name="20% - Accent1 18 3 2" xfId="12802" xr:uid="{00000000-0005-0000-0000-0000AB000000}"/>
    <cellStyle name="20% - Accent1 18 3 2 2" xfId="26514" xr:uid="{00000000-0005-0000-0000-0000AC000000}"/>
    <cellStyle name="20% - Accent1 18 3 3" xfId="17419" xr:uid="{00000000-0005-0000-0000-0000AD000000}"/>
    <cellStyle name="20% - Accent1 18 4" xfId="97" xr:uid="{00000000-0005-0000-0000-0000AE000000}"/>
    <cellStyle name="20% - Accent1 18 4 2" xfId="14540" xr:uid="{00000000-0005-0000-0000-0000AF000000}"/>
    <cellStyle name="20% - Accent1 18 4 2 2" xfId="28089" xr:uid="{00000000-0005-0000-0000-0000B0000000}"/>
    <cellStyle name="20% - Accent1 18 4 3" xfId="17420" xr:uid="{00000000-0005-0000-0000-0000B1000000}"/>
    <cellStyle name="20% - Accent1 18 5" xfId="8830" xr:uid="{00000000-0005-0000-0000-0000B2000000}"/>
    <cellStyle name="20% - Accent1 18 5 2" xfId="23305" xr:uid="{00000000-0005-0000-0000-0000B3000000}"/>
    <cellStyle name="20% - Accent1 18 6" xfId="17417" xr:uid="{00000000-0005-0000-0000-0000B4000000}"/>
    <cellStyle name="20% - Accent1 19" xfId="98" xr:uid="{00000000-0005-0000-0000-0000B5000000}"/>
    <cellStyle name="20% - Accent1 19 2" xfId="99" xr:uid="{00000000-0005-0000-0000-0000B6000000}"/>
    <cellStyle name="20% - Accent1 19 2 2" xfId="11710" xr:uid="{00000000-0005-0000-0000-0000B7000000}"/>
    <cellStyle name="20% - Accent1 19 2 2 2" xfId="25430" xr:uid="{00000000-0005-0000-0000-0000B8000000}"/>
    <cellStyle name="20% - Accent1 19 2 3" xfId="17422" xr:uid="{00000000-0005-0000-0000-0000B9000000}"/>
    <cellStyle name="20% - Accent1 19 3" xfId="100" xr:uid="{00000000-0005-0000-0000-0000BA000000}"/>
    <cellStyle name="20% - Accent1 19 3 2" xfId="12757" xr:uid="{00000000-0005-0000-0000-0000BB000000}"/>
    <cellStyle name="20% - Accent1 19 3 2 2" xfId="26469" xr:uid="{00000000-0005-0000-0000-0000BC000000}"/>
    <cellStyle name="20% - Accent1 19 3 3" xfId="17423" xr:uid="{00000000-0005-0000-0000-0000BD000000}"/>
    <cellStyle name="20% - Accent1 19 4" xfId="101" xr:uid="{00000000-0005-0000-0000-0000BE000000}"/>
    <cellStyle name="20% - Accent1 19 4 2" xfId="14590" xr:uid="{00000000-0005-0000-0000-0000BF000000}"/>
    <cellStyle name="20% - Accent1 19 4 2 2" xfId="28139" xr:uid="{00000000-0005-0000-0000-0000C0000000}"/>
    <cellStyle name="20% - Accent1 19 4 3" xfId="17424" xr:uid="{00000000-0005-0000-0000-0000C1000000}"/>
    <cellStyle name="20% - Accent1 19 5" xfId="10462" xr:uid="{00000000-0005-0000-0000-0000C2000000}"/>
    <cellStyle name="20% - Accent1 19 5 2" xfId="24421" xr:uid="{00000000-0005-0000-0000-0000C3000000}"/>
    <cellStyle name="20% - Accent1 19 6" xfId="17421" xr:uid="{00000000-0005-0000-0000-0000C4000000}"/>
    <cellStyle name="20% - Accent1 2" xfId="102" xr:uid="{00000000-0005-0000-0000-0000C5000000}"/>
    <cellStyle name="20% - Accent1 2 10" xfId="103" xr:uid="{00000000-0005-0000-0000-0000C6000000}"/>
    <cellStyle name="20% - Accent1 2 10 2" xfId="104" xr:uid="{00000000-0005-0000-0000-0000C7000000}"/>
    <cellStyle name="20% - Accent1 2 10 2 2" xfId="14588" xr:uid="{00000000-0005-0000-0000-0000C8000000}"/>
    <cellStyle name="20% - Accent1 2 10 2 2 2" xfId="28137" xr:uid="{00000000-0005-0000-0000-0000C9000000}"/>
    <cellStyle name="20% - Accent1 2 10 2 3" xfId="17427" xr:uid="{00000000-0005-0000-0000-0000CA000000}"/>
    <cellStyle name="20% - Accent1 2 10 3" xfId="11835" xr:uid="{00000000-0005-0000-0000-0000CB000000}"/>
    <cellStyle name="20% - Accent1 2 10 3 2" xfId="25550" xr:uid="{00000000-0005-0000-0000-0000CC000000}"/>
    <cellStyle name="20% - Accent1 2 10 4" xfId="17426" xr:uid="{00000000-0005-0000-0000-0000CD000000}"/>
    <cellStyle name="20% - Accent1 2 11" xfId="105" xr:uid="{00000000-0005-0000-0000-0000CE000000}"/>
    <cellStyle name="20% - Accent1 2 11 2" xfId="12718" xr:uid="{00000000-0005-0000-0000-0000CF000000}"/>
    <cellStyle name="20% - Accent1 2 11 2 2" xfId="26430" xr:uid="{00000000-0005-0000-0000-0000D0000000}"/>
    <cellStyle name="20% - Accent1 2 11 3" xfId="17428" xr:uid="{00000000-0005-0000-0000-0000D1000000}"/>
    <cellStyle name="20% - Accent1 2 12" xfId="106" xr:uid="{00000000-0005-0000-0000-0000D2000000}"/>
    <cellStyle name="20% - Accent1 2 12 2" xfId="13435" xr:uid="{00000000-0005-0000-0000-0000D3000000}"/>
    <cellStyle name="20% - Accent1 2 12 2 2" xfId="26984" xr:uid="{00000000-0005-0000-0000-0000D4000000}"/>
    <cellStyle name="20% - Accent1 2 12 3" xfId="17429" xr:uid="{00000000-0005-0000-0000-0000D5000000}"/>
    <cellStyle name="20% - Accent1 2 13" xfId="107" xr:uid="{00000000-0005-0000-0000-0000D6000000}"/>
    <cellStyle name="20% - Accent1 2 13 2" xfId="14016" xr:uid="{00000000-0005-0000-0000-0000D7000000}"/>
    <cellStyle name="20% - Accent1 2 13 2 2" xfId="27565" xr:uid="{00000000-0005-0000-0000-0000D8000000}"/>
    <cellStyle name="20% - Accent1 2 13 3" xfId="17430" xr:uid="{00000000-0005-0000-0000-0000D9000000}"/>
    <cellStyle name="20% - Accent1 2 14" xfId="108" xr:uid="{00000000-0005-0000-0000-0000DA000000}"/>
    <cellStyle name="20% - Accent1 2 14 2" xfId="14589" xr:uid="{00000000-0005-0000-0000-0000DB000000}"/>
    <cellStyle name="20% - Accent1 2 14 2 2" xfId="28138" xr:uid="{00000000-0005-0000-0000-0000DC000000}"/>
    <cellStyle name="20% - Accent1 2 14 3" xfId="17431" xr:uid="{00000000-0005-0000-0000-0000DD000000}"/>
    <cellStyle name="20% - Accent1 2 15" xfId="109" xr:uid="{00000000-0005-0000-0000-0000DE000000}"/>
    <cellStyle name="20% - Accent1 2 15 2" xfId="15902" xr:uid="{00000000-0005-0000-0000-0000DF000000}"/>
    <cellStyle name="20% - Accent1 2 15 2 2" xfId="29309" xr:uid="{00000000-0005-0000-0000-0000E0000000}"/>
    <cellStyle name="20% - Accent1 2 15 3" xfId="17432" xr:uid="{00000000-0005-0000-0000-0000E1000000}"/>
    <cellStyle name="20% - Accent1 2 16" xfId="8831" xr:uid="{00000000-0005-0000-0000-0000E2000000}"/>
    <cellStyle name="20% - Accent1 2 16 2" xfId="23306" xr:uid="{00000000-0005-0000-0000-0000E3000000}"/>
    <cellStyle name="20% - Accent1 2 17" xfId="17425" xr:uid="{00000000-0005-0000-0000-0000E4000000}"/>
    <cellStyle name="20% - Accent1 2 18" xfId="33062" xr:uid="{00000000-0005-0000-0000-0000E5000000}"/>
    <cellStyle name="20% - Accent1 2 2" xfId="110" xr:uid="{00000000-0005-0000-0000-0000E6000000}"/>
    <cellStyle name="20% - Accent1 2 2 10" xfId="111" xr:uid="{00000000-0005-0000-0000-0000E7000000}"/>
    <cellStyle name="20% - Accent1 2 2 10 2" xfId="14587" xr:uid="{00000000-0005-0000-0000-0000E8000000}"/>
    <cellStyle name="20% - Accent1 2 2 10 2 2" xfId="28136" xr:uid="{00000000-0005-0000-0000-0000E9000000}"/>
    <cellStyle name="20% - Accent1 2 2 10 3" xfId="17434" xr:uid="{00000000-0005-0000-0000-0000EA000000}"/>
    <cellStyle name="20% - Accent1 2 2 11" xfId="112" xr:uid="{00000000-0005-0000-0000-0000EB000000}"/>
    <cellStyle name="20% - Accent1 2 2 11 2" xfId="15948" xr:uid="{00000000-0005-0000-0000-0000EC000000}"/>
    <cellStyle name="20% - Accent1 2 2 11 2 2" xfId="29355" xr:uid="{00000000-0005-0000-0000-0000ED000000}"/>
    <cellStyle name="20% - Accent1 2 2 11 3" xfId="17435" xr:uid="{00000000-0005-0000-0000-0000EE000000}"/>
    <cellStyle name="20% - Accent1 2 2 12" xfId="8832" xr:uid="{00000000-0005-0000-0000-0000EF000000}"/>
    <cellStyle name="20% - Accent1 2 2 12 2" xfId="23307" xr:uid="{00000000-0005-0000-0000-0000F0000000}"/>
    <cellStyle name="20% - Accent1 2 2 13" xfId="17433" xr:uid="{00000000-0005-0000-0000-0000F1000000}"/>
    <cellStyle name="20% - Accent1 2 2 2" xfId="113" xr:uid="{00000000-0005-0000-0000-0000F2000000}"/>
    <cellStyle name="20% - Accent1 2 2 2 10" xfId="114" xr:uid="{00000000-0005-0000-0000-0000F3000000}"/>
    <cellStyle name="20% - Accent1 2 2 2 10 2" xfId="16091" xr:uid="{00000000-0005-0000-0000-0000F4000000}"/>
    <cellStyle name="20% - Accent1 2 2 2 10 2 2" xfId="29498" xr:uid="{00000000-0005-0000-0000-0000F5000000}"/>
    <cellStyle name="20% - Accent1 2 2 2 10 3" xfId="17437" xr:uid="{00000000-0005-0000-0000-0000F6000000}"/>
    <cellStyle name="20% - Accent1 2 2 2 11" xfId="8833" xr:uid="{00000000-0005-0000-0000-0000F7000000}"/>
    <cellStyle name="20% - Accent1 2 2 2 11 2" xfId="23308" xr:uid="{00000000-0005-0000-0000-0000F8000000}"/>
    <cellStyle name="20% - Accent1 2 2 2 12" xfId="17436" xr:uid="{00000000-0005-0000-0000-0000F9000000}"/>
    <cellStyle name="20% - Accent1 2 2 2 2" xfId="115" xr:uid="{00000000-0005-0000-0000-0000FA000000}"/>
    <cellStyle name="20% - Accent1 2 2 2 2 10" xfId="8834" xr:uid="{00000000-0005-0000-0000-0000FB000000}"/>
    <cellStyle name="20% - Accent1 2 2 2 2 10 2" xfId="23309" xr:uid="{00000000-0005-0000-0000-0000FC000000}"/>
    <cellStyle name="20% - Accent1 2 2 2 2 11" xfId="17438" xr:uid="{00000000-0005-0000-0000-0000FD000000}"/>
    <cellStyle name="20% - Accent1 2 2 2 2 2" xfId="116" xr:uid="{00000000-0005-0000-0000-0000FE000000}"/>
    <cellStyle name="20% - Accent1 2 2 2 2 2 2" xfId="117" xr:uid="{00000000-0005-0000-0000-0000FF000000}"/>
    <cellStyle name="20% - Accent1 2 2 2 2 2 2 2" xfId="10560" xr:uid="{00000000-0005-0000-0000-000000010000}"/>
    <cellStyle name="20% - Accent1 2 2 2 2 2 2 2 2" xfId="24502" xr:uid="{00000000-0005-0000-0000-000001010000}"/>
    <cellStyle name="20% - Accent1 2 2 2 2 2 2 3" xfId="17440" xr:uid="{00000000-0005-0000-0000-000002010000}"/>
    <cellStyle name="20% - Accent1 2 2 2 2 2 3" xfId="118" xr:uid="{00000000-0005-0000-0000-000003010000}"/>
    <cellStyle name="20% - Accent1 2 2 2 2 2 3 2" xfId="12489" xr:uid="{00000000-0005-0000-0000-000004010000}"/>
    <cellStyle name="20% - Accent1 2 2 2 2 2 3 2 2" xfId="26201" xr:uid="{00000000-0005-0000-0000-000005010000}"/>
    <cellStyle name="20% - Accent1 2 2 2 2 2 3 3" xfId="17441" xr:uid="{00000000-0005-0000-0000-000006010000}"/>
    <cellStyle name="20% - Accent1 2 2 2 2 2 4" xfId="119" xr:uid="{00000000-0005-0000-0000-000007010000}"/>
    <cellStyle name="20% - Accent1 2 2 2 2 2 4 2" xfId="14584" xr:uid="{00000000-0005-0000-0000-000008010000}"/>
    <cellStyle name="20% - Accent1 2 2 2 2 2 4 2 2" xfId="28133" xr:uid="{00000000-0005-0000-0000-000009010000}"/>
    <cellStyle name="20% - Accent1 2 2 2 2 2 4 3" xfId="17442" xr:uid="{00000000-0005-0000-0000-00000A010000}"/>
    <cellStyle name="20% - Accent1 2 2 2 2 2 5" xfId="120" xr:uid="{00000000-0005-0000-0000-00000B010000}"/>
    <cellStyle name="20% - Accent1 2 2 2 2 2 5 2" xfId="16961" xr:uid="{00000000-0005-0000-0000-00000C010000}"/>
    <cellStyle name="20% - Accent1 2 2 2 2 2 5 2 2" xfId="30368" xr:uid="{00000000-0005-0000-0000-00000D010000}"/>
    <cellStyle name="20% - Accent1 2 2 2 2 2 5 3" xfId="17443" xr:uid="{00000000-0005-0000-0000-00000E010000}"/>
    <cellStyle name="20% - Accent1 2 2 2 2 2 6" xfId="8835" xr:uid="{00000000-0005-0000-0000-00000F010000}"/>
    <cellStyle name="20% - Accent1 2 2 2 2 2 6 2" xfId="23310" xr:uid="{00000000-0005-0000-0000-000010010000}"/>
    <cellStyle name="20% - Accent1 2 2 2 2 2 7" xfId="17439" xr:uid="{00000000-0005-0000-0000-000011010000}"/>
    <cellStyle name="20% - Accent1 2 2 2 2 3" xfId="121" xr:uid="{00000000-0005-0000-0000-000012010000}"/>
    <cellStyle name="20% - Accent1 2 2 2 2 3 2" xfId="122" xr:uid="{00000000-0005-0000-0000-000013010000}"/>
    <cellStyle name="20% - Accent1 2 2 2 2 3 2 2" xfId="14583" xr:uid="{00000000-0005-0000-0000-000014010000}"/>
    <cellStyle name="20% - Accent1 2 2 2 2 3 2 2 2" xfId="28132" xr:uid="{00000000-0005-0000-0000-000015010000}"/>
    <cellStyle name="20% - Accent1 2 2 2 2 3 2 3" xfId="17445" xr:uid="{00000000-0005-0000-0000-000016010000}"/>
    <cellStyle name="20% - Accent1 2 2 2 2 3 3" xfId="10559" xr:uid="{00000000-0005-0000-0000-000017010000}"/>
    <cellStyle name="20% - Accent1 2 2 2 2 3 3 2" xfId="24501" xr:uid="{00000000-0005-0000-0000-000018010000}"/>
    <cellStyle name="20% - Accent1 2 2 2 2 3 4" xfId="17444" xr:uid="{00000000-0005-0000-0000-000019010000}"/>
    <cellStyle name="20% - Accent1 2 2 2 2 4" xfId="123" xr:uid="{00000000-0005-0000-0000-00001A010000}"/>
    <cellStyle name="20% - Accent1 2 2 2 2 4 2" xfId="12349" xr:uid="{00000000-0005-0000-0000-00001B010000}"/>
    <cellStyle name="20% - Accent1 2 2 2 2 4 2 2" xfId="26061" xr:uid="{00000000-0005-0000-0000-00001C010000}"/>
    <cellStyle name="20% - Accent1 2 2 2 2 4 3" xfId="17446" xr:uid="{00000000-0005-0000-0000-00001D010000}"/>
    <cellStyle name="20% - Accent1 2 2 2 2 5" xfId="124" xr:uid="{00000000-0005-0000-0000-00001E010000}"/>
    <cellStyle name="20% - Accent1 2 2 2 2 5 2" xfId="12777" xr:uid="{00000000-0005-0000-0000-00001F010000}"/>
    <cellStyle name="20% - Accent1 2 2 2 2 5 2 2" xfId="26489" xr:uid="{00000000-0005-0000-0000-000020010000}"/>
    <cellStyle name="20% - Accent1 2 2 2 2 5 3" xfId="17447" xr:uid="{00000000-0005-0000-0000-000021010000}"/>
    <cellStyle name="20% - Accent1 2 2 2 2 6" xfId="125" xr:uid="{00000000-0005-0000-0000-000022010000}"/>
    <cellStyle name="20% - Accent1 2 2 2 2 6 2" xfId="13913" xr:uid="{00000000-0005-0000-0000-000023010000}"/>
    <cellStyle name="20% - Accent1 2 2 2 2 6 2 2" xfId="27462" xr:uid="{00000000-0005-0000-0000-000024010000}"/>
    <cellStyle name="20% - Accent1 2 2 2 2 6 3" xfId="17448" xr:uid="{00000000-0005-0000-0000-000025010000}"/>
    <cellStyle name="20% - Accent1 2 2 2 2 7" xfId="126" xr:uid="{00000000-0005-0000-0000-000026010000}"/>
    <cellStyle name="20% - Accent1 2 2 2 2 7 2" xfId="14494" xr:uid="{00000000-0005-0000-0000-000027010000}"/>
    <cellStyle name="20% - Accent1 2 2 2 2 7 2 2" xfId="28043" xr:uid="{00000000-0005-0000-0000-000028010000}"/>
    <cellStyle name="20% - Accent1 2 2 2 2 7 3" xfId="17449" xr:uid="{00000000-0005-0000-0000-000029010000}"/>
    <cellStyle name="20% - Accent1 2 2 2 2 8" xfId="127" xr:uid="{00000000-0005-0000-0000-00002A010000}"/>
    <cellStyle name="20% - Accent1 2 2 2 2 8 2" xfId="14585" xr:uid="{00000000-0005-0000-0000-00002B010000}"/>
    <cellStyle name="20% - Accent1 2 2 2 2 8 2 2" xfId="28134" xr:uid="{00000000-0005-0000-0000-00002C010000}"/>
    <cellStyle name="20% - Accent1 2 2 2 2 8 3" xfId="17450" xr:uid="{00000000-0005-0000-0000-00002D010000}"/>
    <cellStyle name="20% - Accent1 2 2 2 2 9" xfId="128" xr:uid="{00000000-0005-0000-0000-00002E010000}"/>
    <cellStyle name="20% - Accent1 2 2 2 2 9 2" xfId="16380" xr:uid="{00000000-0005-0000-0000-00002F010000}"/>
    <cellStyle name="20% - Accent1 2 2 2 2 9 2 2" xfId="29787" xr:uid="{00000000-0005-0000-0000-000030010000}"/>
    <cellStyle name="20% - Accent1 2 2 2 2 9 3" xfId="17451" xr:uid="{00000000-0005-0000-0000-000031010000}"/>
    <cellStyle name="20% - Accent1 2 2 2 3" xfId="129" xr:uid="{00000000-0005-0000-0000-000032010000}"/>
    <cellStyle name="20% - Accent1 2 2 2 3 2" xfId="130" xr:uid="{00000000-0005-0000-0000-000033010000}"/>
    <cellStyle name="20% - Accent1 2 2 2 3 2 2" xfId="10561" xr:uid="{00000000-0005-0000-0000-000034010000}"/>
    <cellStyle name="20% - Accent1 2 2 2 3 2 2 2" xfId="24503" xr:uid="{00000000-0005-0000-0000-000035010000}"/>
    <cellStyle name="20% - Accent1 2 2 2 3 2 3" xfId="17453" xr:uid="{00000000-0005-0000-0000-000036010000}"/>
    <cellStyle name="20% - Accent1 2 2 2 3 3" xfId="131" xr:uid="{00000000-0005-0000-0000-000037010000}"/>
    <cellStyle name="20% - Accent1 2 2 2 3 3 2" xfId="11776" xr:uid="{00000000-0005-0000-0000-000038010000}"/>
    <cellStyle name="20% - Accent1 2 2 2 3 3 2 2" xfId="25491" xr:uid="{00000000-0005-0000-0000-000039010000}"/>
    <cellStyle name="20% - Accent1 2 2 2 3 3 3" xfId="17454" xr:uid="{00000000-0005-0000-0000-00003A010000}"/>
    <cellStyle name="20% - Accent1 2 2 2 3 4" xfId="132" xr:uid="{00000000-0005-0000-0000-00003B010000}"/>
    <cellStyle name="20% - Accent1 2 2 2 3 4 2" xfId="14582" xr:uid="{00000000-0005-0000-0000-00003C010000}"/>
    <cellStyle name="20% - Accent1 2 2 2 3 4 2 2" xfId="28131" xr:uid="{00000000-0005-0000-0000-00003D010000}"/>
    <cellStyle name="20% - Accent1 2 2 2 3 4 3" xfId="17455" xr:uid="{00000000-0005-0000-0000-00003E010000}"/>
    <cellStyle name="20% - Accent1 2 2 2 3 5" xfId="133" xr:uid="{00000000-0005-0000-0000-00003F010000}"/>
    <cellStyle name="20% - Accent1 2 2 2 3 5 2" xfId="16672" xr:uid="{00000000-0005-0000-0000-000040010000}"/>
    <cellStyle name="20% - Accent1 2 2 2 3 5 2 2" xfId="30079" xr:uid="{00000000-0005-0000-0000-000041010000}"/>
    <cellStyle name="20% - Accent1 2 2 2 3 5 3" xfId="17456" xr:uid="{00000000-0005-0000-0000-000042010000}"/>
    <cellStyle name="20% - Accent1 2 2 2 3 6" xfId="8836" xr:uid="{00000000-0005-0000-0000-000043010000}"/>
    <cellStyle name="20% - Accent1 2 2 2 3 6 2" xfId="23311" xr:uid="{00000000-0005-0000-0000-000044010000}"/>
    <cellStyle name="20% - Accent1 2 2 2 3 7" xfId="17452" xr:uid="{00000000-0005-0000-0000-000045010000}"/>
    <cellStyle name="20% - Accent1 2 2 2 4" xfId="134" xr:uid="{00000000-0005-0000-0000-000046010000}"/>
    <cellStyle name="20% - Accent1 2 2 2 4 2" xfId="135" xr:uid="{00000000-0005-0000-0000-000047010000}"/>
    <cellStyle name="20% - Accent1 2 2 2 4 2 2" xfId="14581" xr:uid="{00000000-0005-0000-0000-000048010000}"/>
    <cellStyle name="20% - Accent1 2 2 2 4 2 2 2" xfId="28130" xr:uid="{00000000-0005-0000-0000-000049010000}"/>
    <cellStyle name="20% - Accent1 2 2 2 4 2 3" xfId="17458" xr:uid="{00000000-0005-0000-0000-00004A010000}"/>
    <cellStyle name="20% - Accent1 2 2 2 4 3" xfId="10558" xr:uid="{00000000-0005-0000-0000-00004B010000}"/>
    <cellStyle name="20% - Accent1 2 2 2 4 3 2" xfId="24500" xr:uid="{00000000-0005-0000-0000-00004C010000}"/>
    <cellStyle name="20% - Accent1 2 2 2 4 4" xfId="17457" xr:uid="{00000000-0005-0000-0000-00004D010000}"/>
    <cellStyle name="20% - Accent1 2 2 2 5" xfId="136" xr:uid="{00000000-0005-0000-0000-00004E010000}"/>
    <cellStyle name="20% - Accent1 2 2 2 5 2" xfId="12049" xr:uid="{00000000-0005-0000-0000-00004F010000}"/>
    <cellStyle name="20% - Accent1 2 2 2 5 2 2" xfId="25764" xr:uid="{00000000-0005-0000-0000-000050010000}"/>
    <cellStyle name="20% - Accent1 2 2 2 5 3" xfId="17459" xr:uid="{00000000-0005-0000-0000-000051010000}"/>
    <cellStyle name="20% - Accent1 2 2 2 6" xfId="137" xr:uid="{00000000-0005-0000-0000-000052010000}"/>
    <cellStyle name="20% - Accent1 2 2 2 6 2" xfId="12750" xr:uid="{00000000-0005-0000-0000-000053010000}"/>
    <cellStyle name="20% - Accent1 2 2 2 6 2 2" xfId="26462" xr:uid="{00000000-0005-0000-0000-000054010000}"/>
    <cellStyle name="20% - Accent1 2 2 2 6 3" xfId="17460" xr:uid="{00000000-0005-0000-0000-000055010000}"/>
    <cellStyle name="20% - Accent1 2 2 2 7" xfId="138" xr:uid="{00000000-0005-0000-0000-000056010000}"/>
    <cellStyle name="20% - Accent1 2 2 2 7 2" xfId="13624" xr:uid="{00000000-0005-0000-0000-000057010000}"/>
    <cellStyle name="20% - Accent1 2 2 2 7 2 2" xfId="27173" xr:uid="{00000000-0005-0000-0000-000058010000}"/>
    <cellStyle name="20% - Accent1 2 2 2 7 3" xfId="17461" xr:uid="{00000000-0005-0000-0000-000059010000}"/>
    <cellStyle name="20% - Accent1 2 2 2 8" xfId="139" xr:uid="{00000000-0005-0000-0000-00005A010000}"/>
    <cellStyle name="20% - Accent1 2 2 2 8 2" xfId="14205" xr:uid="{00000000-0005-0000-0000-00005B010000}"/>
    <cellStyle name="20% - Accent1 2 2 2 8 2 2" xfId="27754" xr:uid="{00000000-0005-0000-0000-00005C010000}"/>
    <cellStyle name="20% - Accent1 2 2 2 8 3" xfId="17462" xr:uid="{00000000-0005-0000-0000-00005D010000}"/>
    <cellStyle name="20% - Accent1 2 2 2 9" xfId="140" xr:uid="{00000000-0005-0000-0000-00005E010000}"/>
    <cellStyle name="20% - Accent1 2 2 2 9 2" xfId="14586" xr:uid="{00000000-0005-0000-0000-00005F010000}"/>
    <cellStyle name="20% - Accent1 2 2 2 9 2 2" xfId="28135" xr:uid="{00000000-0005-0000-0000-000060010000}"/>
    <cellStyle name="20% - Accent1 2 2 2 9 3" xfId="17463" xr:uid="{00000000-0005-0000-0000-000061010000}"/>
    <cellStyle name="20% - Accent1 2 2 3" xfId="141" xr:uid="{00000000-0005-0000-0000-000062010000}"/>
    <cellStyle name="20% - Accent1 2 2 3 10" xfId="8837" xr:uid="{00000000-0005-0000-0000-000063010000}"/>
    <cellStyle name="20% - Accent1 2 2 3 10 2" xfId="23312" xr:uid="{00000000-0005-0000-0000-000064010000}"/>
    <cellStyle name="20% - Accent1 2 2 3 11" xfId="17464" xr:uid="{00000000-0005-0000-0000-000065010000}"/>
    <cellStyle name="20% - Accent1 2 2 3 2" xfId="142" xr:uid="{00000000-0005-0000-0000-000066010000}"/>
    <cellStyle name="20% - Accent1 2 2 3 2 2" xfId="143" xr:uid="{00000000-0005-0000-0000-000067010000}"/>
    <cellStyle name="20% - Accent1 2 2 3 2 2 2" xfId="10563" xr:uid="{00000000-0005-0000-0000-000068010000}"/>
    <cellStyle name="20% - Accent1 2 2 3 2 2 2 2" xfId="24505" xr:uid="{00000000-0005-0000-0000-000069010000}"/>
    <cellStyle name="20% - Accent1 2 2 3 2 2 3" xfId="17466" xr:uid="{00000000-0005-0000-0000-00006A010000}"/>
    <cellStyle name="20% - Accent1 2 2 3 2 3" xfId="144" xr:uid="{00000000-0005-0000-0000-00006B010000}"/>
    <cellStyle name="20% - Accent1 2 2 3 2 3 2" xfId="12713" xr:uid="{00000000-0005-0000-0000-00006C010000}"/>
    <cellStyle name="20% - Accent1 2 2 3 2 3 2 2" xfId="26425" xr:uid="{00000000-0005-0000-0000-00006D010000}"/>
    <cellStyle name="20% - Accent1 2 2 3 2 3 3" xfId="17467" xr:uid="{00000000-0005-0000-0000-00006E010000}"/>
    <cellStyle name="20% - Accent1 2 2 3 2 4" xfId="145" xr:uid="{00000000-0005-0000-0000-00006F010000}"/>
    <cellStyle name="20% - Accent1 2 2 3 2 4 2" xfId="14579" xr:uid="{00000000-0005-0000-0000-000070010000}"/>
    <cellStyle name="20% - Accent1 2 2 3 2 4 2 2" xfId="28128" xr:uid="{00000000-0005-0000-0000-000071010000}"/>
    <cellStyle name="20% - Accent1 2 2 3 2 4 3" xfId="17468" xr:uid="{00000000-0005-0000-0000-000072010000}"/>
    <cellStyle name="20% - Accent1 2 2 3 2 5" xfId="146" xr:uid="{00000000-0005-0000-0000-000073010000}"/>
    <cellStyle name="20% - Accent1 2 2 3 2 5 2" xfId="16818" xr:uid="{00000000-0005-0000-0000-000074010000}"/>
    <cellStyle name="20% - Accent1 2 2 3 2 5 2 2" xfId="30225" xr:uid="{00000000-0005-0000-0000-000075010000}"/>
    <cellStyle name="20% - Accent1 2 2 3 2 5 3" xfId="17469" xr:uid="{00000000-0005-0000-0000-000076010000}"/>
    <cellStyle name="20% - Accent1 2 2 3 2 6" xfId="8838" xr:uid="{00000000-0005-0000-0000-000077010000}"/>
    <cellStyle name="20% - Accent1 2 2 3 2 6 2" xfId="23313" xr:uid="{00000000-0005-0000-0000-000078010000}"/>
    <cellStyle name="20% - Accent1 2 2 3 2 7" xfId="17465" xr:uid="{00000000-0005-0000-0000-000079010000}"/>
    <cellStyle name="20% - Accent1 2 2 3 3" xfId="147" xr:uid="{00000000-0005-0000-0000-00007A010000}"/>
    <cellStyle name="20% - Accent1 2 2 3 3 2" xfId="148" xr:uid="{00000000-0005-0000-0000-00007B010000}"/>
    <cellStyle name="20% - Accent1 2 2 3 3 2 2" xfId="14578" xr:uid="{00000000-0005-0000-0000-00007C010000}"/>
    <cellStyle name="20% - Accent1 2 2 3 3 2 2 2" xfId="28127" xr:uid="{00000000-0005-0000-0000-00007D010000}"/>
    <cellStyle name="20% - Accent1 2 2 3 3 2 3" xfId="17471" xr:uid="{00000000-0005-0000-0000-00007E010000}"/>
    <cellStyle name="20% - Accent1 2 2 3 3 3" xfId="10562" xr:uid="{00000000-0005-0000-0000-00007F010000}"/>
    <cellStyle name="20% - Accent1 2 2 3 3 3 2" xfId="24504" xr:uid="{00000000-0005-0000-0000-000080010000}"/>
    <cellStyle name="20% - Accent1 2 2 3 3 4" xfId="17470" xr:uid="{00000000-0005-0000-0000-000081010000}"/>
    <cellStyle name="20% - Accent1 2 2 3 4" xfId="149" xr:uid="{00000000-0005-0000-0000-000082010000}"/>
    <cellStyle name="20% - Accent1 2 2 3 4 2" xfId="12206" xr:uid="{00000000-0005-0000-0000-000083010000}"/>
    <cellStyle name="20% - Accent1 2 2 3 4 2 2" xfId="25918" xr:uid="{00000000-0005-0000-0000-000084010000}"/>
    <cellStyle name="20% - Accent1 2 2 3 4 3" xfId="17472" xr:uid="{00000000-0005-0000-0000-000085010000}"/>
    <cellStyle name="20% - Accent1 2 2 3 5" xfId="150" xr:uid="{00000000-0005-0000-0000-000086010000}"/>
    <cellStyle name="20% - Accent1 2 2 3 5 2" xfId="12579" xr:uid="{00000000-0005-0000-0000-000087010000}"/>
    <cellStyle name="20% - Accent1 2 2 3 5 2 2" xfId="26291" xr:uid="{00000000-0005-0000-0000-000088010000}"/>
    <cellStyle name="20% - Accent1 2 2 3 5 3" xfId="17473" xr:uid="{00000000-0005-0000-0000-000089010000}"/>
    <cellStyle name="20% - Accent1 2 2 3 6" xfId="151" xr:uid="{00000000-0005-0000-0000-00008A010000}"/>
    <cellStyle name="20% - Accent1 2 2 3 6 2" xfId="13770" xr:uid="{00000000-0005-0000-0000-00008B010000}"/>
    <cellStyle name="20% - Accent1 2 2 3 6 2 2" xfId="27319" xr:uid="{00000000-0005-0000-0000-00008C010000}"/>
    <cellStyle name="20% - Accent1 2 2 3 6 3" xfId="17474" xr:uid="{00000000-0005-0000-0000-00008D010000}"/>
    <cellStyle name="20% - Accent1 2 2 3 7" xfId="152" xr:uid="{00000000-0005-0000-0000-00008E010000}"/>
    <cellStyle name="20% - Accent1 2 2 3 7 2" xfId="14351" xr:uid="{00000000-0005-0000-0000-00008F010000}"/>
    <cellStyle name="20% - Accent1 2 2 3 7 2 2" xfId="27900" xr:uid="{00000000-0005-0000-0000-000090010000}"/>
    <cellStyle name="20% - Accent1 2 2 3 7 3" xfId="17475" xr:uid="{00000000-0005-0000-0000-000091010000}"/>
    <cellStyle name="20% - Accent1 2 2 3 8" xfId="153" xr:uid="{00000000-0005-0000-0000-000092010000}"/>
    <cellStyle name="20% - Accent1 2 2 3 8 2" xfId="14580" xr:uid="{00000000-0005-0000-0000-000093010000}"/>
    <cellStyle name="20% - Accent1 2 2 3 8 2 2" xfId="28129" xr:uid="{00000000-0005-0000-0000-000094010000}"/>
    <cellStyle name="20% - Accent1 2 2 3 8 3" xfId="17476" xr:uid="{00000000-0005-0000-0000-000095010000}"/>
    <cellStyle name="20% - Accent1 2 2 3 9" xfId="154" xr:uid="{00000000-0005-0000-0000-000096010000}"/>
    <cellStyle name="20% - Accent1 2 2 3 9 2" xfId="16237" xr:uid="{00000000-0005-0000-0000-000097010000}"/>
    <cellStyle name="20% - Accent1 2 2 3 9 2 2" xfId="29644" xr:uid="{00000000-0005-0000-0000-000098010000}"/>
    <cellStyle name="20% - Accent1 2 2 3 9 3" xfId="17477" xr:uid="{00000000-0005-0000-0000-000099010000}"/>
    <cellStyle name="20% - Accent1 2 2 4" xfId="155" xr:uid="{00000000-0005-0000-0000-00009A010000}"/>
    <cellStyle name="20% - Accent1 2 2 4 2" xfId="156" xr:uid="{00000000-0005-0000-0000-00009B010000}"/>
    <cellStyle name="20% - Accent1 2 2 4 2 2" xfId="10564" xr:uid="{00000000-0005-0000-0000-00009C010000}"/>
    <cellStyle name="20% - Accent1 2 2 4 2 2 2" xfId="24506" xr:uid="{00000000-0005-0000-0000-00009D010000}"/>
    <cellStyle name="20% - Accent1 2 2 4 2 3" xfId="17479" xr:uid="{00000000-0005-0000-0000-00009E010000}"/>
    <cellStyle name="20% - Accent1 2 2 4 3" xfId="157" xr:uid="{00000000-0005-0000-0000-00009F010000}"/>
    <cellStyle name="20% - Accent1 2 2 4 3 2" xfId="12115" xr:uid="{00000000-0005-0000-0000-0000A0010000}"/>
    <cellStyle name="20% - Accent1 2 2 4 3 2 2" xfId="25827" xr:uid="{00000000-0005-0000-0000-0000A1010000}"/>
    <cellStyle name="20% - Accent1 2 2 4 3 3" xfId="17480" xr:uid="{00000000-0005-0000-0000-0000A2010000}"/>
    <cellStyle name="20% - Accent1 2 2 4 4" xfId="158" xr:uid="{00000000-0005-0000-0000-0000A3010000}"/>
    <cellStyle name="20% - Accent1 2 2 4 4 2" xfId="14577" xr:uid="{00000000-0005-0000-0000-0000A4010000}"/>
    <cellStyle name="20% - Accent1 2 2 4 4 2 2" xfId="28126" xr:uid="{00000000-0005-0000-0000-0000A5010000}"/>
    <cellStyle name="20% - Accent1 2 2 4 4 3" xfId="17481" xr:uid="{00000000-0005-0000-0000-0000A6010000}"/>
    <cellStyle name="20% - Accent1 2 2 4 5" xfId="159" xr:uid="{00000000-0005-0000-0000-0000A7010000}"/>
    <cellStyle name="20% - Accent1 2 2 4 5 2" xfId="17165" xr:uid="{00000000-0005-0000-0000-0000A8010000}"/>
    <cellStyle name="20% - Accent1 2 2 4 5 2 2" xfId="30524" xr:uid="{00000000-0005-0000-0000-0000A9010000}"/>
    <cellStyle name="20% - Accent1 2 2 4 5 3" xfId="17482" xr:uid="{00000000-0005-0000-0000-0000AA010000}"/>
    <cellStyle name="20% - Accent1 2 2 4 6" xfId="8839" xr:uid="{00000000-0005-0000-0000-0000AB010000}"/>
    <cellStyle name="20% - Accent1 2 2 4 6 2" xfId="23314" xr:uid="{00000000-0005-0000-0000-0000AC010000}"/>
    <cellStyle name="20% - Accent1 2 2 4 7" xfId="17478" xr:uid="{00000000-0005-0000-0000-0000AD010000}"/>
    <cellStyle name="20% - Accent1 2 2 5" xfId="160" xr:uid="{00000000-0005-0000-0000-0000AE010000}"/>
    <cellStyle name="20% - Accent1 2 2 5 2" xfId="161" xr:uid="{00000000-0005-0000-0000-0000AF010000}"/>
    <cellStyle name="20% - Accent1 2 2 5 2 2" xfId="14576" xr:uid="{00000000-0005-0000-0000-0000B0010000}"/>
    <cellStyle name="20% - Accent1 2 2 5 2 2 2" xfId="28125" xr:uid="{00000000-0005-0000-0000-0000B1010000}"/>
    <cellStyle name="20% - Accent1 2 2 5 2 3" xfId="17484" xr:uid="{00000000-0005-0000-0000-0000B2010000}"/>
    <cellStyle name="20% - Accent1 2 2 5 3" xfId="162" xr:uid="{00000000-0005-0000-0000-0000B3010000}"/>
    <cellStyle name="20% - Accent1 2 2 5 3 2" xfId="17254" xr:uid="{00000000-0005-0000-0000-0000B4010000}"/>
    <cellStyle name="20% - Accent1 2 2 5 3 2 2" xfId="30613" xr:uid="{00000000-0005-0000-0000-0000B5010000}"/>
    <cellStyle name="20% - Accent1 2 2 5 3 3" xfId="17485" xr:uid="{00000000-0005-0000-0000-0000B6010000}"/>
    <cellStyle name="20% - Accent1 2 2 5 4" xfId="10557" xr:uid="{00000000-0005-0000-0000-0000B7010000}"/>
    <cellStyle name="20% - Accent1 2 2 5 4 2" xfId="24499" xr:uid="{00000000-0005-0000-0000-0000B8010000}"/>
    <cellStyle name="20% - Accent1 2 2 5 5" xfId="17483" xr:uid="{00000000-0005-0000-0000-0000B9010000}"/>
    <cellStyle name="20% - Accent1 2 2 6" xfId="163" xr:uid="{00000000-0005-0000-0000-0000BA010000}"/>
    <cellStyle name="20% - Accent1 2 2 6 2" xfId="164" xr:uid="{00000000-0005-0000-0000-0000BB010000}"/>
    <cellStyle name="20% - Accent1 2 2 6 2 2" xfId="16529" xr:uid="{00000000-0005-0000-0000-0000BC010000}"/>
    <cellStyle name="20% - Accent1 2 2 6 2 2 2" xfId="29936" xr:uid="{00000000-0005-0000-0000-0000BD010000}"/>
    <cellStyle name="20% - Accent1 2 2 6 2 3" xfId="17487" xr:uid="{00000000-0005-0000-0000-0000BE010000}"/>
    <cellStyle name="20% - Accent1 2 2 6 3" xfId="11904" xr:uid="{00000000-0005-0000-0000-0000BF010000}"/>
    <cellStyle name="20% - Accent1 2 2 6 3 2" xfId="25619" xr:uid="{00000000-0005-0000-0000-0000C0010000}"/>
    <cellStyle name="20% - Accent1 2 2 6 4" xfId="17486" xr:uid="{00000000-0005-0000-0000-0000C1010000}"/>
    <cellStyle name="20% - Accent1 2 2 7" xfId="165" xr:uid="{00000000-0005-0000-0000-0000C2010000}"/>
    <cellStyle name="20% - Accent1 2 2 7 2" xfId="12416" xr:uid="{00000000-0005-0000-0000-0000C3010000}"/>
    <cellStyle name="20% - Accent1 2 2 7 2 2" xfId="26128" xr:uid="{00000000-0005-0000-0000-0000C4010000}"/>
    <cellStyle name="20% - Accent1 2 2 7 3" xfId="17488" xr:uid="{00000000-0005-0000-0000-0000C5010000}"/>
    <cellStyle name="20% - Accent1 2 2 8" xfId="166" xr:uid="{00000000-0005-0000-0000-0000C6010000}"/>
    <cellStyle name="20% - Accent1 2 2 8 2" xfId="13481" xr:uid="{00000000-0005-0000-0000-0000C7010000}"/>
    <cellStyle name="20% - Accent1 2 2 8 2 2" xfId="27030" xr:uid="{00000000-0005-0000-0000-0000C8010000}"/>
    <cellStyle name="20% - Accent1 2 2 8 3" xfId="17489" xr:uid="{00000000-0005-0000-0000-0000C9010000}"/>
    <cellStyle name="20% - Accent1 2 2 9" xfId="167" xr:uid="{00000000-0005-0000-0000-0000CA010000}"/>
    <cellStyle name="20% - Accent1 2 2 9 2" xfId="14062" xr:uid="{00000000-0005-0000-0000-0000CB010000}"/>
    <cellStyle name="20% - Accent1 2 2 9 2 2" xfId="27611" xr:uid="{00000000-0005-0000-0000-0000CC010000}"/>
    <cellStyle name="20% - Accent1 2 2 9 3" xfId="17490" xr:uid="{00000000-0005-0000-0000-0000CD010000}"/>
    <cellStyle name="20% - Accent1 2 3" xfId="168" xr:uid="{00000000-0005-0000-0000-0000CE010000}"/>
    <cellStyle name="20% - Accent1 2 3 10" xfId="169" xr:uid="{00000000-0005-0000-0000-0000CF010000}"/>
    <cellStyle name="20% - Accent1 2 3 10 2" xfId="16045" xr:uid="{00000000-0005-0000-0000-0000D0010000}"/>
    <cellStyle name="20% - Accent1 2 3 10 2 2" xfId="29452" xr:uid="{00000000-0005-0000-0000-0000D1010000}"/>
    <cellStyle name="20% - Accent1 2 3 10 3" xfId="17492" xr:uid="{00000000-0005-0000-0000-0000D2010000}"/>
    <cellStyle name="20% - Accent1 2 3 11" xfId="8840" xr:uid="{00000000-0005-0000-0000-0000D3010000}"/>
    <cellStyle name="20% - Accent1 2 3 11 2" xfId="23315" xr:uid="{00000000-0005-0000-0000-0000D4010000}"/>
    <cellStyle name="20% - Accent1 2 3 12" xfId="17491" xr:uid="{00000000-0005-0000-0000-0000D5010000}"/>
    <cellStyle name="20% - Accent1 2 3 2" xfId="170" xr:uid="{00000000-0005-0000-0000-0000D6010000}"/>
    <cellStyle name="20% - Accent1 2 3 2 10" xfId="8841" xr:uid="{00000000-0005-0000-0000-0000D7010000}"/>
    <cellStyle name="20% - Accent1 2 3 2 10 2" xfId="23316" xr:uid="{00000000-0005-0000-0000-0000D8010000}"/>
    <cellStyle name="20% - Accent1 2 3 2 11" xfId="17493" xr:uid="{00000000-0005-0000-0000-0000D9010000}"/>
    <cellStyle name="20% - Accent1 2 3 2 2" xfId="171" xr:uid="{00000000-0005-0000-0000-0000DA010000}"/>
    <cellStyle name="20% - Accent1 2 3 2 2 2" xfId="172" xr:uid="{00000000-0005-0000-0000-0000DB010000}"/>
    <cellStyle name="20% - Accent1 2 3 2 2 2 2" xfId="10567" xr:uid="{00000000-0005-0000-0000-0000DC010000}"/>
    <cellStyle name="20% - Accent1 2 3 2 2 2 2 2" xfId="24509" xr:uid="{00000000-0005-0000-0000-0000DD010000}"/>
    <cellStyle name="20% - Accent1 2 3 2 2 2 3" xfId="17495" xr:uid="{00000000-0005-0000-0000-0000DE010000}"/>
    <cellStyle name="20% - Accent1 2 3 2 2 3" xfId="173" xr:uid="{00000000-0005-0000-0000-0000DF010000}"/>
    <cellStyle name="20% - Accent1 2 3 2 2 3 2" xfId="12431" xr:uid="{00000000-0005-0000-0000-0000E0010000}"/>
    <cellStyle name="20% - Accent1 2 3 2 2 3 2 2" xfId="26143" xr:uid="{00000000-0005-0000-0000-0000E1010000}"/>
    <cellStyle name="20% - Accent1 2 3 2 2 3 3" xfId="17496" xr:uid="{00000000-0005-0000-0000-0000E2010000}"/>
    <cellStyle name="20% - Accent1 2 3 2 2 4" xfId="174" xr:uid="{00000000-0005-0000-0000-0000E3010000}"/>
    <cellStyle name="20% - Accent1 2 3 2 2 4 2" xfId="14617" xr:uid="{00000000-0005-0000-0000-0000E4010000}"/>
    <cellStyle name="20% - Accent1 2 3 2 2 4 2 2" xfId="28166" xr:uid="{00000000-0005-0000-0000-0000E5010000}"/>
    <cellStyle name="20% - Accent1 2 3 2 2 4 3" xfId="17497" xr:uid="{00000000-0005-0000-0000-0000E6010000}"/>
    <cellStyle name="20% - Accent1 2 3 2 2 5" xfId="175" xr:uid="{00000000-0005-0000-0000-0000E7010000}"/>
    <cellStyle name="20% - Accent1 2 3 2 2 5 2" xfId="16915" xr:uid="{00000000-0005-0000-0000-0000E8010000}"/>
    <cellStyle name="20% - Accent1 2 3 2 2 5 2 2" xfId="30322" xr:uid="{00000000-0005-0000-0000-0000E9010000}"/>
    <cellStyle name="20% - Accent1 2 3 2 2 5 3" xfId="17498" xr:uid="{00000000-0005-0000-0000-0000EA010000}"/>
    <cellStyle name="20% - Accent1 2 3 2 2 6" xfId="8842" xr:uid="{00000000-0005-0000-0000-0000EB010000}"/>
    <cellStyle name="20% - Accent1 2 3 2 2 6 2" xfId="23317" xr:uid="{00000000-0005-0000-0000-0000EC010000}"/>
    <cellStyle name="20% - Accent1 2 3 2 2 7" xfId="17494" xr:uid="{00000000-0005-0000-0000-0000ED010000}"/>
    <cellStyle name="20% - Accent1 2 3 2 3" xfId="176" xr:uid="{00000000-0005-0000-0000-0000EE010000}"/>
    <cellStyle name="20% - Accent1 2 3 2 3 2" xfId="177" xr:uid="{00000000-0005-0000-0000-0000EF010000}"/>
    <cellStyle name="20% - Accent1 2 3 2 3 2 2" xfId="14575" xr:uid="{00000000-0005-0000-0000-0000F0010000}"/>
    <cellStyle name="20% - Accent1 2 3 2 3 2 2 2" xfId="28124" xr:uid="{00000000-0005-0000-0000-0000F1010000}"/>
    <cellStyle name="20% - Accent1 2 3 2 3 2 3" xfId="17500" xr:uid="{00000000-0005-0000-0000-0000F2010000}"/>
    <cellStyle name="20% - Accent1 2 3 2 3 3" xfId="10566" xr:uid="{00000000-0005-0000-0000-0000F3010000}"/>
    <cellStyle name="20% - Accent1 2 3 2 3 3 2" xfId="24508" xr:uid="{00000000-0005-0000-0000-0000F4010000}"/>
    <cellStyle name="20% - Accent1 2 3 2 3 4" xfId="17499" xr:uid="{00000000-0005-0000-0000-0000F5010000}"/>
    <cellStyle name="20% - Accent1 2 3 2 4" xfId="178" xr:uid="{00000000-0005-0000-0000-0000F6010000}"/>
    <cellStyle name="20% - Accent1 2 3 2 4 2" xfId="12303" xr:uid="{00000000-0005-0000-0000-0000F7010000}"/>
    <cellStyle name="20% - Accent1 2 3 2 4 2 2" xfId="26015" xr:uid="{00000000-0005-0000-0000-0000F8010000}"/>
    <cellStyle name="20% - Accent1 2 3 2 4 3" xfId="17501" xr:uid="{00000000-0005-0000-0000-0000F9010000}"/>
    <cellStyle name="20% - Accent1 2 3 2 5" xfId="179" xr:uid="{00000000-0005-0000-0000-0000FA010000}"/>
    <cellStyle name="20% - Accent1 2 3 2 5 2" xfId="12542" xr:uid="{00000000-0005-0000-0000-0000FB010000}"/>
    <cellStyle name="20% - Accent1 2 3 2 5 2 2" xfId="26254" xr:uid="{00000000-0005-0000-0000-0000FC010000}"/>
    <cellStyle name="20% - Accent1 2 3 2 5 3" xfId="17502" xr:uid="{00000000-0005-0000-0000-0000FD010000}"/>
    <cellStyle name="20% - Accent1 2 3 2 6" xfId="180" xr:uid="{00000000-0005-0000-0000-0000FE010000}"/>
    <cellStyle name="20% - Accent1 2 3 2 6 2" xfId="13867" xr:uid="{00000000-0005-0000-0000-0000FF010000}"/>
    <cellStyle name="20% - Accent1 2 3 2 6 2 2" xfId="27416" xr:uid="{00000000-0005-0000-0000-000000020000}"/>
    <cellStyle name="20% - Accent1 2 3 2 6 3" xfId="17503" xr:uid="{00000000-0005-0000-0000-000001020000}"/>
    <cellStyle name="20% - Accent1 2 3 2 7" xfId="181" xr:uid="{00000000-0005-0000-0000-000002020000}"/>
    <cellStyle name="20% - Accent1 2 3 2 7 2" xfId="14448" xr:uid="{00000000-0005-0000-0000-000003020000}"/>
    <cellStyle name="20% - Accent1 2 3 2 7 2 2" xfId="27997" xr:uid="{00000000-0005-0000-0000-000004020000}"/>
    <cellStyle name="20% - Accent1 2 3 2 7 3" xfId="17504" xr:uid="{00000000-0005-0000-0000-000005020000}"/>
    <cellStyle name="20% - Accent1 2 3 2 8" xfId="182" xr:uid="{00000000-0005-0000-0000-000006020000}"/>
    <cellStyle name="20% - Accent1 2 3 2 8 2" xfId="14615" xr:uid="{00000000-0005-0000-0000-000007020000}"/>
    <cellStyle name="20% - Accent1 2 3 2 8 2 2" xfId="28164" xr:uid="{00000000-0005-0000-0000-000008020000}"/>
    <cellStyle name="20% - Accent1 2 3 2 8 3" xfId="17505" xr:uid="{00000000-0005-0000-0000-000009020000}"/>
    <cellStyle name="20% - Accent1 2 3 2 9" xfId="183" xr:uid="{00000000-0005-0000-0000-00000A020000}"/>
    <cellStyle name="20% - Accent1 2 3 2 9 2" xfId="16334" xr:uid="{00000000-0005-0000-0000-00000B020000}"/>
    <cellStyle name="20% - Accent1 2 3 2 9 2 2" xfId="29741" xr:uid="{00000000-0005-0000-0000-00000C020000}"/>
    <cellStyle name="20% - Accent1 2 3 2 9 3" xfId="17506" xr:uid="{00000000-0005-0000-0000-00000D020000}"/>
    <cellStyle name="20% - Accent1 2 3 3" xfId="184" xr:uid="{00000000-0005-0000-0000-00000E020000}"/>
    <cellStyle name="20% - Accent1 2 3 3 2" xfId="185" xr:uid="{00000000-0005-0000-0000-00000F020000}"/>
    <cellStyle name="20% - Accent1 2 3 3 2 2" xfId="10568" xr:uid="{00000000-0005-0000-0000-000010020000}"/>
    <cellStyle name="20% - Accent1 2 3 3 2 2 2" xfId="24510" xr:uid="{00000000-0005-0000-0000-000011020000}"/>
    <cellStyle name="20% - Accent1 2 3 3 2 3" xfId="17508" xr:uid="{00000000-0005-0000-0000-000012020000}"/>
    <cellStyle name="20% - Accent1 2 3 3 3" xfId="186" xr:uid="{00000000-0005-0000-0000-000013020000}"/>
    <cellStyle name="20% - Accent1 2 3 3 3 2" xfId="11852" xr:uid="{00000000-0005-0000-0000-000014020000}"/>
    <cellStyle name="20% - Accent1 2 3 3 3 2 2" xfId="25567" xr:uid="{00000000-0005-0000-0000-000015020000}"/>
    <cellStyle name="20% - Accent1 2 3 3 3 3" xfId="17509" xr:uid="{00000000-0005-0000-0000-000016020000}"/>
    <cellStyle name="20% - Accent1 2 3 3 4" xfId="187" xr:uid="{00000000-0005-0000-0000-000017020000}"/>
    <cellStyle name="20% - Accent1 2 3 3 4 2" xfId="14574" xr:uid="{00000000-0005-0000-0000-000018020000}"/>
    <cellStyle name="20% - Accent1 2 3 3 4 2 2" xfId="28123" xr:uid="{00000000-0005-0000-0000-000019020000}"/>
    <cellStyle name="20% - Accent1 2 3 3 4 3" xfId="17510" xr:uid="{00000000-0005-0000-0000-00001A020000}"/>
    <cellStyle name="20% - Accent1 2 3 3 5" xfId="188" xr:uid="{00000000-0005-0000-0000-00001B020000}"/>
    <cellStyle name="20% - Accent1 2 3 3 5 2" xfId="16626" xr:uid="{00000000-0005-0000-0000-00001C020000}"/>
    <cellStyle name="20% - Accent1 2 3 3 5 2 2" xfId="30033" xr:uid="{00000000-0005-0000-0000-00001D020000}"/>
    <cellStyle name="20% - Accent1 2 3 3 5 3" xfId="17511" xr:uid="{00000000-0005-0000-0000-00001E020000}"/>
    <cellStyle name="20% - Accent1 2 3 3 6" xfId="8843" xr:uid="{00000000-0005-0000-0000-00001F020000}"/>
    <cellStyle name="20% - Accent1 2 3 3 6 2" xfId="23318" xr:uid="{00000000-0005-0000-0000-000020020000}"/>
    <cellStyle name="20% - Accent1 2 3 3 7" xfId="17507" xr:uid="{00000000-0005-0000-0000-000021020000}"/>
    <cellStyle name="20% - Accent1 2 3 4" xfId="189" xr:uid="{00000000-0005-0000-0000-000022020000}"/>
    <cellStyle name="20% - Accent1 2 3 4 2" xfId="190" xr:uid="{00000000-0005-0000-0000-000023020000}"/>
    <cellStyle name="20% - Accent1 2 3 4 2 2" xfId="14573" xr:uid="{00000000-0005-0000-0000-000024020000}"/>
    <cellStyle name="20% - Accent1 2 3 4 2 2 2" xfId="28122" xr:uid="{00000000-0005-0000-0000-000025020000}"/>
    <cellStyle name="20% - Accent1 2 3 4 2 3" xfId="17513" xr:uid="{00000000-0005-0000-0000-000026020000}"/>
    <cellStyle name="20% - Accent1 2 3 4 3" xfId="10565" xr:uid="{00000000-0005-0000-0000-000027020000}"/>
    <cellStyle name="20% - Accent1 2 3 4 3 2" xfId="24507" xr:uid="{00000000-0005-0000-0000-000028020000}"/>
    <cellStyle name="20% - Accent1 2 3 4 4" xfId="17512" xr:uid="{00000000-0005-0000-0000-000029020000}"/>
    <cellStyle name="20% - Accent1 2 3 5" xfId="191" xr:uid="{00000000-0005-0000-0000-00002A020000}"/>
    <cellStyle name="20% - Accent1 2 3 5 2" xfId="12003" xr:uid="{00000000-0005-0000-0000-00002B020000}"/>
    <cellStyle name="20% - Accent1 2 3 5 2 2" xfId="25718" xr:uid="{00000000-0005-0000-0000-00002C020000}"/>
    <cellStyle name="20% - Accent1 2 3 5 3" xfId="17514" xr:uid="{00000000-0005-0000-0000-00002D020000}"/>
    <cellStyle name="20% - Accent1 2 3 6" xfId="192" xr:uid="{00000000-0005-0000-0000-00002E020000}"/>
    <cellStyle name="20% - Accent1 2 3 6 2" xfId="12694" xr:uid="{00000000-0005-0000-0000-00002F020000}"/>
    <cellStyle name="20% - Accent1 2 3 6 2 2" xfId="26406" xr:uid="{00000000-0005-0000-0000-000030020000}"/>
    <cellStyle name="20% - Accent1 2 3 6 3" xfId="17515" xr:uid="{00000000-0005-0000-0000-000031020000}"/>
    <cellStyle name="20% - Accent1 2 3 7" xfId="193" xr:uid="{00000000-0005-0000-0000-000032020000}"/>
    <cellStyle name="20% - Accent1 2 3 7 2" xfId="13578" xr:uid="{00000000-0005-0000-0000-000033020000}"/>
    <cellStyle name="20% - Accent1 2 3 7 2 2" xfId="27127" xr:uid="{00000000-0005-0000-0000-000034020000}"/>
    <cellStyle name="20% - Accent1 2 3 7 3" xfId="17516" xr:uid="{00000000-0005-0000-0000-000035020000}"/>
    <cellStyle name="20% - Accent1 2 3 8" xfId="194" xr:uid="{00000000-0005-0000-0000-000036020000}"/>
    <cellStyle name="20% - Accent1 2 3 8 2" xfId="14159" xr:uid="{00000000-0005-0000-0000-000037020000}"/>
    <cellStyle name="20% - Accent1 2 3 8 2 2" xfId="27708" xr:uid="{00000000-0005-0000-0000-000038020000}"/>
    <cellStyle name="20% - Accent1 2 3 8 3" xfId="17517" xr:uid="{00000000-0005-0000-0000-000039020000}"/>
    <cellStyle name="20% - Accent1 2 3 9" xfId="195" xr:uid="{00000000-0005-0000-0000-00003A020000}"/>
    <cellStyle name="20% - Accent1 2 3 9 2" xfId="14616" xr:uid="{00000000-0005-0000-0000-00003B020000}"/>
    <cellStyle name="20% - Accent1 2 3 9 2 2" xfId="28165" xr:uid="{00000000-0005-0000-0000-00003C020000}"/>
    <cellStyle name="20% - Accent1 2 3 9 3" xfId="17518" xr:uid="{00000000-0005-0000-0000-00003D020000}"/>
    <cellStyle name="20% - Accent1 2 4" xfId="196" xr:uid="{00000000-0005-0000-0000-00003E020000}"/>
    <cellStyle name="20% - Accent1 2 4 10" xfId="8844" xr:uid="{00000000-0005-0000-0000-00003F020000}"/>
    <cellStyle name="20% - Accent1 2 4 10 2" xfId="23319" xr:uid="{00000000-0005-0000-0000-000040020000}"/>
    <cellStyle name="20% - Accent1 2 4 11" xfId="17519" xr:uid="{00000000-0005-0000-0000-000041020000}"/>
    <cellStyle name="20% - Accent1 2 4 2" xfId="197" xr:uid="{00000000-0005-0000-0000-000042020000}"/>
    <cellStyle name="20% - Accent1 2 4 2 2" xfId="198" xr:uid="{00000000-0005-0000-0000-000043020000}"/>
    <cellStyle name="20% - Accent1 2 4 2 2 2" xfId="10570" xr:uid="{00000000-0005-0000-0000-000044020000}"/>
    <cellStyle name="20% - Accent1 2 4 2 2 2 2" xfId="24512" xr:uid="{00000000-0005-0000-0000-000045020000}"/>
    <cellStyle name="20% - Accent1 2 4 2 2 3" xfId="17521" xr:uid="{00000000-0005-0000-0000-000046020000}"/>
    <cellStyle name="20% - Accent1 2 4 2 3" xfId="199" xr:uid="{00000000-0005-0000-0000-000047020000}"/>
    <cellStyle name="20% - Accent1 2 4 2 3 2" xfId="11757" xr:uid="{00000000-0005-0000-0000-000048020000}"/>
    <cellStyle name="20% - Accent1 2 4 2 3 2 2" xfId="25472" xr:uid="{00000000-0005-0000-0000-000049020000}"/>
    <cellStyle name="20% - Accent1 2 4 2 3 3" xfId="17522" xr:uid="{00000000-0005-0000-0000-00004A020000}"/>
    <cellStyle name="20% - Accent1 2 4 2 4" xfId="200" xr:uid="{00000000-0005-0000-0000-00004B020000}"/>
    <cellStyle name="20% - Accent1 2 4 2 4 2" xfId="14571" xr:uid="{00000000-0005-0000-0000-00004C020000}"/>
    <cellStyle name="20% - Accent1 2 4 2 4 2 2" xfId="28120" xr:uid="{00000000-0005-0000-0000-00004D020000}"/>
    <cellStyle name="20% - Accent1 2 4 2 4 3" xfId="17523" xr:uid="{00000000-0005-0000-0000-00004E020000}"/>
    <cellStyle name="20% - Accent1 2 4 2 5" xfId="201" xr:uid="{00000000-0005-0000-0000-00004F020000}"/>
    <cellStyle name="20% - Accent1 2 4 2 5 2" xfId="16772" xr:uid="{00000000-0005-0000-0000-000050020000}"/>
    <cellStyle name="20% - Accent1 2 4 2 5 2 2" xfId="30179" xr:uid="{00000000-0005-0000-0000-000051020000}"/>
    <cellStyle name="20% - Accent1 2 4 2 5 3" xfId="17524" xr:uid="{00000000-0005-0000-0000-000052020000}"/>
    <cellStyle name="20% - Accent1 2 4 2 6" xfId="8845" xr:uid="{00000000-0005-0000-0000-000053020000}"/>
    <cellStyle name="20% - Accent1 2 4 2 6 2" xfId="23320" xr:uid="{00000000-0005-0000-0000-000054020000}"/>
    <cellStyle name="20% - Accent1 2 4 2 7" xfId="17520" xr:uid="{00000000-0005-0000-0000-000055020000}"/>
    <cellStyle name="20% - Accent1 2 4 3" xfId="202" xr:uid="{00000000-0005-0000-0000-000056020000}"/>
    <cellStyle name="20% - Accent1 2 4 3 2" xfId="203" xr:uid="{00000000-0005-0000-0000-000057020000}"/>
    <cellStyle name="20% - Accent1 2 4 3 2 2" xfId="14570" xr:uid="{00000000-0005-0000-0000-000058020000}"/>
    <cellStyle name="20% - Accent1 2 4 3 2 2 2" xfId="28119" xr:uid="{00000000-0005-0000-0000-000059020000}"/>
    <cellStyle name="20% - Accent1 2 4 3 2 3" xfId="17526" xr:uid="{00000000-0005-0000-0000-00005A020000}"/>
    <cellStyle name="20% - Accent1 2 4 3 3" xfId="10569" xr:uid="{00000000-0005-0000-0000-00005B020000}"/>
    <cellStyle name="20% - Accent1 2 4 3 3 2" xfId="24511" xr:uid="{00000000-0005-0000-0000-00005C020000}"/>
    <cellStyle name="20% - Accent1 2 4 3 4" xfId="17525" xr:uid="{00000000-0005-0000-0000-00005D020000}"/>
    <cellStyle name="20% - Accent1 2 4 4" xfId="204" xr:uid="{00000000-0005-0000-0000-00005E020000}"/>
    <cellStyle name="20% - Accent1 2 4 4 2" xfId="12160" xr:uid="{00000000-0005-0000-0000-00005F020000}"/>
    <cellStyle name="20% - Accent1 2 4 4 2 2" xfId="25872" xr:uid="{00000000-0005-0000-0000-000060020000}"/>
    <cellStyle name="20% - Accent1 2 4 4 3" xfId="17527" xr:uid="{00000000-0005-0000-0000-000061020000}"/>
    <cellStyle name="20% - Accent1 2 4 5" xfId="205" xr:uid="{00000000-0005-0000-0000-000062020000}"/>
    <cellStyle name="20% - Accent1 2 4 5 2" xfId="12509" xr:uid="{00000000-0005-0000-0000-000063020000}"/>
    <cellStyle name="20% - Accent1 2 4 5 2 2" xfId="26221" xr:uid="{00000000-0005-0000-0000-000064020000}"/>
    <cellStyle name="20% - Accent1 2 4 5 3" xfId="17528" xr:uid="{00000000-0005-0000-0000-000065020000}"/>
    <cellStyle name="20% - Accent1 2 4 6" xfId="206" xr:uid="{00000000-0005-0000-0000-000066020000}"/>
    <cellStyle name="20% - Accent1 2 4 6 2" xfId="13724" xr:uid="{00000000-0005-0000-0000-000067020000}"/>
    <cellStyle name="20% - Accent1 2 4 6 2 2" xfId="27273" xr:uid="{00000000-0005-0000-0000-000068020000}"/>
    <cellStyle name="20% - Accent1 2 4 6 3" xfId="17529" xr:uid="{00000000-0005-0000-0000-000069020000}"/>
    <cellStyle name="20% - Accent1 2 4 7" xfId="207" xr:uid="{00000000-0005-0000-0000-00006A020000}"/>
    <cellStyle name="20% - Accent1 2 4 7 2" xfId="14305" xr:uid="{00000000-0005-0000-0000-00006B020000}"/>
    <cellStyle name="20% - Accent1 2 4 7 2 2" xfId="27854" xr:uid="{00000000-0005-0000-0000-00006C020000}"/>
    <cellStyle name="20% - Accent1 2 4 7 3" xfId="17530" xr:uid="{00000000-0005-0000-0000-00006D020000}"/>
    <cellStyle name="20% - Accent1 2 4 8" xfId="208" xr:uid="{00000000-0005-0000-0000-00006E020000}"/>
    <cellStyle name="20% - Accent1 2 4 8 2" xfId="14572" xr:uid="{00000000-0005-0000-0000-00006F020000}"/>
    <cellStyle name="20% - Accent1 2 4 8 2 2" xfId="28121" xr:uid="{00000000-0005-0000-0000-000070020000}"/>
    <cellStyle name="20% - Accent1 2 4 8 3" xfId="17531" xr:uid="{00000000-0005-0000-0000-000071020000}"/>
    <cellStyle name="20% - Accent1 2 4 9" xfId="209" xr:uid="{00000000-0005-0000-0000-000072020000}"/>
    <cellStyle name="20% - Accent1 2 4 9 2" xfId="16191" xr:uid="{00000000-0005-0000-0000-000073020000}"/>
    <cellStyle name="20% - Accent1 2 4 9 2 2" xfId="29598" xr:uid="{00000000-0005-0000-0000-000074020000}"/>
    <cellStyle name="20% - Accent1 2 4 9 3" xfId="17532" xr:uid="{00000000-0005-0000-0000-000075020000}"/>
    <cellStyle name="20% - Accent1 2 5" xfId="210" xr:uid="{00000000-0005-0000-0000-000076020000}"/>
    <cellStyle name="20% - Accent1 2 5 2" xfId="211" xr:uid="{00000000-0005-0000-0000-000077020000}"/>
    <cellStyle name="20% - Accent1 2 5 2 2" xfId="212" xr:uid="{00000000-0005-0000-0000-000078020000}"/>
    <cellStyle name="20% - Accent1 2 5 2 2 2" xfId="10572" xr:uid="{00000000-0005-0000-0000-000079020000}"/>
    <cellStyle name="20% - Accent1 2 5 2 2 2 2" xfId="24514" xr:uid="{00000000-0005-0000-0000-00007A020000}"/>
    <cellStyle name="20% - Accent1 2 5 2 2 3" xfId="17535" xr:uid="{00000000-0005-0000-0000-00007B020000}"/>
    <cellStyle name="20% - Accent1 2 5 2 3" xfId="213" xr:uid="{00000000-0005-0000-0000-00007C020000}"/>
    <cellStyle name="20% - Accent1 2 5 2 3 2" xfId="12681" xr:uid="{00000000-0005-0000-0000-00007D020000}"/>
    <cellStyle name="20% - Accent1 2 5 2 3 2 2" xfId="26393" xr:uid="{00000000-0005-0000-0000-00007E020000}"/>
    <cellStyle name="20% - Accent1 2 5 2 3 3" xfId="17536" xr:uid="{00000000-0005-0000-0000-00007F020000}"/>
    <cellStyle name="20% - Accent1 2 5 2 4" xfId="214" xr:uid="{00000000-0005-0000-0000-000080020000}"/>
    <cellStyle name="20% - Accent1 2 5 2 4 2" xfId="14568" xr:uid="{00000000-0005-0000-0000-000081020000}"/>
    <cellStyle name="20% - Accent1 2 5 2 4 2 2" xfId="28117" xr:uid="{00000000-0005-0000-0000-000082020000}"/>
    <cellStyle name="20% - Accent1 2 5 2 4 3" xfId="17537" xr:uid="{00000000-0005-0000-0000-000083020000}"/>
    <cellStyle name="20% - Accent1 2 5 2 5" xfId="8847" xr:uid="{00000000-0005-0000-0000-000084020000}"/>
    <cellStyle name="20% - Accent1 2 5 2 5 2" xfId="23322" xr:uid="{00000000-0005-0000-0000-000085020000}"/>
    <cellStyle name="20% - Accent1 2 5 2 6" xfId="17534" xr:uid="{00000000-0005-0000-0000-000086020000}"/>
    <cellStyle name="20% - Accent1 2 5 3" xfId="215" xr:uid="{00000000-0005-0000-0000-000087020000}"/>
    <cellStyle name="20% - Accent1 2 5 3 2" xfId="10571" xr:uid="{00000000-0005-0000-0000-000088020000}"/>
    <cellStyle name="20% - Accent1 2 5 3 2 2" xfId="24513" xr:uid="{00000000-0005-0000-0000-000089020000}"/>
    <cellStyle name="20% - Accent1 2 5 3 3" xfId="17538" xr:uid="{00000000-0005-0000-0000-00008A020000}"/>
    <cellStyle name="20% - Accent1 2 5 4" xfId="216" xr:uid="{00000000-0005-0000-0000-00008B020000}"/>
    <cellStyle name="20% - Accent1 2 5 4 2" xfId="12591" xr:uid="{00000000-0005-0000-0000-00008C020000}"/>
    <cellStyle name="20% - Accent1 2 5 4 2 2" xfId="26303" xr:uid="{00000000-0005-0000-0000-00008D020000}"/>
    <cellStyle name="20% - Accent1 2 5 4 3" xfId="17539" xr:uid="{00000000-0005-0000-0000-00008E020000}"/>
    <cellStyle name="20% - Accent1 2 5 5" xfId="217" xr:uid="{00000000-0005-0000-0000-00008F020000}"/>
    <cellStyle name="20% - Accent1 2 5 5 2" xfId="14569" xr:uid="{00000000-0005-0000-0000-000090020000}"/>
    <cellStyle name="20% - Accent1 2 5 5 2 2" xfId="28118" xr:uid="{00000000-0005-0000-0000-000091020000}"/>
    <cellStyle name="20% - Accent1 2 5 5 3" xfId="17540" xr:uid="{00000000-0005-0000-0000-000092020000}"/>
    <cellStyle name="20% - Accent1 2 5 6" xfId="218" xr:uid="{00000000-0005-0000-0000-000093020000}"/>
    <cellStyle name="20% - Accent1 2 5 6 2" xfId="17007" xr:uid="{00000000-0005-0000-0000-000094020000}"/>
    <cellStyle name="20% - Accent1 2 5 6 2 2" xfId="30414" xr:uid="{00000000-0005-0000-0000-000095020000}"/>
    <cellStyle name="20% - Accent1 2 5 6 3" xfId="17541" xr:uid="{00000000-0005-0000-0000-000096020000}"/>
    <cellStyle name="20% - Accent1 2 5 7" xfId="8846" xr:uid="{00000000-0005-0000-0000-000097020000}"/>
    <cellStyle name="20% - Accent1 2 5 7 2" xfId="23321" xr:uid="{00000000-0005-0000-0000-000098020000}"/>
    <cellStyle name="20% - Accent1 2 5 8" xfId="17533" xr:uid="{00000000-0005-0000-0000-000099020000}"/>
    <cellStyle name="20% - Accent1 2 6" xfId="219" xr:uid="{00000000-0005-0000-0000-00009A020000}"/>
    <cellStyle name="20% - Accent1 2 6 2" xfId="220" xr:uid="{00000000-0005-0000-0000-00009B020000}"/>
    <cellStyle name="20% - Accent1 2 6 2 2" xfId="10573" xr:uid="{00000000-0005-0000-0000-00009C020000}"/>
    <cellStyle name="20% - Accent1 2 6 2 2 2" xfId="24515" xr:uid="{00000000-0005-0000-0000-00009D020000}"/>
    <cellStyle name="20% - Accent1 2 6 2 3" xfId="17543" xr:uid="{00000000-0005-0000-0000-00009E020000}"/>
    <cellStyle name="20% - Accent1 2 6 3" xfId="221" xr:uid="{00000000-0005-0000-0000-00009F020000}"/>
    <cellStyle name="20% - Accent1 2 6 3 2" xfId="11758" xr:uid="{00000000-0005-0000-0000-0000A0020000}"/>
    <cellStyle name="20% - Accent1 2 6 3 2 2" xfId="25473" xr:uid="{00000000-0005-0000-0000-0000A1020000}"/>
    <cellStyle name="20% - Accent1 2 6 3 3" xfId="17544" xr:uid="{00000000-0005-0000-0000-0000A2020000}"/>
    <cellStyle name="20% - Accent1 2 6 4" xfId="222" xr:uid="{00000000-0005-0000-0000-0000A3020000}"/>
    <cellStyle name="20% - Accent1 2 6 4 2" xfId="14567" xr:uid="{00000000-0005-0000-0000-0000A4020000}"/>
    <cellStyle name="20% - Accent1 2 6 4 2 2" xfId="28116" xr:uid="{00000000-0005-0000-0000-0000A5020000}"/>
    <cellStyle name="20% - Accent1 2 6 4 3" xfId="17545" xr:uid="{00000000-0005-0000-0000-0000A6020000}"/>
    <cellStyle name="20% - Accent1 2 6 5" xfId="223" xr:uid="{00000000-0005-0000-0000-0000A7020000}"/>
    <cellStyle name="20% - Accent1 2 6 5 2" xfId="17119" xr:uid="{00000000-0005-0000-0000-0000A8020000}"/>
    <cellStyle name="20% - Accent1 2 6 5 2 2" xfId="30478" xr:uid="{00000000-0005-0000-0000-0000A9020000}"/>
    <cellStyle name="20% - Accent1 2 6 5 3" xfId="17546" xr:uid="{00000000-0005-0000-0000-0000AA020000}"/>
    <cellStyle name="20% - Accent1 2 6 6" xfId="8848" xr:uid="{00000000-0005-0000-0000-0000AB020000}"/>
    <cellStyle name="20% - Accent1 2 6 6 2" xfId="23323" xr:uid="{00000000-0005-0000-0000-0000AC020000}"/>
    <cellStyle name="20% - Accent1 2 6 7" xfId="17542" xr:uid="{00000000-0005-0000-0000-0000AD020000}"/>
    <cellStyle name="20% - Accent1 2 7" xfId="224" xr:uid="{00000000-0005-0000-0000-0000AE020000}"/>
    <cellStyle name="20% - Accent1 2 7 2" xfId="225" xr:uid="{00000000-0005-0000-0000-0000AF020000}"/>
    <cellStyle name="20% - Accent1 2 7 2 2" xfId="10574" xr:uid="{00000000-0005-0000-0000-0000B0020000}"/>
    <cellStyle name="20% - Accent1 2 7 2 2 2" xfId="24516" xr:uid="{00000000-0005-0000-0000-0000B1020000}"/>
    <cellStyle name="20% - Accent1 2 7 2 3" xfId="17548" xr:uid="{00000000-0005-0000-0000-0000B2020000}"/>
    <cellStyle name="20% - Accent1 2 7 3" xfId="226" xr:uid="{00000000-0005-0000-0000-0000B3020000}"/>
    <cellStyle name="20% - Accent1 2 7 3 2" xfId="12419" xr:uid="{00000000-0005-0000-0000-0000B4020000}"/>
    <cellStyle name="20% - Accent1 2 7 3 2 2" xfId="26131" xr:uid="{00000000-0005-0000-0000-0000B5020000}"/>
    <cellStyle name="20% - Accent1 2 7 3 3" xfId="17549" xr:uid="{00000000-0005-0000-0000-0000B6020000}"/>
    <cellStyle name="20% - Accent1 2 7 4" xfId="227" xr:uid="{00000000-0005-0000-0000-0000B7020000}"/>
    <cellStyle name="20% - Accent1 2 7 4 2" xfId="14566" xr:uid="{00000000-0005-0000-0000-0000B8020000}"/>
    <cellStyle name="20% - Accent1 2 7 4 2 2" xfId="28115" xr:uid="{00000000-0005-0000-0000-0000B9020000}"/>
    <cellStyle name="20% - Accent1 2 7 4 3" xfId="17550" xr:uid="{00000000-0005-0000-0000-0000BA020000}"/>
    <cellStyle name="20% - Accent1 2 7 5" xfId="228" xr:uid="{00000000-0005-0000-0000-0000BB020000}"/>
    <cellStyle name="20% - Accent1 2 7 5 2" xfId="17208" xr:uid="{00000000-0005-0000-0000-0000BC020000}"/>
    <cellStyle name="20% - Accent1 2 7 5 2 2" xfId="30567" xr:uid="{00000000-0005-0000-0000-0000BD020000}"/>
    <cellStyle name="20% - Accent1 2 7 5 3" xfId="17551" xr:uid="{00000000-0005-0000-0000-0000BE020000}"/>
    <cellStyle name="20% - Accent1 2 7 6" xfId="8849" xr:uid="{00000000-0005-0000-0000-0000BF020000}"/>
    <cellStyle name="20% - Accent1 2 7 6 2" xfId="23324" xr:uid="{00000000-0005-0000-0000-0000C0020000}"/>
    <cellStyle name="20% - Accent1 2 7 7" xfId="17547" xr:uid="{00000000-0005-0000-0000-0000C1020000}"/>
    <cellStyle name="20% - Accent1 2 8" xfId="229" xr:uid="{00000000-0005-0000-0000-0000C2020000}"/>
    <cellStyle name="20% - Accent1 2 8 2" xfId="230" xr:uid="{00000000-0005-0000-0000-0000C3020000}"/>
    <cellStyle name="20% - Accent1 2 8 2 2" xfId="12482" xr:uid="{00000000-0005-0000-0000-0000C4020000}"/>
    <cellStyle name="20% - Accent1 2 8 2 2 2" xfId="26194" xr:uid="{00000000-0005-0000-0000-0000C5020000}"/>
    <cellStyle name="20% - Accent1 2 8 2 3" xfId="17553" xr:uid="{00000000-0005-0000-0000-0000C6020000}"/>
    <cellStyle name="20% - Accent1 2 8 3" xfId="231" xr:uid="{00000000-0005-0000-0000-0000C7020000}"/>
    <cellStyle name="20% - Accent1 2 8 3 2" xfId="14565" xr:uid="{00000000-0005-0000-0000-0000C8020000}"/>
    <cellStyle name="20% - Accent1 2 8 3 2 2" xfId="28114" xr:uid="{00000000-0005-0000-0000-0000C9020000}"/>
    <cellStyle name="20% - Accent1 2 8 3 3" xfId="17554" xr:uid="{00000000-0005-0000-0000-0000CA020000}"/>
    <cellStyle name="20% - Accent1 2 8 4" xfId="232" xr:uid="{00000000-0005-0000-0000-0000CB020000}"/>
    <cellStyle name="20% - Accent1 2 8 4 2" xfId="16483" xr:uid="{00000000-0005-0000-0000-0000CC020000}"/>
    <cellStyle name="20% - Accent1 2 8 4 2 2" xfId="29890" xr:uid="{00000000-0005-0000-0000-0000CD020000}"/>
    <cellStyle name="20% - Accent1 2 8 4 3" xfId="17555" xr:uid="{00000000-0005-0000-0000-0000CE020000}"/>
    <cellStyle name="20% - Accent1 2 8 5" xfId="10528" xr:uid="{00000000-0005-0000-0000-0000CF020000}"/>
    <cellStyle name="20% - Accent1 2 8 5 2" xfId="24470" xr:uid="{00000000-0005-0000-0000-0000D0020000}"/>
    <cellStyle name="20% - Accent1 2 8 6" xfId="17552" xr:uid="{00000000-0005-0000-0000-0000D1020000}"/>
    <cellStyle name="20% - Accent1 2 9" xfId="233" xr:uid="{00000000-0005-0000-0000-0000D2020000}"/>
    <cellStyle name="20% - Accent1 2 9 2" xfId="234" xr:uid="{00000000-0005-0000-0000-0000D3020000}"/>
    <cellStyle name="20% - Accent1 2 9 2 2" xfId="12644" xr:uid="{00000000-0005-0000-0000-0000D4020000}"/>
    <cellStyle name="20% - Accent1 2 9 2 2 2" xfId="26356" xr:uid="{00000000-0005-0000-0000-0000D5020000}"/>
    <cellStyle name="20% - Accent1 2 9 2 3" xfId="17557" xr:uid="{00000000-0005-0000-0000-0000D6020000}"/>
    <cellStyle name="20% - Accent1 2 9 3" xfId="235" xr:uid="{00000000-0005-0000-0000-0000D7020000}"/>
    <cellStyle name="20% - Accent1 2 9 3 2" xfId="14564" xr:uid="{00000000-0005-0000-0000-0000D8020000}"/>
    <cellStyle name="20% - Accent1 2 9 3 2 2" xfId="28113" xr:uid="{00000000-0005-0000-0000-0000D9020000}"/>
    <cellStyle name="20% - Accent1 2 9 3 3" xfId="17558" xr:uid="{00000000-0005-0000-0000-0000DA020000}"/>
    <cellStyle name="20% - Accent1 2 9 4" xfId="10556" xr:uid="{00000000-0005-0000-0000-0000DB020000}"/>
    <cellStyle name="20% - Accent1 2 9 4 2" xfId="24498" xr:uid="{00000000-0005-0000-0000-0000DC020000}"/>
    <cellStyle name="20% - Accent1 2 9 5" xfId="17556" xr:uid="{00000000-0005-0000-0000-0000DD020000}"/>
    <cellStyle name="20% - Accent1 20" xfId="236" xr:uid="{00000000-0005-0000-0000-0000DE020000}"/>
    <cellStyle name="20% - Accent1 20 2" xfId="237" xr:uid="{00000000-0005-0000-0000-0000DF020000}"/>
    <cellStyle name="20% - Accent1 20 2 2" xfId="12477" xr:uid="{00000000-0005-0000-0000-0000E0020000}"/>
    <cellStyle name="20% - Accent1 20 2 2 2" xfId="26189" xr:uid="{00000000-0005-0000-0000-0000E1020000}"/>
    <cellStyle name="20% - Accent1 20 2 3" xfId="17560" xr:uid="{00000000-0005-0000-0000-0000E2020000}"/>
    <cellStyle name="20% - Accent1 20 3" xfId="238" xr:uid="{00000000-0005-0000-0000-0000E3020000}"/>
    <cellStyle name="20% - Accent1 20 3 2" xfId="14563" xr:uid="{00000000-0005-0000-0000-0000E4020000}"/>
    <cellStyle name="20% - Accent1 20 3 2 2" xfId="28112" xr:uid="{00000000-0005-0000-0000-0000E5020000}"/>
    <cellStyle name="20% - Accent1 20 3 3" xfId="17561" xr:uid="{00000000-0005-0000-0000-0000E6020000}"/>
    <cellStyle name="20% - Accent1 20 4" xfId="10503" xr:uid="{00000000-0005-0000-0000-0000E7020000}"/>
    <cellStyle name="20% - Accent1 20 4 2" xfId="24451" xr:uid="{00000000-0005-0000-0000-0000E8020000}"/>
    <cellStyle name="20% - Accent1 20 5" xfId="17559" xr:uid="{00000000-0005-0000-0000-0000E9020000}"/>
    <cellStyle name="20% - Accent1 21" xfId="239" xr:uid="{00000000-0005-0000-0000-0000EA020000}"/>
    <cellStyle name="20% - Accent1 21 2" xfId="240" xr:uid="{00000000-0005-0000-0000-0000EB020000}"/>
    <cellStyle name="20% - Accent1 21 2 2" xfId="12766" xr:uid="{00000000-0005-0000-0000-0000EC020000}"/>
    <cellStyle name="20% - Accent1 21 2 2 2" xfId="26478" xr:uid="{00000000-0005-0000-0000-0000ED020000}"/>
    <cellStyle name="20% - Accent1 21 2 3" xfId="17563" xr:uid="{00000000-0005-0000-0000-0000EE020000}"/>
    <cellStyle name="20% - Accent1 21 3" xfId="241" xr:uid="{00000000-0005-0000-0000-0000EF020000}"/>
    <cellStyle name="20% - Accent1 21 3 2" xfId="14562" xr:uid="{00000000-0005-0000-0000-0000F0020000}"/>
    <cellStyle name="20% - Accent1 21 3 2 2" xfId="28111" xr:uid="{00000000-0005-0000-0000-0000F1020000}"/>
    <cellStyle name="20% - Accent1 21 3 3" xfId="17564" xr:uid="{00000000-0005-0000-0000-0000F2020000}"/>
    <cellStyle name="20% - Accent1 21 4" xfId="10545" xr:uid="{00000000-0005-0000-0000-0000F3020000}"/>
    <cellStyle name="20% - Accent1 21 4 2" xfId="24487" xr:uid="{00000000-0005-0000-0000-0000F4020000}"/>
    <cellStyle name="20% - Accent1 21 5" xfId="17562" xr:uid="{00000000-0005-0000-0000-0000F5020000}"/>
    <cellStyle name="20% - Accent1 22" xfId="242" xr:uid="{00000000-0005-0000-0000-0000F6020000}"/>
    <cellStyle name="20% - Accent1 22 2" xfId="11739" xr:uid="{00000000-0005-0000-0000-0000F7020000}"/>
    <cellStyle name="20% - Accent1 22 2 2" xfId="25454" xr:uid="{00000000-0005-0000-0000-0000F8020000}"/>
    <cellStyle name="20% - Accent1 22 3" xfId="17565" xr:uid="{00000000-0005-0000-0000-0000F9020000}"/>
    <cellStyle name="20% - Accent1 23" xfId="243" xr:uid="{00000000-0005-0000-0000-0000FA020000}"/>
    <cellStyle name="20% - Accent1 23 2" xfId="12680" xr:uid="{00000000-0005-0000-0000-0000FB020000}"/>
    <cellStyle name="20% - Accent1 23 2 2" xfId="26392" xr:uid="{00000000-0005-0000-0000-0000FC020000}"/>
    <cellStyle name="20% - Accent1 23 3" xfId="17566" xr:uid="{00000000-0005-0000-0000-0000FD020000}"/>
    <cellStyle name="20% - Accent1 24" xfId="244" xr:uid="{00000000-0005-0000-0000-0000FE020000}"/>
    <cellStyle name="20% - Accent1 24 2" xfId="13378" xr:uid="{00000000-0005-0000-0000-0000FF020000}"/>
    <cellStyle name="20% - Accent1 24 2 2" xfId="26927" xr:uid="{00000000-0005-0000-0000-000000030000}"/>
    <cellStyle name="20% - Accent1 24 3" xfId="17567" xr:uid="{00000000-0005-0000-0000-000001030000}"/>
    <cellStyle name="20% - Accent1 25" xfId="245" xr:uid="{00000000-0005-0000-0000-000002030000}"/>
    <cellStyle name="20% - Accent1 25 2" xfId="13959" xr:uid="{00000000-0005-0000-0000-000003030000}"/>
    <cellStyle name="20% - Accent1 25 2 2" xfId="27508" xr:uid="{00000000-0005-0000-0000-000004030000}"/>
    <cellStyle name="20% - Accent1 25 3" xfId="17568" xr:uid="{00000000-0005-0000-0000-000005030000}"/>
    <cellStyle name="20% - Accent1 26" xfId="246" xr:uid="{00000000-0005-0000-0000-000006030000}"/>
    <cellStyle name="20% - Accent1 26 2" xfId="14601" xr:uid="{00000000-0005-0000-0000-000007030000}"/>
    <cellStyle name="20% - Accent1 26 2 2" xfId="28150" xr:uid="{00000000-0005-0000-0000-000008030000}"/>
    <cellStyle name="20% - Accent1 26 3" xfId="17569" xr:uid="{00000000-0005-0000-0000-000009030000}"/>
    <cellStyle name="20% - Accent1 27" xfId="247" xr:uid="{00000000-0005-0000-0000-00000A030000}"/>
    <cellStyle name="20% - Accent1 27 2" xfId="15840" xr:uid="{00000000-0005-0000-0000-00000B030000}"/>
    <cellStyle name="20% - Accent1 27 2 2" xfId="29247" xr:uid="{00000000-0005-0000-0000-00000C030000}"/>
    <cellStyle name="20% - Accent1 27 3" xfId="17570" xr:uid="{00000000-0005-0000-0000-00000D030000}"/>
    <cellStyle name="20% - Accent1 28" xfId="248" xr:uid="{00000000-0005-0000-0000-00000E030000}"/>
    <cellStyle name="20% - Accent1 28 2" xfId="15845" xr:uid="{00000000-0005-0000-0000-00000F030000}"/>
    <cellStyle name="20% - Accent1 28 2 2" xfId="29252" xr:uid="{00000000-0005-0000-0000-000010030000}"/>
    <cellStyle name="20% - Accent1 28 3" xfId="17571" xr:uid="{00000000-0005-0000-0000-000011030000}"/>
    <cellStyle name="20% - Accent1 29" xfId="249" xr:uid="{00000000-0005-0000-0000-000012030000}"/>
    <cellStyle name="20% - Accent1 29 2" xfId="8820" xr:uid="{00000000-0005-0000-0000-000013030000}"/>
    <cellStyle name="20% - Accent1 29 2 2" xfId="23295" xr:uid="{00000000-0005-0000-0000-000014030000}"/>
    <cellStyle name="20% - Accent1 29 3" xfId="17572" xr:uid="{00000000-0005-0000-0000-000015030000}"/>
    <cellStyle name="20% - Accent1 3" xfId="250" xr:uid="{00000000-0005-0000-0000-000016030000}"/>
    <cellStyle name="20% - Accent1 3 10" xfId="251" xr:uid="{00000000-0005-0000-0000-000017030000}"/>
    <cellStyle name="20% - Accent1 3 10 2" xfId="14039" xr:uid="{00000000-0005-0000-0000-000018030000}"/>
    <cellStyle name="20% - Accent1 3 10 2 2" xfId="27588" xr:uid="{00000000-0005-0000-0000-000019030000}"/>
    <cellStyle name="20% - Accent1 3 10 3" xfId="17574" xr:uid="{00000000-0005-0000-0000-00001A030000}"/>
    <cellStyle name="20% - Accent1 3 11" xfId="252" xr:uid="{00000000-0005-0000-0000-00001B030000}"/>
    <cellStyle name="20% - Accent1 3 11 2" xfId="14561" xr:uid="{00000000-0005-0000-0000-00001C030000}"/>
    <cellStyle name="20% - Accent1 3 11 2 2" xfId="28110" xr:uid="{00000000-0005-0000-0000-00001D030000}"/>
    <cellStyle name="20% - Accent1 3 11 3" xfId="17575" xr:uid="{00000000-0005-0000-0000-00001E030000}"/>
    <cellStyle name="20% - Accent1 3 12" xfId="253" xr:uid="{00000000-0005-0000-0000-00001F030000}"/>
    <cellStyle name="20% - Accent1 3 12 2" xfId="15925" xr:uid="{00000000-0005-0000-0000-000020030000}"/>
    <cellStyle name="20% - Accent1 3 12 2 2" xfId="29332" xr:uid="{00000000-0005-0000-0000-000021030000}"/>
    <cellStyle name="20% - Accent1 3 12 3" xfId="17576" xr:uid="{00000000-0005-0000-0000-000022030000}"/>
    <cellStyle name="20% - Accent1 3 13" xfId="8850" xr:uid="{00000000-0005-0000-0000-000023030000}"/>
    <cellStyle name="20% - Accent1 3 13 2" xfId="23325" xr:uid="{00000000-0005-0000-0000-000024030000}"/>
    <cellStyle name="20% - Accent1 3 14" xfId="17573" xr:uid="{00000000-0005-0000-0000-000025030000}"/>
    <cellStyle name="20% - Accent1 3 2" xfId="254" xr:uid="{00000000-0005-0000-0000-000026030000}"/>
    <cellStyle name="20% - Accent1 3 2 10" xfId="255" xr:uid="{00000000-0005-0000-0000-000027030000}"/>
    <cellStyle name="20% - Accent1 3 2 10 2" xfId="16068" xr:uid="{00000000-0005-0000-0000-000028030000}"/>
    <cellStyle name="20% - Accent1 3 2 10 2 2" xfId="29475" xr:uid="{00000000-0005-0000-0000-000029030000}"/>
    <cellStyle name="20% - Accent1 3 2 10 3" xfId="17578" xr:uid="{00000000-0005-0000-0000-00002A030000}"/>
    <cellStyle name="20% - Accent1 3 2 11" xfId="8851" xr:uid="{00000000-0005-0000-0000-00002B030000}"/>
    <cellStyle name="20% - Accent1 3 2 11 2" xfId="23326" xr:uid="{00000000-0005-0000-0000-00002C030000}"/>
    <cellStyle name="20% - Accent1 3 2 12" xfId="17577" xr:uid="{00000000-0005-0000-0000-00002D030000}"/>
    <cellStyle name="20% - Accent1 3 2 2" xfId="256" xr:uid="{00000000-0005-0000-0000-00002E030000}"/>
    <cellStyle name="20% - Accent1 3 2 2 10" xfId="8852" xr:uid="{00000000-0005-0000-0000-00002F030000}"/>
    <cellStyle name="20% - Accent1 3 2 2 10 2" xfId="23327" xr:uid="{00000000-0005-0000-0000-000030030000}"/>
    <cellStyle name="20% - Accent1 3 2 2 11" xfId="17579" xr:uid="{00000000-0005-0000-0000-000031030000}"/>
    <cellStyle name="20% - Accent1 3 2 2 2" xfId="257" xr:uid="{00000000-0005-0000-0000-000032030000}"/>
    <cellStyle name="20% - Accent1 3 2 2 2 2" xfId="258" xr:uid="{00000000-0005-0000-0000-000033030000}"/>
    <cellStyle name="20% - Accent1 3 2 2 2 2 2" xfId="10578" xr:uid="{00000000-0005-0000-0000-000034030000}"/>
    <cellStyle name="20% - Accent1 3 2 2 2 2 2 2" xfId="24520" xr:uid="{00000000-0005-0000-0000-000035030000}"/>
    <cellStyle name="20% - Accent1 3 2 2 2 2 3" xfId="17581" xr:uid="{00000000-0005-0000-0000-000036030000}"/>
    <cellStyle name="20% - Accent1 3 2 2 2 3" xfId="259" xr:uid="{00000000-0005-0000-0000-000037030000}"/>
    <cellStyle name="20% - Accent1 3 2 2 2 3 2" xfId="12594" xr:uid="{00000000-0005-0000-0000-000038030000}"/>
    <cellStyle name="20% - Accent1 3 2 2 2 3 2 2" xfId="26306" xr:uid="{00000000-0005-0000-0000-000039030000}"/>
    <cellStyle name="20% - Accent1 3 2 2 2 3 3" xfId="17582" xr:uid="{00000000-0005-0000-0000-00003A030000}"/>
    <cellStyle name="20% - Accent1 3 2 2 2 4" xfId="260" xr:uid="{00000000-0005-0000-0000-00003B030000}"/>
    <cellStyle name="20% - Accent1 3 2 2 2 4 2" xfId="14558" xr:uid="{00000000-0005-0000-0000-00003C030000}"/>
    <cellStyle name="20% - Accent1 3 2 2 2 4 2 2" xfId="28107" xr:uid="{00000000-0005-0000-0000-00003D030000}"/>
    <cellStyle name="20% - Accent1 3 2 2 2 4 3" xfId="17583" xr:uid="{00000000-0005-0000-0000-00003E030000}"/>
    <cellStyle name="20% - Accent1 3 2 2 2 5" xfId="261" xr:uid="{00000000-0005-0000-0000-00003F030000}"/>
    <cellStyle name="20% - Accent1 3 2 2 2 5 2" xfId="16938" xr:uid="{00000000-0005-0000-0000-000040030000}"/>
    <cellStyle name="20% - Accent1 3 2 2 2 5 2 2" xfId="30345" xr:uid="{00000000-0005-0000-0000-000041030000}"/>
    <cellStyle name="20% - Accent1 3 2 2 2 5 3" xfId="17584" xr:uid="{00000000-0005-0000-0000-000042030000}"/>
    <cellStyle name="20% - Accent1 3 2 2 2 6" xfId="8853" xr:uid="{00000000-0005-0000-0000-000043030000}"/>
    <cellStyle name="20% - Accent1 3 2 2 2 6 2" xfId="23328" xr:uid="{00000000-0005-0000-0000-000044030000}"/>
    <cellStyle name="20% - Accent1 3 2 2 2 7" xfId="17580" xr:uid="{00000000-0005-0000-0000-000045030000}"/>
    <cellStyle name="20% - Accent1 3 2 2 3" xfId="262" xr:uid="{00000000-0005-0000-0000-000046030000}"/>
    <cellStyle name="20% - Accent1 3 2 2 3 2" xfId="263" xr:uid="{00000000-0005-0000-0000-000047030000}"/>
    <cellStyle name="20% - Accent1 3 2 2 3 2 2" xfId="14557" xr:uid="{00000000-0005-0000-0000-000048030000}"/>
    <cellStyle name="20% - Accent1 3 2 2 3 2 2 2" xfId="28106" xr:uid="{00000000-0005-0000-0000-000049030000}"/>
    <cellStyle name="20% - Accent1 3 2 2 3 2 3" xfId="17586" xr:uid="{00000000-0005-0000-0000-00004A030000}"/>
    <cellStyle name="20% - Accent1 3 2 2 3 3" xfId="10577" xr:uid="{00000000-0005-0000-0000-00004B030000}"/>
    <cellStyle name="20% - Accent1 3 2 2 3 3 2" xfId="24519" xr:uid="{00000000-0005-0000-0000-00004C030000}"/>
    <cellStyle name="20% - Accent1 3 2 2 3 4" xfId="17585" xr:uid="{00000000-0005-0000-0000-00004D030000}"/>
    <cellStyle name="20% - Accent1 3 2 2 4" xfId="264" xr:uid="{00000000-0005-0000-0000-00004E030000}"/>
    <cellStyle name="20% - Accent1 3 2 2 4 2" xfId="12326" xr:uid="{00000000-0005-0000-0000-00004F030000}"/>
    <cellStyle name="20% - Accent1 3 2 2 4 2 2" xfId="26038" xr:uid="{00000000-0005-0000-0000-000050030000}"/>
    <cellStyle name="20% - Accent1 3 2 2 4 3" xfId="17587" xr:uid="{00000000-0005-0000-0000-000051030000}"/>
    <cellStyle name="20% - Accent1 3 2 2 5" xfId="265" xr:uid="{00000000-0005-0000-0000-000052030000}"/>
    <cellStyle name="20% - Accent1 3 2 2 5 2" xfId="12526" xr:uid="{00000000-0005-0000-0000-000053030000}"/>
    <cellStyle name="20% - Accent1 3 2 2 5 2 2" xfId="26238" xr:uid="{00000000-0005-0000-0000-000054030000}"/>
    <cellStyle name="20% - Accent1 3 2 2 5 3" xfId="17588" xr:uid="{00000000-0005-0000-0000-000055030000}"/>
    <cellStyle name="20% - Accent1 3 2 2 6" xfId="266" xr:uid="{00000000-0005-0000-0000-000056030000}"/>
    <cellStyle name="20% - Accent1 3 2 2 6 2" xfId="13890" xr:uid="{00000000-0005-0000-0000-000057030000}"/>
    <cellStyle name="20% - Accent1 3 2 2 6 2 2" xfId="27439" xr:uid="{00000000-0005-0000-0000-000058030000}"/>
    <cellStyle name="20% - Accent1 3 2 2 6 3" xfId="17589" xr:uid="{00000000-0005-0000-0000-000059030000}"/>
    <cellStyle name="20% - Accent1 3 2 2 7" xfId="267" xr:uid="{00000000-0005-0000-0000-00005A030000}"/>
    <cellStyle name="20% - Accent1 3 2 2 7 2" xfId="14471" xr:uid="{00000000-0005-0000-0000-00005B030000}"/>
    <cellStyle name="20% - Accent1 3 2 2 7 2 2" xfId="28020" xr:uid="{00000000-0005-0000-0000-00005C030000}"/>
    <cellStyle name="20% - Accent1 3 2 2 7 3" xfId="17590" xr:uid="{00000000-0005-0000-0000-00005D030000}"/>
    <cellStyle name="20% - Accent1 3 2 2 8" xfId="268" xr:uid="{00000000-0005-0000-0000-00005E030000}"/>
    <cellStyle name="20% - Accent1 3 2 2 8 2" xfId="14559" xr:uid="{00000000-0005-0000-0000-00005F030000}"/>
    <cellStyle name="20% - Accent1 3 2 2 8 2 2" xfId="28108" xr:uid="{00000000-0005-0000-0000-000060030000}"/>
    <cellStyle name="20% - Accent1 3 2 2 8 3" xfId="17591" xr:uid="{00000000-0005-0000-0000-000061030000}"/>
    <cellStyle name="20% - Accent1 3 2 2 9" xfId="269" xr:uid="{00000000-0005-0000-0000-000062030000}"/>
    <cellStyle name="20% - Accent1 3 2 2 9 2" xfId="16357" xr:uid="{00000000-0005-0000-0000-000063030000}"/>
    <cellStyle name="20% - Accent1 3 2 2 9 2 2" xfId="29764" xr:uid="{00000000-0005-0000-0000-000064030000}"/>
    <cellStyle name="20% - Accent1 3 2 2 9 3" xfId="17592" xr:uid="{00000000-0005-0000-0000-000065030000}"/>
    <cellStyle name="20% - Accent1 3 2 3" xfId="270" xr:uid="{00000000-0005-0000-0000-000066030000}"/>
    <cellStyle name="20% - Accent1 3 2 3 2" xfId="271" xr:uid="{00000000-0005-0000-0000-000067030000}"/>
    <cellStyle name="20% - Accent1 3 2 3 2 2" xfId="10579" xr:uid="{00000000-0005-0000-0000-000068030000}"/>
    <cellStyle name="20% - Accent1 3 2 3 2 2 2" xfId="24521" xr:uid="{00000000-0005-0000-0000-000069030000}"/>
    <cellStyle name="20% - Accent1 3 2 3 2 3" xfId="17594" xr:uid="{00000000-0005-0000-0000-00006A030000}"/>
    <cellStyle name="20% - Accent1 3 2 3 3" xfId="272" xr:uid="{00000000-0005-0000-0000-00006B030000}"/>
    <cellStyle name="20% - Accent1 3 2 3 3 2" xfId="12597" xr:uid="{00000000-0005-0000-0000-00006C030000}"/>
    <cellStyle name="20% - Accent1 3 2 3 3 2 2" xfId="26309" xr:uid="{00000000-0005-0000-0000-00006D030000}"/>
    <cellStyle name="20% - Accent1 3 2 3 3 3" xfId="17595" xr:uid="{00000000-0005-0000-0000-00006E030000}"/>
    <cellStyle name="20% - Accent1 3 2 3 4" xfId="273" xr:uid="{00000000-0005-0000-0000-00006F030000}"/>
    <cellStyle name="20% - Accent1 3 2 3 4 2" xfId="14556" xr:uid="{00000000-0005-0000-0000-000070030000}"/>
    <cellStyle name="20% - Accent1 3 2 3 4 2 2" xfId="28105" xr:uid="{00000000-0005-0000-0000-000071030000}"/>
    <cellStyle name="20% - Accent1 3 2 3 4 3" xfId="17596" xr:uid="{00000000-0005-0000-0000-000072030000}"/>
    <cellStyle name="20% - Accent1 3 2 3 5" xfId="274" xr:uid="{00000000-0005-0000-0000-000073030000}"/>
    <cellStyle name="20% - Accent1 3 2 3 5 2" xfId="16649" xr:uid="{00000000-0005-0000-0000-000074030000}"/>
    <cellStyle name="20% - Accent1 3 2 3 5 2 2" xfId="30056" xr:uid="{00000000-0005-0000-0000-000075030000}"/>
    <cellStyle name="20% - Accent1 3 2 3 5 3" xfId="17597" xr:uid="{00000000-0005-0000-0000-000076030000}"/>
    <cellStyle name="20% - Accent1 3 2 3 6" xfId="8854" xr:uid="{00000000-0005-0000-0000-000077030000}"/>
    <cellStyle name="20% - Accent1 3 2 3 6 2" xfId="23329" xr:uid="{00000000-0005-0000-0000-000078030000}"/>
    <cellStyle name="20% - Accent1 3 2 3 7" xfId="17593" xr:uid="{00000000-0005-0000-0000-000079030000}"/>
    <cellStyle name="20% - Accent1 3 2 4" xfId="275" xr:uid="{00000000-0005-0000-0000-00007A030000}"/>
    <cellStyle name="20% - Accent1 3 2 4 2" xfId="276" xr:uid="{00000000-0005-0000-0000-00007B030000}"/>
    <cellStyle name="20% - Accent1 3 2 4 2 2" xfId="14618" xr:uid="{00000000-0005-0000-0000-00007C030000}"/>
    <cellStyle name="20% - Accent1 3 2 4 2 2 2" xfId="28167" xr:uid="{00000000-0005-0000-0000-00007D030000}"/>
    <cellStyle name="20% - Accent1 3 2 4 2 3" xfId="17599" xr:uid="{00000000-0005-0000-0000-00007E030000}"/>
    <cellStyle name="20% - Accent1 3 2 4 3" xfId="10576" xr:uid="{00000000-0005-0000-0000-00007F030000}"/>
    <cellStyle name="20% - Accent1 3 2 4 3 2" xfId="24518" xr:uid="{00000000-0005-0000-0000-000080030000}"/>
    <cellStyle name="20% - Accent1 3 2 4 4" xfId="17598" xr:uid="{00000000-0005-0000-0000-000081030000}"/>
    <cellStyle name="20% - Accent1 3 2 5" xfId="277" xr:uid="{00000000-0005-0000-0000-000082030000}"/>
    <cellStyle name="20% - Accent1 3 2 5 2" xfId="12026" xr:uid="{00000000-0005-0000-0000-000083030000}"/>
    <cellStyle name="20% - Accent1 3 2 5 2 2" xfId="25741" xr:uid="{00000000-0005-0000-0000-000084030000}"/>
    <cellStyle name="20% - Accent1 3 2 5 3" xfId="17600" xr:uid="{00000000-0005-0000-0000-000085030000}"/>
    <cellStyle name="20% - Accent1 3 2 6" xfId="278" xr:uid="{00000000-0005-0000-0000-000086030000}"/>
    <cellStyle name="20% - Accent1 3 2 6 2" xfId="12442" xr:uid="{00000000-0005-0000-0000-000087030000}"/>
    <cellStyle name="20% - Accent1 3 2 6 2 2" xfId="26154" xr:uid="{00000000-0005-0000-0000-000088030000}"/>
    <cellStyle name="20% - Accent1 3 2 6 3" xfId="17601" xr:uid="{00000000-0005-0000-0000-000089030000}"/>
    <cellStyle name="20% - Accent1 3 2 7" xfId="279" xr:uid="{00000000-0005-0000-0000-00008A030000}"/>
    <cellStyle name="20% - Accent1 3 2 7 2" xfId="13601" xr:uid="{00000000-0005-0000-0000-00008B030000}"/>
    <cellStyle name="20% - Accent1 3 2 7 2 2" xfId="27150" xr:uid="{00000000-0005-0000-0000-00008C030000}"/>
    <cellStyle name="20% - Accent1 3 2 7 3" xfId="17602" xr:uid="{00000000-0005-0000-0000-00008D030000}"/>
    <cellStyle name="20% - Accent1 3 2 8" xfId="280" xr:uid="{00000000-0005-0000-0000-00008E030000}"/>
    <cellStyle name="20% - Accent1 3 2 8 2" xfId="14182" xr:uid="{00000000-0005-0000-0000-00008F030000}"/>
    <cellStyle name="20% - Accent1 3 2 8 2 2" xfId="27731" xr:uid="{00000000-0005-0000-0000-000090030000}"/>
    <cellStyle name="20% - Accent1 3 2 8 3" xfId="17603" xr:uid="{00000000-0005-0000-0000-000091030000}"/>
    <cellStyle name="20% - Accent1 3 2 9" xfId="281" xr:uid="{00000000-0005-0000-0000-000092030000}"/>
    <cellStyle name="20% - Accent1 3 2 9 2" xfId="14560" xr:uid="{00000000-0005-0000-0000-000093030000}"/>
    <cellStyle name="20% - Accent1 3 2 9 2 2" xfId="28109" xr:uid="{00000000-0005-0000-0000-000094030000}"/>
    <cellStyle name="20% - Accent1 3 2 9 3" xfId="17604" xr:uid="{00000000-0005-0000-0000-000095030000}"/>
    <cellStyle name="20% - Accent1 3 3" xfId="282" xr:uid="{00000000-0005-0000-0000-000096030000}"/>
    <cellStyle name="20% - Accent1 3 3 10" xfId="8855" xr:uid="{00000000-0005-0000-0000-000097030000}"/>
    <cellStyle name="20% - Accent1 3 3 10 2" xfId="23330" xr:uid="{00000000-0005-0000-0000-000098030000}"/>
    <cellStyle name="20% - Accent1 3 3 11" xfId="17605" xr:uid="{00000000-0005-0000-0000-000099030000}"/>
    <cellStyle name="20% - Accent1 3 3 2" xfId="283" xr:uid="{00000000-0005-0000-0000-00009A030000}"/>
    <cellStyle name="20% - Accent1 3 3 2 2" xfId="284" xr:uid="{00000000-0005-0000-0000-00009B030000}"/>
    <cellStyle name="20% - Accent1 3 3 2 2 2" xfId="10581" xr:uid="{00000000-0005-0000-0000-00009C030000}"/>
    <cellStyle name="20% - Accent1 3 3 2 2 2 2" xfId="24523" xr:uid="{00000000-0005-0000-0000-00009D030000}"/>
    <cellStyle name="20% - Accent1 3 3 2 2 3" xfId="17607" xr:uid="{00000000-0005-0000-0000-00009E030000}"/>
    <cellStyle name="20% - Accent1 3 3 2 3" xfId="285" xr:uid="{00000000-0005-0000-0000-00009F030000}"/>
    <cellStyle name="20% - Accent1 3 3 2 3 2" xfId="12470" xr:uid="{00000000-0005-0000-0000-0000A0030000}"/>
    <cellStyle name="20% - Accent1 3 3 2 3 2 2" xfId="26182" xr:uid="{00000000-0005-0000-0000-0000A1030000}"/>
    <cellStyle name="20% - Accent1 3 3 2 3 3" xfId="17608" xr:uid="{00000000-0005-0000-0000-0000A2030000}"/>
    <cellStyle name="20% - Accent1 3 3 2 4" xfId="286" xr:uid="{00000000-0005-0000-0000-0000A3030000}"/>
    <cellStyle name="20% - Accent1 3 3 2 4 2" xfId="14602" xr:uid="{00000000-0005-0000-0000-0000A4030000}"/>
    <cellStyle name="20% - Accent1 3 3 2 4 2 2" xfId="28151" xr:uid="{00000000-0005-0000-0000-0000A5030000}"/>
    <cellStyle name="20% - Accent1 3 3 2 4 3" xfId="17609" xr:uid="{00000000-0005-0000-0000-0000A6030000}"/>
    <cellStyle name="20% - Accent1 3 3 2 5" xfId="287" xr:uid="{00000000-0005-0000-0000-0000A7030000}"/>
    <cellStyle name="20% - Accent1 3 3 2 5 2" xfId="16795" xr:uid="{00000000-0005-0000-0000-0000A8030000}"/>
    <cellStyle name="20% - Accent1 3 3 2 5 2 2" xfId="30202" xr:uid="{00000000-0005-0000-0000-0000A9030000}"/>
    <cellStyle name="20% - Accent1 3 3 2 5 3" xfId="17610" xr:uid="{00000000-0005-0000-0000-0000AA030000}"/>
    <cellStyle name="20% - Accent1 3 3 2 6" xfId="8856" xr:uid="{00000000-0005-0000-0000-0000AB030000}"/>
    <cellStyle name="20% - Accent1 3 3 2 6 2" xfId="23331" xr:uid="{00000000-0005-0000-0000-0000AC030000}"/>
    <cellStyle name="20% - Accent1 3 3 2 7" xfId="17606" xr:uid="{00000000-0005-0000-0000-0000AD030000}"/>
    <cellStyle name="20% - Accent1 3 3 3" xfId="288" xr:uid="{00000000-0005-0000-0000-0000AE030000}"/>
    <cellStyle name="20% - Accent1 3 3 3 2" xfId="289" xr:uid="{00000000-0005-0000-0000-0000AF030000}"/>
    <cellStyle name="20% - Accent1 3 3 3 2 2" xfId="14603" xr:uid="{00000000-0005-0000-0000-0000B0030000}"/>
    <cellStyle name="20% - Accent1 3 3 3 2 2 2" xfId="28152" xr:uid="{00000000-0005-0000-0000-0000B1030000}"/>
    <cellStyle name="20% - Accent1 3 3 3 2 3" xfId="17612" xr:uid="{00000000-0005-0000-0000-0000B2030000}"/>
    <cellStyle name="20% - Accent1 3 3 3 3" xfId="10580" xr:uid="{00000000-0005-0000-0000-0000B3030000}"/>
    <cellStyle name="20% - Accent1 3 3 3 3 2" xfId="24522" xr:uid="{00000000-0005-0000-0000-0000B4030000}"/>
    <cellStyle name="20% - Accent1 3 3 3 4" xfId="17611" xr:uid="{00000000-0005-0000-0000-0000B5030000}"/>
    <cellStyle name="20% - Accent1 3 3 4" xfId="290" xr:uid="{00000000-0005-0000-0000-0000B6030000}"/>
    <cellStyle name="20% - Accent1 3 3 4 2" xfId="12183" xr:uid="{00000000-0005-0000-0000-0000B7030000}"/>
    <cellStyle name="20% - Accent1 3 3 4 2 2" xfId="25895" xr:uid="{00000000-0005-0000-0000-0000B8030000}"/>
    <cellStyle name="20% - Accent1 3 3 4 3" xfId="17613" xr:uid="{00000000-0005-0000-0000-0000B9030000}"/>
    <cellStyle name="20% - Accent1 3 3 5" xfId="291" xr:uid="{00000000-0005-0000-0000-0000BA030000}"/>
    <cellStyle name="20% - Accent1 3 3 5 2" xfId="12687" xr:uid="{00000000-0005-0000-0000-0000BB030000}"/>
    <cellStyle name="20% - Accent1 3 3 5 2 2" xfId="26399" xr:uid="{00000000-0005-0000-0000-0000BC030000}"/>
    <cellStyle name="20% - Accent1 3 3 5 3" xfId="17614" xr:uid="{00000000-0005-0000-0000-0000BD030000}"/>
    <cellStyle name="20% - Accent1 3 3 6" xfId="292" xr:uid="{00000000-0005-0000-0000-0000BE030000}"/>
    <cellStyle name="20% - Accent1 3 3 6 2" xfId="13747" xr:uid="{00000000-0005-0000-0000-0000BF030000}"/>
    <cellStyle name="20% - Accent1 3 3 6 2 2" xfId="27296" xr:uid="{00000000-0005-0000-0000-0000C0030000}"/>
    <cellStyle name="20% - Accent1 3 3 6 3" xfId="17615" xr:uid="{00000000-0005-0000-0000-0000C1030000}"/>
    <cellStyle name="20% - Accent1 3 3 7" xfId="293" xr:uid="{00000000-0005-0000-0000-0000C2030000}"/>
    <cellStyle name="20% - Accent1 3 3 7 2" xfId="14328" xr:uid="{00000000-0005-0000-0000-0000C3030000}"/>
    <cellStyle name="20% - Accent1 3 3 7 2 2" xfId="27877" xr:uid="{00000000-0005-0000-0000-0000C4030000}"/>
    <cellStyle name="20% - Accent1 3 3 7 3" xfId="17616" xr:uid="{00000000-0005-0000-0000-0000C5030000}"/>
    <cellStyle name="20% - Accent1 3 3 8" xfId="294" xr:uid="{00000000-0005-0000-0000-0000C6030000}"/>
    <cellStyle name="20% - Accent1 3 3 8 2" xfId="14555" xr:uid="{00000000-0005-0000-0000-0000C7030000}"/>
    <cellStyle name="20% - Accent1 3 3 8 2 2" xfId="28104" xr:uid="{00000000-0005-0000-0000-0000C8030000}"/>
    <cellStyle name="20% - Accent1 3 3 8 3" xfId="17617" xr:uid="{00000000-0005-0000-0000-0000C9030000}"/>
    <cellStyle name="20% - Accent1 3 3 9" xfId="295" xr:uid="{00000000-0005-0000-0000-0000CA030000}"/>
    <cellStyle name="20% - Accent1 3 3 9 2" xfId="16214" xr:uid="{00000000-0005-0000-0000-0000CB030000}"/>
    <cellStyle name="20% - Accent1 3 3 9 2 2" xfId="29621" xr:uid="{00000000-0005-0000-0000-0000CC030000}"/>
    <cellStyle name="20% - Accent1 3 3 9 3" xfId="17618" xr:uid="{00000000-0005-0000-0000-0000CD030000}"/>
    <cellStyle name="20% - Accent1 3 4" xfId="296" xr:uid="{00000000-0005-0000-0000-0000CE030000}"/>
    <cellStyle name="20% - Accent1 3 4 2" xfId="297" xr:uid="{00000000-0005-0000-0000-0000CF030000}"/>
    <cellStyle name="20% - Accent1 3 4 2 2" xfId="10582" xr:uid="{00000000-0005-0000-0000-0000D0030000}"/>
    <cellStyle name="20% - Accent1 3 4 2 2 2" xfId="24524" xr:uid="{00000000-0005-0000-0000-0000D1030000}"/>
    <cellStyle name="20% - Accent1 3 4 2 3" xfId="17620" xr:uid="{00000000-0005-0000-0000-0000D2030000}"/>
    <cellStyle name="20% - Accent1 3 4 3" xfId="298" xr:uid="{00000000-0005-0000-0000-0000D3030000}"/>
    <cellStyle name="20% - Accent1 3 4 3 2" xfId="11783" xr:uid="{00000000-0005-0000-0000-0000D4030000}"/>
    <cellStyle name="20% - Accent1 3 4 3 2 2" xfId="25498" xr:uid="{00000000-0005-0000-0000-0000D5030000}"/>
    <cellStyle name="20% - Accent1 3 4 3 3" xfId="17621" xr:uid="{00000000-0005-0000-0000-0000D6030000}"/>
    <cellStyle name="20% - Accent1 3 4 4" xfId="299" xr:uid="{00000000-0005-0000-0000-0000D7030000}"/>
    <cellStyle name="20% - Accent1 3 4 4 2" xfId="14554" xr:uid="{00000000-0005-0000-0000-0000D8030000}"/>
    <cellStyle name="20% - Accent1 3 4 4 2 2" xfId="28103" xr:uid="{00000000-0005-0000-0000-0000D9030000}"/>
    <cellStyle name="20% - Accent1 3 4 4 3" xfId="17622" xr:uid="{00000000-0005-0000-0000-0000DA030000}"/>
    <cellStyle name="20% - Accent1 3 4 5" xfId="300" xr:uid="{00000000-0005-0000-0000-0000DB030000}"/>
    <cellStyle name="20% - Accent1 3 4 5 2" xfId="17142" xr:uid="{00000000-0005-0000-0000-0000DC030000}"/>
    <cellStyle name="20% - Accent1 3 4 5 2 2" xfId="30501" xr:uid="{00000000-0005-0000-0000-0000DD030000}"/>
    <cellStyle name="20% - Accent1 3 4 5 3" xfId="17623" xr:uid="{00000000-0005-0000-0000-0000DE030000}"/>
    <cellStyle name="20% - Accent1 3 4 6" xfId="8857" xr:uid="{00000000-0005-0000-0000-0000DF030000}"/>
    <cellStyle name="20% - Accent1 3 4 6 2" xfId="23332" xr:uid="{00000000-0005-0000-0000-0000E0030000}"/>
    <cellStyle name="20% - Accent1 3 4 7" xfId="17619" xr:uid="{00000000-0005-0000-0000-0000E1030000}"/>
    <cellStyle name="20% - Accent1 3 5" xfId="301" xr:uid="{00000000-0005-0000-0000-0000E2030000}"/>
    <cellStyle name="20% - Accent1 3 5 2" xfId="302" xr:uid="{00000000-0005-0000-0000-0000E3030000}"/>
    <cellStyle name="20% - Accent1 3 5 2 2" xfId="10583" xr:uid="{00000000-0005-0000-0000-0000E4030000}"/>
    <cellStyle name="20% - Accent1 3 5 2 2 2" xfId="24525" xr:uid="{00000000-0005-0000-0000-0000E5030000}"/>
    <cellStyle name="20% - Accent1 3 5 2 3" xfId="17625" xr:uid="{00000000-0005-0000-0000-0000E6030000}"/>
    <cellStyle name="20% - Accent1 3 5 3" xfId="303" xr:uid="{00000000-0005-0000-0000-0000E7030000}"/>
    <cellStyle name="20% - Accent1 3 5 3 2" xfId="12710" xr:uid="{00000000-0005-0000-0000-0000E8030000}"/>
    <cellStyle name="20% - Accent1 3 5 3 2 2" xfId="26422" xr:uid="{00000000-0005-0000-0000-0000E9030000}"/>
    <cellStyle name="20% - Accent1 3 5 3 3" xfId="17626" xr:uid="{00000000-0005-0000-0000-0000EA030000}"/>
    <cellStyle name="20% - Accent1 3 5 4" xfId="304" xr:uid="{00000000-0005-0000-0000-0000EB030000}"/>
    <cellStyle name="20% - Accent1 3 5 4 2" xfId="14553" xr:uid="{00000000-0005-0000-0000-0000EC030000}"/>
    <cellStyle name="20% - Accent1 3 5 4 2 2" xfId="28102" xr:uid="{00000000-0005-0000-0000-0000ED030000}"/>
    <cellStyle name="20% - Accent1 3 5 4 3" xfId="17627" xr:uid="{00000000-0005-0000-0000-0000EE030000}"/>
    <cellStyle name="20% - Accent1 3 5 5" xfId="305" xr:uid="{00000000-0005-0000-0000-0000EF030000}"/>
    <cellStyle name="20% - Accent1 3 5 5 2" xfId="17231" xr:uid="{00000000-0005-0000-0000-0000F0030000}"/>
    <cellStyle name="20% - Accent1 3 5 5 2 2" xfId="30590" xr:uid="{00000000-0005-0000-0000-0000F1030000}"/>
    <cellStyle name="20% - Accent1 3 5 5 3" xfId="17628" xr:uid="{00000000-0005-0000-0000-0000F2030000}"/>
    <cellStyle name="20% - Accent1 3 5 6" xfId="8858" xr:uid="{00000000-0005-0000-0000-0000F3030000}"/>
    <cellStyle name="20% - Accent1 3 5 6 2" xfId="23333" xr:uid="{00000000-0005-0000-0000-0000F4030000}"/>
    <cellStyle name="20% - Accent1 3 5 7" xfId="17624" xr:uid="{00000000-0005-0000-0000-0000F5030000}"/>
    <cellStyle name="20% - Accent1 3 6" xfId="306" xr:uid="{00000000-0005-0000-0000-0000F6030000}"/>
    <cellStyle name="20% - Accent1 3 6 2" xfId="307" xr:uid="{00000000-0005-0000-0000-0000F7030000}"/>
    <cellStyle name="20% - Accent1 3 6 2 2" xfId="14552" xr:uid="{00000000-0005-0000-0000-0000F8030000}"/>
    <cellStyle name="20% - Accent1 3 6 2 2 2" xfId="28101" xr:uid="{00000000-0005-0000-0000-0000F9030000}"/>
    <cellStyle name="20% - Accent1 3 6 2 3" xfId="17630" xr:uid="{00000000-0005-0000-0000-0000FA030000}"/>
    <cellStyle name="20% - Accent1 3 6 3" xfId="308" xr:uid="{00000000-0005-0000-0000-0000FB030000}"/>
    <cellStyle name="20% - Accent1 3 6 3 2" xfId="16506" xr:uid="{00000000-0005-0000-0000-0000FC030000}"/>
    <cellStyle name="20% - Accent1 3 6 3 2 2" xfId="29913" xr:uid="{00000000-0005-0000-0000-0000FD030000}"/>
    <cellStyle name="20% - Accent1 3 6 3 3" xfId="17631" xr:uid="{00000000-0005-0000-0000-0000FE030000}"/>
    <cellStyle name="20% - Accent1 3 6 4" xfId="10575" xr:uid="{00000000-0005-0000-0000-0000FF030000}"/>
    <cellStyle name="20% - Accent1 3 6 4 2" xfId="24517" xr:uid="{00000000-0005-0000-0000-000000040000}"/>
    <cellStyle name="20% - Accent1 3 6 5" xfId="17629" xr:uid="{00000000-0005-0000-0000-000001040000}"/>
    <cellStyle name="20% - Accent1 3 7" xfId="309" xr:uid="{00000000-0005-0000-0000-000002040000}"/>
    <cellStyle name="20% - Accent1 3 7 2" xfId="11878" xr:uid="{00000000-0005-0000-0000-000003040000}"/>
    <cellStyle name="20% - Accent1 3 7 2 2" xfId="25593" xr:uid="{00000000-0005-0000-0000-000004040000}"/>
    <cellStyle name="20% - Accent1 3 7 3" xfId="17632" xr:uid="{00000000-0005-0000-0000-000005040000}"/>
    <cellStyle name="20% - Accent1 3 8" xfId="310" xr:uid="{00000000-0005-0000-0000-000006040000}"/>
    <cellStyle name="20% - Accent1 3 8 2" xfId="12569" xr:uid="{00000000-0005-0000-0000-000007040000}"/>
    <cellStyle name="20% - Accent1 3 8 2 2" xfId="26281" xr:uid="{00000000-0005-0000-0000-000008040000}"/>
    <cellStyle name="20% - Accent1 3 8 3" xfId="17633" xr:uid="{00000000-0005-0000-0000-000009040000}"/>
    <cellStyle name="20% - Accent1 3 9" xfId="311" xr:uid="{00000000-0005-0000-0000-00000A040000}"/>
    <cellStyle name="20% - Accent1 3 9 2" xfId="13458" xr:uid="{00000000-0005-0000-0000-00000B040000}"/>
    <cellStyle name="20% - Accent1 3 9 2 2" xfId="27007" xr:uid="{00000000-0005-0000-0000-00000C040000}"/>
    <cellStyle name="20% - Accent1 3 9 3" xfId="17634" xr:uid="{00000000-0005-0000-0000-00000D040000}"/>
    <cellStyle name="20% - Accent1 30" xfId="23246" xr:uid="{00000000-0005-0000-0000-00000E040000}"/>
    <cellStyle name="20% - Accent1 4" xfId="312" xr:uid="{00000000-0005-0000-0000-00000F040000}"/>
    <cellStyle name="20% - Accent1 4 10" xfId="313" xr:uid="{00000000-0005-0000-0000-000010040000}"/>
    <cellStyle name="20% - Accent1 4 10 2" xfId="14551" xr:uid="{00000000-0005-0000-0000-000011040000}"/>
    <cellStyle name="20% - Accent1 4 10 2 2" xfId="28100" xr:uid="{00000000-0005-0000-0000-000012040000}"/>
    <cellStyle name="20% - Accent1 4 10 3" xfId="17636" xr:uid="{00000000-0005-0000-0000-000013040000}"/>
    <cellStyle name="20% - Accent1 4 11" xfId="314" xr:uid="{00000000-0005-0000-0000-000014040000}"/>
    <cellStyle name="20% - Accent1 4 11 2" xfId="15879" xr:uid="{00000000-0005-0000-0000-000015040000}"/>
    <cellStyle name="20% - Accent1 4 11 2 2" xfId="29286" xr:uid="{00000000-0005-0000-0000-000016040000}"/>
    <cellStyle name="20% - Accent1 4 11 3" xfId="17637" xr:uid="{00000000-0005-0000-0000-000017040000}"/>
    <cellStyle name="20% - Accent1 4 12" xfId="8859" xr:uid="{00000000-0005-0000-0000-000018040000}"/>
    <cellStyle name="20% - Accent1 4 12 2" xfId="23334" xr:uid="{00000000-0005-0000-0000-000019040000}"/>
    <cellStyle name="20% - Accent1 4 13" xfId="17635" xr:uid="{00000000-0005-0000-0000-00001A040000}"/>
    <cellStyle name="20% - Accent1 4 2" xfId="315" xr:uid="{00000000-0005-0000-0000-00001B040000}"/>
    <cellStyle name="20% - Accent1 4 2 10" xfId="316" xr:uid="{00000000-0005-0000-0000-00001C040000}"/>
    <cellStyle name="20% - Accent1 4 2 10 2" xfId="16022" xr:uid="{00000000-0005-0000-0000-00001D040000}"/>
    <cellStyle name="20% - Accent1 4 2 10 2 2" xfId="29429" xr:uid="{00000000-0005-0000-0000-00001E040000}"/>
    <cellStyle name="20% - Accent1 4 2 10 3" xfId="17639" xr:uid="{00000000-0005-0000-0000-00001F040000}"/>
    <cellStyle name="20% - Accent1 4 2 11" xfId="8860" xr:uid="{00000000-0005-0000-0000-000020040000}"/>
    <cellStyle name="20% - Accent1 4 2 11 2" xfId="23335" xr:uid="{00000000-0005-0000-0000-000021040000}"/>
    <cellStyle name="20% - Accent1 4 2 12" xfId="17638" xr:uid="{00000000-0005-0000-0000-000022040000}"/>
    <cellStyle name="20% - Accent1 4 2 2" xfId="317" xr:uid="{00000000-0005-0000-0000-000023040000}"/>
    <cellStyle name="20% - Accent1 4 2 2 10" xfId="8861" xr:uid="{00000000-0005-0000-0000-000024040000}"/>
    <cellStyle name="20% - Accent1 4 2 2 10 2" xfId="23336" xr:uid="{00000000-0005-0000-0000-000025040000}"/>
    <cellStyle name="20% - Accent1 4 2 2 11" xfId="17640" xr:uid="{00000000-0005-0000-0000-000026040000}"/>
    <cellStyle name="20% - Accent1 4 2 2 2" xfId="318" xr:uid="{00000000-0005-0000-0000-000027040000}"/>
    <cellStyle name="20% - Accent1 4 2 2 2 2" xfId="319" xr:uid="{00000000-0005-0000-0000-000028040000}"/>
    <cellStyle name="20% - Accent1 4 2 2 2 2 2" xfId="10587" xr:uid="{00000000-0005-0000-0000-000029040000}"/>
    <cellStyle name="20% - Accent1 4 2 2 2 2 2 2" xfId="24529" xr:uid="{00000000-0005-0000-0000-00002A040000}"/>
    <cellStyle name="20% - Accent1 4 2 2 2 2 3" xfId="17642" xr:uid="{00000000-0005-0000-0000-00002B040000}"/>
    <cellStyle name="20% - Accent1 4 2 2 2 3" xfId="320" xr:uid="{00000000-0005-0000-0000-00002C040000}"/>
    <cellStyle name="20% - Accent1 4 2 2 2 3 2" xfId="12403" xr:uid="{00000000-0005-0000-0000-00002D040000}"/>
    <cellStyle name="20% - Accent1 4 2 2 2 3 2 2" xfId="26115" xr:uid="{00000000-0005-0000-0000-00002E040000}"/>
    <cellStyle name="20% - Accent1 4 2 2 2 3 3" xfId="17643" xr:uid="{00000000-0005-0000-0000-00002F040000}"/>
    <cellStyle name="20% - Accent1 4 2 2 2 4" xfId="321" xr:uid="{00000000-0005-0000-0000-000030040000}"/>
    <cellStyle name="20% - Accent1 4 2 2 2 4 2" xfId="14548" xr:uid="{00000000-0005-0000-0000-000031040000}"/>
    <cellStyle name="20% - Accent1 4 2 2 2 4 2 2" xfId="28097" xr:uid="{00000000-0005-0000-0000-000032040000}"/>
    <cellStyle name="20% - Accent1 4 2 2 2 4 3" xfId="17644" xr:uid="{00000000-0005-0000-0000-000033040000}"/>
    <cellStyle name="20% - Accent1 4 2 2 2 5" xfId="322" xr:uid="{00000000-0005-0000-0000-000034040000}"/>
    <cellStyle name="20% - Accent1 4 2 2 2 5 2" xfId="16892" xr:uid="{00000000-0005-0000-0000-000035040000}"/>
    <cellStyle name="20% - Accent1 4 2 2 2 5 2 2" xfId="30299" xr:uid="{00000000-0005-0000-0000-000036040000}"/>
    <cellStyle name="20% - Accent1 4 2 2 2 5 3" xfId="17645" xr:uid="{00000000-0005-0000-0000-000037040000}"/>
    <cellStyle name="20% - Accent1 4 2 2 2 6" xfId="8862" xr:uid="{00000000-0005-0000-0000-000038040000}"/>
    <cellStyle name="20% - Accent1 4 2 2 2 6 2" xfId="23337" xr:uid="{00000000-0005-0000-0000-000039040000}"/>
    <cellStyle name="20% - Accent1 4 2 2 2 7" xfId="17641" xr:uid="{00000000-0005-0000-0000-00003A040000}"/>
    <cellStyle name="20% - Accent1 4 2 2 3" xfId="323" xr:uid="{00000000-0005-0000-0000-00003B040000}"/>
    <cellStyle name="20% - Accent1 4 2 2 3 2" xfId="324" xr:uid="{00000000-0005-0000-0000-00003C040000}"/>
    <cellStyle name="20% - Accent1 4 2 2 3 2 2" xfId="14547" xr:uid="{00000000-0005-0000-0000-00003D040000}"/>
    <cellStyle name="20% - Accent1 4 2 2 3 2 2 2" xfId="28096" xr:uid="{00000000-0005-0000-0000-00003E040000}"/>
    <cellStyle name="20% - Accent1 4 2 2 3 2 3" xfId="17647" xr:uid="{00000000-0005-0000-0000-00003F040000}"/>
    <cellStyle name="20% - Accent1 4 2 2 3 3" xfId="10586" xr:uid="{00000000-0005-0000-0000-000040040000}"/>
    <cellStyle name="20% - Accent1 4 2 2 3 3 2" xfId="24528" xr:uid="{00000000-0005-0000-0000-000041040000}"/>
    <cellStyle name="20% - Accent1 4 2 2 3 4" xfId="17646" xr:uid="{00000000-0005-0000-0000-000042040000}"/>
    <cellStyle name="20% - Accent1 4 2 2 4" xfId="325" xr:uid="{00000000-0005-0000-0000-000043040000}"/>
    <cellStyle name="20% - Accent1 4 2 2 4 2" xfId="12280" xr:uid="{00000000-0005-0000-0000-000044040000}"/>
    <cellStyle name="20% - Accent1 4 2 2 4 2 2" xfId="25992" xr:uid="{00000000-0005-0000-0000-000045040000}"/>
    <cellStyle name="20% - Accent1 4 2 2 4 3" xfId="17648" xr:uid="{00000000-0005-0000-0000-000046040000}"/>
    <cellStyle name="20% - Accent1 4 2 2 5" xfId="326" xr:uid="{00000000-0005-0000-0000-000047040000}"/>
    <cellStyle name="20% - Accent1 4 2 2 5 2" xfId="12721" xr:uid="{00000000-0005-0000-0000-000048040000}"/>
    <cellStyle name="20% - Accent1 4 2 2 5 2 2" xfId="26433" xr:uid="{00000000-0005-0000-0000-000049040000}"/>
    <cellStyle name="20% - Accent1 4 2 2 5 3" xfId="17649" xr:uid="{00000000-0005-0000-0000-00004A040000}"/>
    <cellStyle name="20% - Accent1 4 2 2 6" xfId="327" xr:uid="{00000000-0005-0000-0000-00004B040000}"/>
    <cellStyle name="20% - Accent1 4 2 2 6 2" xfId="13844" xr:uid="{00000000-0005-0000-0000-00004C040000}"/>
    <cellStyle name="20% - Accent1 4 2 2 6 2 2" xfId="27393" xr:uid="{00000000-0005-0000-0000-00004D040000}"/>
    <cellStyle name="20% - Accent1 4 2 2 6 3" xfId="17650" xr:uid="{00000000-0005-0000-0000-00004E040000}"/>
    <cellStyle name="20% - Accent1 4 2 2 7" xfId="328" xr:uid="{00000000-0005-0000-0000-00004F040000}"/>
    <cellStyle name="20% - Accent1 4 2 2 7 2" xfId="14425" xr:uid="{00000000-0005-0000-0000-000050040000}"/>
    <cellStyle name="20% - Accent1 4 2 2 7 2 2" xfId="27974" xr:uid="{00000000-0005-0000-0000-000051040000}"/>
    <cellStyle name="20% - Accent1 4 2 2 7 3" xfId="17651" xr:uid="{00000000-0005-0000-0000-000052040000}"/>
    <cellStyle name="20% - Accent1 4 2 2 8" xfId="329" xr:uid="{00000000-0005-0000-0000-000053040000}"/>
    <cellStyle name="20% - Accent1 4 2 2 8 2" xfId="14549" xr:uid="{00000000-0005-0000-0000-000054040000}"/>
    <cellStyle name="20% - Accent1 4 2 2 8 2 2" xfId="28098" xr:uid="{00000000-0005-0000-0000-000055040000}"/>
    <cellStyle name="20% - Accent1 4 2 2 8 3" xfId="17652" xr:uid="{00000000-0005-0000-0000-000056040000}"/>
    <cellStyle name="20% - Accent1 4 2 2 9" xfId="330" xr:uid="{00000000-0005-0000-0000-000057040000}"/>
    <cellStyle name="20% - Accent1 4 2 2 9 2" xfId="16311" xr:uid="{00000000-0005-0000-0000-000058040000}"/>
    <cellStyle name="20% - Accent1 4 2 2 9 2 2" xfId="29718" xr:uid="{00000000-0005-0000-0000-000059040000}"/>
    <cellStyle name="20% - Accent1 4 2 2 9 3" xfId="17653" xr:uid="{00000000-0005-0000-0000-00005A040000}"/>
    <cellStyle name="20% - Accent1 4 2 3" xfId="331" xr:uid="{00000000-0005-0000-0000-00005B040000}"/>
    <cellStyle name="20% - Accent1 4 2 3 2" xfId="332" xr:uid="{00000000-0005-0000-0000-00005C040000}"/>
    <cellStyle name="20% - Accent1 4 2 3 2 2" xfId="10588" xr:uid="{00000000-0005-0000-0000-00005D040000}"/>
    <cellStyle name="20% - Accent1 4 2 3 2 2 2" xfId="24530" xr:uid="{00000000-0005-0000-0000-00005E040000}"/>
    <cellStyle name="20% - Accent1 4 2 3 2 3" xfId="17655" xr:uid="{00000000-0005-0000-0000-00005F040000}"/>
    <cellStyle name="20% - Accent1 4 2 3 3" xfId="333" xr:uid="{00000000-0005-0000-0000-000060040000}"/>
    <cellStyle name="20% - Accent1 4 2 3 3 2" xfId="12699" xr:uid="{00000000-0005-0000-0000-000061040000}"/>
    <cellStyle name="20% - Accent1 4 2 3 3 2 2" xfId="26411" xr:uid="{00000000-0005-0000-0000-000062040000}"/>
    <cellStyle name="20% - Accent1 4 2 3 3 3" xfId="17656" xr:uid="{00000000-0005-0000-0000-000063040000}"/>
    <cellStyle name="20% - Accent1 4 2 3 4" xfId="334" xr:uid="{00000000-0005-0000-0000-000064040000}"/>
    <cellStyle name="20% - Accent1 4 2 3 4 2" xfId="14546" xr:uid="{00000000-0005-0000-0000-000065040000}"/>
    <cellStyle name="20% - Accent1 4 2 3 4 2 2" xfId="28095" xr:uid="{00000000-0005-0000-0000-000066040000}"/>
    <cellStyle name="20% - Accent1 4 2 3 4 3" xfId="17657" xr:uid="{00000000-0005-0000-0000-000067040000}"/>
    <cellStyle name="20% - Accent1 4 2 3 5" xfId="335" xr:uid="{00000000-0005-0000-0000-000068040000}"/>
    <cellStyle name="20% - Accent1 4 2 3 5 2" xfId="16603" xr:uid="{00000000-0005-0000-0000-000069040000}"/>
    <cellStyle name="20% - Accent1 4 2 3 5 2 2" xfId="30010" xr:uid="{00000000-0005-0000-0000-00006A040000}"/>
    <cellStyle name="20% - Accent1 4 2 3 5 3" xfId="17658" xr:uid="{00000000-0005-0000-0000-00006B040000}"/>
    <cellStyle name="20% - Accent1 4 2 3 6" xfId="8863" xr:uid="{00000000-0005-0000-0000-00006C040000}"/>
    <cellStyle name="20% - Accent1 4 2 3 6 2" xfId="23338" xr:uid="{00000000-0005-0000-0000-00006D040000}"/>
    <cellStyle name="20% - Accent1 4 2 3 7" xfId="17654" xr:uid="{00000000-0005-0000-0000-00006E040000}"/>
    <cellStyle name="20% - Accent1 4 2 4" xfId="336" xr:uid="{00000000-0005-0000-0000-00006F040000}"/>
    <cellStyle name="20% - Accent1 4 2 4 2" xfId="337" xr:uid="{00000000-0005-0000-0000-000070040000}"/>
    <cellStyle name="20% - Accent1 4 2 4 2 2" xfId="14545" xr:uid="{00000000-0005-0000-0000-000071040000}"/>
    <cellStyle name="20% - Accent1 4 2 4 2 2 2" xfId="28094" xr:uid="{00000000-0005-0000-0000-000072040000}"/>
    <cellStyle name="20% - Accent1 4 2 4 2 3" xfId="17660" xr:uid="{00000000-0005-0000-0000-000073040000}"/>
    <cellStyle name="20% - Accent1 4 2 4 3" xfId="10585" xr:uid="{00000000-0005-0000-0000-000074040000}"/>
    <cellStyle name="20% - Accent1 4 2 4 3 2" xfId="24527" xr:uid="{00000000-0005-0000-0000-000075040000}"/>
    <cellStyle name="20% - Accent1 4 2 4 4" xfId="17659" xr:uid="{00000000-0005-0000-0000-000076040000}"/>
    <cellStyle name="20% - Accent1 4 2 5" xfId="338" xr:uid="{00000000-0005-0000-0000-000077040000}"/>
    <cellStyle name="20% - Accent1 4 2 5 2" xfId="11980" xr:uid="{00000000-0005-0000-0000-000078040000}"/>
    <cellStyle name="20% - Accent1 4 2 5 2 2" xfId="25695" xr:uid="{00000000-0005-0000-0000-000079040000}"/>
    <cellStyle name="20% - Accent1 4 2 5 3" xfId="17661" xr:uid="{00000000-0005-0000-0000-00007A040000}"/>
    <cellStyle name="20% - Accent1 4 2 6" xfId="339" xr:uid="{00000000-0005-0000-0000-00007B040000}"/>
    <cellStyle name="20% - Accent1 4 2 6 2" xfId="12620" xr:uid="{00000000-0005-0000-0000-00007C040000}"/>
    <cellStyle name="20% - Accent1 4 2 6 2 2" xfId="26332" xr:uid="{00000000-0005-0000-0000-00007D040000}"/>
    <cellStyle name="20% - Accent1 4 2 6 3" xfId="17662" xr:uid="{00000000-0005-0000-0000-00007E040000}"/>
    <cellStyle name="20% - Accent1 4 2 7" xfId="340" xr:uid="{00000000-0005-0000-0000-00007F040000}"/>
    <cellStyle name="20% - Accent1 4 2 7 2" xfId="13555" xr:uid="{00000000-0005-0000-0000-000080040000}"/>
    <cellStyle name="20% - Accent1 4 2 7 2 2" xfId="27104" xr:uid="{00000000-0005-0000-0000-000081040000}"/>
    <cellStyle name="20% - Accent1 4 2 7 3" xfId="17663" xr:uid="{00000000-0005-0000-0000-000082040000}"/>
    <cellStyle name="20% - Accent1 4 2 8" xfId="341" xr:uid="{00000000-0005-0000-0000-000083040000}"/>
    <cellStyle name="20% - Accent1 4 2 8 2" xfId="14136" xr:uid="{00000000-0005-0000-0000-000084040000}"/>
    <cellStyle name="20% - Accent1 4 2 8 2 2" xfId="27685" xr:uid="{00000000-0005-0000-0000-000085040000}"/>
    <cellStyle name="20% - Accent1 4 2 8 3" xfId="17664" xr:uid="{00000000-0005-0000-0000-000086040000}"/>
    <cellStyle name="20% - Accent1 4 2 9" xfId="342" xr:uid="{00000000-0005-0000-0000-000087040000}"/>
    <cellStyle name="20% - Accent1 4 2 9 2" xfId="14550" xr:uid="{00000000-0005-0000-0000-000088040000}"/>
    <cellStyle name="20% - Accent1 4 2 9 2 2" xfId="28099" xr:uid="{00000000-0005-0000-0000-000089040000}"/>
    <cellStyle name="20% - Accent1 4 2 9 3" xfId="17665" xr:uid="{00000000-0005-0000-0000-00008A040000}"/>
    <cellStyle name="20% - Accent1 4 3" xfId="343" xr:uid="{00000000-0005-0000-0000-00008B040000}"/>
    <cellStyle name="20% - Accent1 4 3 10" xfId="8864" xr:uid="{00000000-0005-0000-0000-00008C040000}"/>
    <cellStyle name="20% - Accent1 4 3 10 2" xfId="23339" xr:uid="{00000000-0005-0000-0000-00008D040000}"/>
    <cellStyle name="20% - Accent1 4 3 11" xfId="17666" xr:uid="{00000000-0005-0000-0000-00008E040000}"/>
    <cellStyle name="20% - Accent1 4 3 2" xfId="344" xr:uid="{00000000-0005-0000-0000-00008F040000}"/>
    <cellStyle name="20% - Accent1 4 3 2 2" xfId="345" xr:uid="{00000000-0005-0000-0000-000090040000}"/>
    <cellStyle name="20% - Accent1 4 3 2 2 2" xfId="10590" xr:uid="{00000000-0005-0000-0000-000091040000}"/>
    <cellStyle name="20% - Accent1 4 3 2 2 2 2" xfId="24532" xr:uid="{00000000-0005-0000-0000-000092040000}"/>
    <cellStyle name="20% - Accent1 4 3 2 2 3" xfId="17668" xr:uid="{00000000-0005-0000-0000-000093040000}"/>
    <cellStyle name="20% - Accent1 4 3 2 3" xfId="346" xr:uid="{00000000-0005-0000-0000-000094040000}"/>
    <cellStyle name="20% - Accent1 4 3 2 3 2" xfId="12570" xr:uid="{00000000-0005-0000-0000-000095040000}"/>
    <cellStyle name="20% - Accent1 4 3 2 3 2 2" xfId="26282" xr:uid="{00000000-0005-0000-0000-000096040000}"/>
    <cellStyle name="20% - Accent1 4 3 2 3 3" xfId="17669" xr:uid="{00000000-0005-0000-0000-000097040000}"/>
    <cellStyle name="20% - Accent1 4 3 2 4" xfId="347" xr:uid="{00000000-0005-0000-0000-000098040000}"/>
    <cellStyle name="20% - Accent1 4 3 2 4 2" xfId="14543" xr:uid="{00000000-0005-0000-0000-000099040000}"/>
    <cellStyle name="20% - Accent1 4 3 2 4 2 2" xfId="28092" xr:uid="{00000000-0005-0000-0000-00009A040000}"/>
    <cellStyle name="20% - Accent1 4 3 2 4 3" xfId="17670" xr:uid="{00000000-0005-0000-0000-00009B040000}"/>
    <cellStyle name="20% - Accent1 4 3 2 5" xfId="348" xr:uid="{00000000-0005-0000-0000-00009C040000}"/>
    <cellStyle name="20% - Accent1 4 3 2 5 2" xfId="16752" xr:uid="{00000000-0005-0000-0000-00009D040000}"/>
    <cellStyle name="20% - Accent1 4 3 2 5 2 2" xfId="30159" xr:uid="{00000000-0005-0000-0000-00009E040000}"/>
    <cellStyle name="20% - Accent1 4 3 2 5 3" xfId="17671" xr:uid="{00000000-0005-0000-0000-00009F040000}"/>
    <cellStyle name="20% - Accent1 4 3 2 6" xfId="8865" xr:uid="{00000000-0005-0000-0000-0000A0040000}"/>
    <cellStyle name="20% - Accent1 4 3 2 6 2" xfId="23340" xr:uid="{00000000-0005-0000-0000-0000A1040000}"/>
    <cellStyle name="20% - Accent1 4 3 2 7" xfId="17667" xr:uid="{00000000-0005-0000-0000-0000A2040000}"/>
    <cellStyle name="20% - Accent1 4 3 3" xfId="349" xr:uid="{00000000-0005-0000-0000-0000A3040000}"/>
    <cellStyle name="20% - Accent1 4 3 3 2" xfId="350" xr:uid="{00000000-0005-0000-0000-0000A4040000}"/>
    <cellStyle name="20% - Accent1 4 3 3 2 2" xfId="14542" xr:uid="{00000000-0005-0000-0000-0000A5040000}"/>
    <cellStyle name="20% - Accent1 4 3 3 2 2 2" xfId="28091" xr:uid="{00000000-0005-0000-0000-0000A6040000}"/>
    <cellStyle name="20% - Accent1 4 3 3 2 3" xfId="17673" xr:uid="{00000000-0005-0000-0000-0000A7040000}"/>
    <cellStyle name="20% - Accent1 4 3 3 3" xfId="10589" xr:uid="{00000000-0005-0000-0000-0000A8040000}"/>
    <cellStyle name="20% - Accent1 4 3 3 3 2" xfId="24531" xr:uid="{00000000-0005-0000-0000-0000A9040000}"/>
    <cellStyle name="20% - Accent1 4 3 3 4" xfId="17672" xr:uid="{00000000-0005-0000-0000-0000AA040000}"/>
    <cellStyle name="20% - Accent1 4 3 4" xfId="351" xr:uid="{00000000-0005-0000-0000-0000AB040000}"/>
    <cellStyle name="20% - Accent1 4 3 4 2" xfId="12140" xr:uid="{00000000-0005-0000-0000-0000AC040000}"/>
    <cellStyle name="20% - Accent1 4 3 4 2 2" xfId="25852" xr:uid="{00000000-0005-0000-0000-0000AD040000}"/>
    <cellStyle name="20% - Accent1 4 3 4 3" xfId="17674" xr:uid="{00000000-0005-0000-0000-0000AE040000}"/>
    <cellStyle name="20% - Accent1 4 3 5" xfId="352" xr:uid="{00000000-0005-0000-0000-0000AF040000}"/>
    <cellStyle name="20% - Accent1 4 3 5 2" xfId="12720" xr:uid="{00000000-0005-0000-0000-0000B0040000}"/>
    <cellStyle name="20% - Accent1 4 3 5 2 2" xfId="26432" xr:uid="{00000000-0005-0000-0000-0000B1040000}"/>
    <cellStyle name="20% - Accent1 4 3 5 3" xfId="17675" xr:uid="{00000000-0005-0000-0000-0000B2040000}"/>
    <cellStyle name="20% - Accent1 4 3 6" xfId="353" xr:uid="{00000000-0005-0000-0000-0000B3040000}"/>
    <cellStyle name="20% - Accent1 4 3 6 2" xfId="13704" xr:uid="{00000000-0005-0000-0000-0000B4040000}"/>
    <cellStyle name="20% - Accent1 4 3 6 2 2" xfId="27253" xr:uid="{00000000-0005-0000-0000-0000B5040000}"/>
    <cellStyle name="20% - Accent1 4 3 6 3" xfId="17676" xr:uid="{00000000-0005-0000-0000-0000B6040000}"/>
    <cellStyle name="20% - Accent1 4 3 7" xfId="354" xr:uid="{00000000-0005-0000-0000-0000B7040000}"/>
    <cellStyle name="20% - Accent1 4 3 7 2" xfId="14285" xr:uid="{00000000-0005-0000-0000-0000B8040000}"/>
    <cellStyle name="20% - Accent1 4 3 7 2 2" xfId="27834" xr:uid="{00000000-0005-0000-0000-0000B9040000}"/>
    <cellStyle name="20% - Accent1 4 3 7 3" xfId="17677" xr:uid="{00000000-0005-0000-0000-0000BA040000}"/>
    <cellStyle name="20% - Accent1 4 3 8" xfId="355" xr:uid="{00000000-0005-0000-0000-0000BB040000}"/>
    <cellStyle name="20% - Accent1 4 3 8 2" xfId="14544" xr:uid="{00000000-0005-0000-0000-0000BC040000}"/>
    <cellStyle name="20% - Accent1 4 3 8 2 2" xfId="28093" xr:uid="{00000000-0005-0000-0000-0000BD040000}"/>
    <cellStyle name="20% - Accent1 4 3 8 3" xfId="17678" xr:uid="{00000000-0005-0000-0000-0000BE040000}"/>
    <cellStyle name="20% - Accent1 4 3 9" xfId="356" xr:uid="{00000000-0005-0000-0000-0000BF040000}"/>
    <cellStyle name="20% - Accent1 4 3 9 2" xfId="16171" xr:uid="{00000000-0005-0000-0000-0000C0040000}"/>
    <cellStyle name="20% - Accent1 4 3 9 2 2" xfId="29578" xr:uid="{00000000-0005-0000-0000-0000C1040000}"/>
    <cellStyle name="20% - Accent1 4 3 9 3" xfId="17679" xr:uid="{00000000-0005-0000-0000-0000C2040000}"/>
    <cellStyle name="20% - Accent1 4 4" xfId="357" xr:uid="{00000000-0005-0000-0000-0000C3040000}"/>
    <cellStyle name="20% - Accent1 4 4 2" xfId="358" xr:uid="{00000000-0005-0000-0000-0000C4040000}"/>
    <cellStyle name="20% - Accent1 4 4 2 2" xfId="10591" xr:uid="{00000000-0005-0000-0000-0000C5040000}"/>
    <cellStyle name="20% - Accent1 4 4 2 2 2" xfId="24533" xr:uid="{00000000-0005-0000-0000-0000C6040000}"/>
    <cellStyle name="20% - Accent1 4 4 2 3" xfId="17681" xr:uid="{00000000-0005-0000-0000-0000C7040000}"/>
    <cellStyle name="20% - Accent1 4 4 3" xfId="359" xr:uid="{00000000-0005-0000-0000-0000C8040000}"/>
    <cellStyle name="20% - Accent1 4 4 3 2" xfId="12698" xr:uid="{00000000-0005-0000-0000-0000C9040000}"/>
    <cellStyle name="20% - Accent1 4 4 3 2 2" xfId="26410" xr:uid="{00000000-0005-0000-0000-0000CA040000}"/>
    <cellStyle name="20% - Accent1 4 4 3 3" xfId="17682" xr:uid="{00000000-0005-0000-0000-0000CB040000}"/>
    <cellStyle name="20% - Accent1 4 4 4" xfId="360" xr:uid="{00000000-0005-0000-0000-0000CC040000}"/>
    <cellStyle name="20% - Accent1 4 4 4 2" xfId="14541" xr:uid="{00000000-0005-0000-0000-0000CD040000}"/>
    <cellStyle name="20% - Accent1 4 4 4 2 2" xfId="28090" xr:uid="{00000000-0005-0000-0000-0000CE040000}"/>
    <cellStyle name="20% - Accent1 4 4 4 3" xfId="17683" xr:uid="{00000000-0005-0000-0000-0000CF040000}"/>
    <cellStyle name="20% - Accent1 4 4 5" xfId="361" xr:uid="{00000000-0005-0000-0000-0000D0040000}"/>
    <cellStyle name="20% - Accent1 4 4 5 2" xfId="16460" xr:uid="{00000000-0005-0000-0000-0000D1040000}"/>
    <cellStyle name="20% - Accent1 4 4 5 2 2" xfId="29867" xr:uid="{00000000-0005-0000-0000-0000D2040000}"/>
    <cellStyle name="20% - Accent1 4 4 5 3" xfId="17684" xr:uid="{00000000-0005-0000-0000-0000D3040000}"/>
    <cellStyle name="20% - Accent1 4 4 6" xfId="8866" xr:uid="{00000000-0005-0000-0000-0000D4040000}"/>
    <cellStyle name="20% - Accent1 4 4 6 2" xfId="23341" xr:uid="{00000000-0005-0000-0000-0000D5040000}"/>
    <cellStyle name="20% - Accent1 4 4 7" xfId="17680" xr:uid="{00000000-0005-0000-0000-0000D6040000}"/>
    <cellStyle name="20% - Accent1 4 5" xfId="362" xr:uid="{00000000-0005-0000-0000-0000D7040000}"/>
    <cellStyle name="20% - Accent1 4 5 2" xfId="363" xr:uid="{00000000-0005-0000-0000-0000D8040000}"/>
    <cellStyle name="20% - Accent1 4 5 2 2" xfId="14604" xr:uid="{00000000-0005-0000-0000-0000D9040000}"/>
    <cellStyle name="20% - Accent1 4 5 2 2 2" xfId="28153" xr:uid="{00000000-0005-0000-0000-0000DA040000}"/>
    <cellStyle name="20% - Accent1 4 5 2 3" xfId="17686" xr:uid="{00000000-0005-0000-0000-0000DB040000}"/>
    <cellStyle name="20% - Accent1 4 5 3" xfId="10584" xr:uid="{00000000-0005-0000-0000-0000DC040000}"/>
    <cellStyle name="20% - Accent1 4 5 3 2" xfId="24526" xr:uid="{00000000-0005-0000-0000-0000DD040000}"/>
    <cellStyle name="20% - Accent1 4 5 4" xfId="17685" xr:uid="{00000000-0005-0000-0000-0000DE040000}"/>
    <cellStyle name="20% - Accent1 4 6" xfId="364" xr:uid="{00000000-0005-0000-0000-0000DF040000}"/>
    <cellStyle name="20% - Accent1 4 6 2" xfId="11811" xr:uid="{00000000-0005-0000-0000-0000E0040000}"/>
    <cellStyle name="20% - Accent1 4 6 2 2" xfId="25526" xr:uid="{00000000-0005-0000-0000-0000E1040000}"/>
    <cellStyle name="20% - Accent1 4 6 3" xfId="17687" xr:uid="{00000000-0005-0000-0000-0000E2040000}"/>
    <cellStyle name="20% - Accent1 4 7" xfId="365" xr:uid="{00000000-0005-0000-0000-0000E3040000}"/>
    <cellStyle name="20% - Accent1 4 7 2" xfId="12716" xr:uid="{00000000-0005-0000-0000-0000E4040000}"/>
    <cellStyle name="20% - Accent1 4 7 2 2" xfId="26428" xr:uid="{00000000-0005-0000-0000-0000E5040000}"/>
    <cellStyle name="20% - Accent1 4 7 3" xfId="17688" xr:uid="{00000000-0005-0000-0000-0000E6040000}"/>
    <cellStyle name="20% - Accent1 4 8" xfId="366" xr:uid="{00000000-0005-0000-0000-0000E7040000}"/>
    <cellStyle name="20% - Accent1 4 8 2" xfId="13412" xr:uid="{00000000-0005-0000-0000-0000E8040000}"/>
    <cellStyle name="20% - Accent1 4 8 2 2" xfId="26961" xr:uid="{00000000-0005-0000-0000-0000E9040000}"/>
    <cellStyle name="20% - Accent1 4 8 3" xfId="17689" xr:uid="{00000000-0005-0000-0000-0000EA040000}"/>
    <cellStyle name="20% - Accent1 4 9" xfId="367" xr:uid="{00000000-0005-0000-0000-0000EB040000}"/>
    <cellStyle name="20% - Accent1 4 9 2" xfId="13993" xr:uid="{00000000-0005-0000-0000-0000EC040000}"/>
    <cellStyle name="20% - Accent1 4 9 2 2" xfId="27542" xr:uid="{00000000-0005-0000-0000-0000ED040000}"/>
    <cellStyle name="20% - Accent1 4 9 3" xfId="17690" xr:uid="{00000000-0005-0000-0000-0000EE040000}"/>
    <cellStyle name="20% - Accent1 5" xfId="368" xr:uid="{00000000-0005-0000-0000-0000EF040000}"/>
    <cellStyle name="20% - Accent1 5 10" xfId="369" xr:uid="{00000000-0005-0000-0000-0000F0040000}"/>
    <cellStyle name="20% - Accent1 5 10 2" xfId="14605" xr:uid="{00000000-0005-0000-0000-0000F1040000}"/>
    <cellStyle name="20% - Accent1 5 10 2 2" xfId="28154" xr:uid="{00000000-0005-0000-0000-0000F2040000}"/>
    <cellStyle name="20% - Accent1 5 10 3" xfId="17692" xr:uid="{00000000-0005-0000-0000-0000F3040000}"/>
    <cellStyle name="20% - Accent1 5 11" xfId="370" xr:uid="{00000000-0005-0000-0000-0000F4040000}"/>
    <cellStyle name="20% - Accent1 5 11 2" xfId="15862" xr:uid="{00000000-0005-0000-0000-0000F5040000}"/>
    <cellStyle name="20% - Accent1 5 11 2 2" xfId="29269" xr:uid="{00000000-0005-0000-0000-0000F6040000}"/>
    <cellStyle name="20% - Accent1 5 11 3" xfId="17693" xr:uid="{00000000-0005-0000-0000-0000F7040000}"/>
    <cellStyle name="20% - Accent1 5 12" xfId="8867" xr:uid="{00000000-0005-0000-0000-0000F8040000}"/>
    <cellStyle name="20% - Accent1 5 12 2" xfId="23342" xr:uid="{00000000-0005-0000-0000-0000F9040000}"/>
    <cellStyle name="20% - Accent1 5 13" xfId="17691" xr:uid="{00000000-0005-0000-0000-0000FA040000}"/>
    <cellStyle name="20% - Accent1 5 2" xfId="371" xr:uid="{00000000-0005-0000-0000-0000FB040000}"/>
    <cellStyle name="20% - Accent1 5 2 10" xfId="372" xr:uid="{00000000-0005-0000-0000-0000FC040000}"/>
    <cellStyle name="20% - Accent1 5 2 10 2" xfId="16005" xr:uid="{00000000-0005-0000-0000-0000FD040000}"/>
    <cellStyle name="20% - Accent1 5 2 10 2 2" xfId="29412" xr:uid="{00000000-0005-0000-0000-0000FE040000}"/>
    <cellStyle name="20% - Accent1 5 2 10 3" xfId="17695" xr:uid="{00000000-0005-0000-0000-0000FF040000}"/>
    <cellStyle name="20% - Accent1 5 2 11" xfId="8868" xr:uid="{00000000-0005-0000-0000-000000050000}"/>
    <cellStyle name="20% - Accent1 5 2 11 2" xfId="23343" xr:uid="{00000000-0005-0000-0000-000001050000}"/>
    <cellStyle name="20% - Accent1 5 2 12" xfId="17694" xr:uid="{00000000-0005-0000-0000-000002050000}"/>
    <cellStyle name="20% - Accent1 5 2 2" xfId="373" xr:uid="{00000000-0005-0000-0000-000003050000}"/>
    <cellStyle name="20% - Accent1 5 2 2 10" xfId="8869" xr:uid="{00000000-0005-0000-0000-000004050000}"/>
    <cellStyle name="20% - Accent1 5 2 2 10 2" xfId="23344" xr:uid="{00000000-0005-0000-0000-000005050000}"/>
    <cellStyle name="20% - Accent1 5 2 2 11" xfId="17696" xr:uid="{00000000-0005-0000-0000-000006050000}"/>
    <cellStyle name="20% - Accent1 5 2 2 2" xfId="374" xr:uid="{00000000-0005-0000-0000-000007050000}"/>
    <cellStyle name="20% - Accent1 5 2 2 2 2" xfId="375" xr:uid="{00000000-0005-0000-0000-000008050000}"/>
    <cellStyle name="20% - Accent1 5 2 2 2 2 2" xfId="10595" xr:uid="{00000000-0005-0000-0000-000009050000}"/>
    <cellStyle name="20% - Accent1 5 2 2 2 2 2 2" xfId="24537" xr:uid="{00000000-0005-0000-0000-00000A050000}"/>
    <cellStyle name="20% - Accent1 5 2 2 2 2 3" xfId="17698" xr:uid="{00000000-0005-0000-0000-00000B050000}"/>
    <cellStyle name="20% - Accent1 5 2 2 2 3" xfId="376" xr:uid="{00000000-0005-0000-0000-00000C050000}"/>
    <cellStyle name="20% - Accent1 5 2 2 2 3 2" xfId="12544" xr:uid="{00000000-0005-0000-0000-00000D050000}"/>
    <cellStyle name="20% - Accent1 5 2 2 2 3 2 2" xfId="26256" xr:uid="{00000000-0005-0000-0000-00000E050000}"/>
    <cellStyle name="20% - Accent1 5 2 2 2 3 3" xfId="17699" xr:uid="{00000000-0005-0000-0000-00000F050000}"/>
    <cellStyle name="20% - Accent1 5 2 2 2 4" xfId="377" xr:uid="{00000000-0005-0000-0000-000010050000}"/>
    <cellStyle name="20% - Accent1 5 2 2 2 4 2" xfId="14608" xr:uid="{00000000-0005-0000-0000-000011050000}"/>
    <cellStyle name="20% - Accent1 5 2 2 2 4 2 2" xfId="28157" xr:uid="{00000000-0005-0000-0000-000012050000}"/>
    <cellStyle name="20% - Accent1 5 2 2 2 4 3" xfId="17700" xr:uid="{00000000-0005-0000-0000-000013050000}"/>
    <cellStyle name="20% - Accent1 5 2 2 2 5" xfId="378" xr:uid="{00000000-0005-0000-0000-000014050000}"/>
    <cellStyle name="20% - Accent1 5 2 2 2 5 2" xfId="16875" xr:uid="{00000000-0005-0000-0000-000015050000}"/>
    <cellStyle name="20% - Accent1 5 2 2 2 5 2 2" xfId="30282" xr:uid="{00000000-0005-0000-0000-000016050000}"/>
    <cellStyle name="20% - Accent1 5 2 2 2 5 3" xfId="17701" xr:uid="{00000000-0005-0000-0000-000017050000}"/>
    <cellStyle name="20% - Accent1 5 2 2 2 6" xfId="8870" xr:uid="{00000000-0005-0000-0000-000018050000}"/>
    <cellStyle name="20% - Accent1 5 2 2 2 6 2" xfId="23345" xr:uid="{00000000-0005-0000-0000-000019050000}"/>
    <cellStyle name="20% - Accent1 5 2 2 2 7" xfId="17697" xr:uid="{00000000-0005-0000-0000-00001A050000}"/>
    <cellStyle name="20% - Accent1 5 2 2 3" xfId="379" xr:uid="{00000000-0005-0000-0000-00001B050000}"/>
    <cellStyle name="20% - Accent1 5 2 2 3 2" xfId="380" xr:uid="{00000000-0005-0000-0000-00001C050000}"/>
    <cellStyle name="20% - Accent1 5 2 2 3 2 2" xfId="14609" xr:uid="{00000000-0005-0000-0000-00001D050000}"/>
    <cellStyle name="20% - Accent1 5 2 2 3 2 2 2" xfId="28158" xr:uid="{00000000-0005-0000-0000-00001E050000}"/>
    <cellStyle name="20% - Accent1 5 2 2 3 2 3" xfId="17703" xr:uid="{00000000-0005-0000-0000-00001F050000}"/>
    <cellStyle name="20% - Accent1 5 2 2 3 3" xfId="10594" xr:uid="{00000000-0005-0000-0000-000020050000}"/>
    <cellStyle name="20% - Accent1 5 2 2 3 3 2" xfId="24536" xr:uid="{00000000-0005-0000-0000-000021050000}"/>
    <cellStyle name="20% - Accent1 5 2 2 3 4" xfId="17702" xr:uid="{00000000-0005-0000-0000-000022050000}"/>
    <cellStyle name="20% - Accent1 5 2 2 4" xfId="381" xr:uid="{00000000-0005-0000-0000-000023050000}"/>
    <cellStyle name="20% - Accent1 5 2 2 4 2" xfId="12263" xr:uid="{00000000-0005-0000-0000-000024050000}"/>
    <cellStyle name="20% - Accent1 5 2 2 4 2 2" xfId="25975" xr:uid="{00000000-0005-0000-0000-000025050000}"/>
    <cellStyle name="20% - Accent1 5 2 2 4 3" xfId="17704" xr:uid="{00000000-0005-0000-0000-000026050000}"/>
    <cellStyle name="20% - Accent1 5 2 2 5" xfId="382" xr:uid="{00000000-0005-0000-0000-000027050000}"/>
    <cellStyle name="20% - Accent1 5 2 2 5 2" xfId="12613" xr:uid="{00000000-0005-0000-0000-000028050000}"/>
    <cellStyle name="20% - Accent1 5 2 2 5 2 2" xfId="26325" xr:uid="{00000000-0005-0000-0000-000029050000}"/>
    <cellStyle name="20% - Accent1 5 2 2 5 3" xfId="17705" xr:uid="{00000000-0005-0000-0000-00002A050000}"/>
    <cellStyle name="20% - Accent1 5 2 2 6" xfId="383" xr:uid="{00000000-0005-0000-0000-00002B050000}"/>
    <cellStyle name="20% - Accent1 5 2 2 6 2" xfId="13827" xr:uid="{00000000-0005-0000-0000-00002C050000}"/>
    <cellStyle name="20% - Accent1 5 2 2 6 2 2" xfId="27376" xr:uid="{00000000-0005-0000-0000-00002D050000}"/>
    <cellStyle name="20% - Accent1 5 2 2 6 3" xfId="17706" xr:uid="{00000000-0005-0000-0000-00002E050000}"/>
    <cellStyle name="20% - Accent1 5 2 2 7" xfId="384" xr:uid="{00000000-0005-0000-0000-00002F050000}"/>
    <cellStyle name="20% - Accent1 5 2 2 7 2" xfId="14408" xr:uid="{00000000-0005-0000-0000-000030050000}"/>
    <cellStyle name="20% - Accent1 5 2 2 7 2 2" xfId="27957" xr:uid="{00000000-0005-0000-0000-000031050000}"/>
    <cellStyle name="20% - Accent1 5 2 2 7 3" xfId="17707" xr:uid="{00000000-0005-0000-0000-000032050000}"/>
    <cellStyle name="20% - Accent1 5 2 2 8" xfId="385" xr:uid="{00000000-0005-0000-0000-000033050000}"/>
    <cellStyle name="20% - Accent1 5 2 2 8 2" xfId="14607" xr:uid="{00000000-0005-0000-0000-000034050000}"/>
    <cellStyle name="20% - Accent1 5 2 2 8 2 2" xfId="28156" xr:uid="{00000000-0005-0000-0000-000035050000}"/>
    <cellStyle name="20% - Accent1 5 2 2 8 3" xfId="17708" xr:uid="{00000000-0005-0000-0000-000036050000}"/>
    <cellStyle name="20% - Accent1 5 2 2 9" xfId="386" xr:uid="{00000000-0005-0000-0000-000037050000}"/>
    <cellStyle name="20% - Accent1 5 2 2 9 2" xfId="16294" xr:uid="{00000000-0005-0000-0000-000038050000}"/>
    <cellStyle name="20% - Accent1 5 2 2 9 2 2" xfId="29701" xr:uid="{00000000-0005-0000-0000-000039050000}"/>
    <cellStyle name="20% - Accent1 5 2 2 9 3" xfId="17709" xr:uid="{00000000-0005-0000-0000-00003A050000}"/>
    <cellStyle name="20% - Accent1 5 2 3" xfId="387" xr:uid="{00000000-0005-0000-0000-00003B050000}"/>
    <cellStyle name="20% - Accent1 5 2 3 2" xfId="388" xr:uid="{00000000-0005-0000-0000-00003C050000}"/>
    <cellStyle name="20% - Accent1 5 2 3 2 2" xfId="10596" xr:uid="{00000000-0005-0000-0000-00003D050000}"/>
    <cellStyle name="20% - Accent1 5 2 3 2 2 2" xfId="24538" xr:uid="{00000000-0005-0000-0000-00003E050000}"/>
    <cellStyle name="20% - Accent1 5 2 3 2 3" xfId="17711" xr:uid="{00000000-0005-0000-0000-00003F050000}"/>
    <cellStyle name="20% - Accent1 5 2 3 3" xfId="389" xr:uid="{00000000-0005-0000-0000-000040050000}"/>
    <cellStyle name="20% - Accent1 5 2 3 3 2" xfId="12656" xr:uid="{00000000-0005-0000-0000-000041050000}"/>
    <cellStyle name="20% - Accent1 5 2 3 3 2 2" xfId="26368" xr:uid="{00000000-0005-0000-0000-000042050000}"/>
    <cellStyle name="20% - Accent1 5 2 3 3 3" xfId="17712" xr:uid="{00000000-0005-0000-0000-000043050000}"/>
    <cellStyle name="20% - Accent1 5 2 3 4" xfId="390" xr:uid="{00000000-0005-0000-0000-000044050000}"/>
    <cellStyle name="20% - Accent1 5 2 3 4 2" xfId="14610" xr:uid="{00000000-0005-0000-0000-000045050000}"/>
    <cellStyle name="20% - Accent1 5 2 3 4 2 2" xfId="28159" xr:uid="{00000000-0005-0000-0000-000046050000}"/>
    <cellStyle name="20% - Accent1 5 2 3 4 3" xfId="17713" xr:uid="{00000000-0005-0000-0000-000047050000}"/>
    <cellStyle name="20% - Accent1 5 2 3 5" xfId="391" xr:uid="{00000000-0005-0000-0000-000048050000}"/>
    <cellStyle name="20% - Accent1 5 2 3 5 2" xfId="16586" xr:uid="{00000000-0005-0000-0000-000049050000}"/>
    <cellStyle name="20% - Accent1 5 2 3 5 2 2" xfId="29993" xr:uid="{00000000-0005-0000-0000-00004A050000}"/>
    <cellStyle name="20% - Accent1 5 2 3 5 3" xfId="17714" xr:uid="{00000000-0005-0000-0000-00004B050000}"/>
    <cellStyle name="20% - Accent1 5 2 3 6" xfId="8871" xr:uid="{00000000-0005-0000-0000-00004C050000}"/>
    <cellStyle name="20% - Accent1 5 2 3 6 2" xfId="23346" xr:uid="{00000000-0005-0000-0000-00004D050000}"/>
    <cellStyle name="20% - Accent1 5 2 3 7" xfId="17710" xr:uid="{00000000-0005-0000-0000-00004E050000}"/>
    <cellStyle name="20% - Accent1 5 2 4" xfId="392" xr:uid="{00000000-0005-0000-0000-00004F050000}"/>
    <cellStyle name="20% - Accent1 5 2 4 2" xfId="393" xr:uid="{00000000-0005-0000-0000-000050050000}"/>
    <cellStyle name="20% - Accent1 5 2 4 2 2" xfId="14611" xr:uid="{00000000-0005-0000-0000-000051050000}"/>
    <cellStyle name="20% - Accent1 5 2 4 2 2 2" xfId="28160" xr:uid="{00000000-0005-0000-0000-000052050000}"/>
    <cellStyle name="20% - Accent1 5 2 4 2 3" xfId="17716" xr:uid="{00000000-0005-0000-0000-000053050000}"/>
    <cellStyle name="20% - Accent1 5 2 4 3" xfId="10593" xr:uid="{00000000-0005-0000-0000-000054050000}"/>
    <cellStyle name="20% - Accent1 5 2 4 3 2" xfId="24535" xr:uid="{00000000-0005-0000-0000-000055050000}"/>
    <cellStyle name="20% - Accent1 5 2 4 4" xfId="17715" xr:uid="{00000000-0005-0000-0000-000056050000}"/>
    <cellStyle name="20% - Accent1 5 2 5" xfId="394" xr:uid="{00000000-0005-0000-0000-000057050000}"/>
    <cellStyle name="20% - Accent1 5 2 5 2" xfId="11963" xr:uid="{00000000-0005-0000-0000-000058050000}"/>
    <cellStyle name="20% - Accent1 5 2 5 2 2" xfId="25678" xr:uid="{00000000-0005-0000-0000-000059050000}"/>
    <cellStyle name="20% - Accent1 5 2 5 3" xfId="17717" xr:uid="{00000000-0005-0000-0000-00005A050000}"/>
    <cellStyle name="20% - Accent1 5 2 6" xfId="395" xr:uid="{00000000-0005-0000-0000-00005B050000}"/>
    <cellStyle name="20% - Accent1 5 2 6 2" xfId="12114" xr:uid="{00000000-0005-0000-0000-00005C050000}"/>
    <cellStyle name="20% - Accent1 5 2 6 2 2" xfId="25826" xr:uid="{00000000-0005-0000-0000-00005D050000}"/>
    <cellStyle name="20% - Accent1 5 2 6 3" xfId="17718" xr:uid="{00000000-0005-0000-0000-00005E050000}"/>
    <cellStyle name="20% - Accent1 5 2 7" xfId="396" xr:uid="{00000000-0005-0000-0000-00005F050000}"/>
    <cellStyle name="20% - Accent1 5 2 7 2" xfId="13538" xr:uid="{00000000-0005-0000-0000-000060050000}"/>
    <cellStyle name="20% - Accent1 5 2 7 2 2" xfId="27087" xr:uid="{00000000-0005-0000-0000-000061050000}"/>
    <cellStyle name="20% - Accent1 5 2 7 3" xfId="17719" xr:uid="{00000000-0005-0000-0000-000062050000}"/>
    <cellStyle name="20% - Accent1 5 2 8" xfId="397" xr:uid="{00000000-0005-0000-0000-000063050000}"/>
    <cellStyle name="20% - Accent1 5 2 8 2" xfId="14119" xr:uid="{00000000-0005-0000-0000-000064050000}"/>
    <cellStyle name="20% - Accent1 5 2 8 2 2" xfId="27668" xr:uid="{00000000-0005-0000-0000-000065050000}"/>
    <cellStyle name="20% - Accent1 5 2 8 3" xfId="17720" xr:uid="{00000000-0005-0000-0000-000066050000}"/>
    <cellStyle name="20% - Accent1 5 2 9" xfId="398" xr:uid="{00000000-0005-0000-0000-000067050000}"/>
    <cellStyle name="20% - Accent1 5 2 9 2" xfId="14606" xr:uid="{00000000-0005-0000-0000-000068050000}"/>
    <cellStyle name="20% - Accent1 5 2 9 2 2" xfId="28155" xr:uid="{00000000-0005-0000-0000-000069050000}"/>
    <cellStyle name="20% - Accent1 5 2 9 3" xfId="17721" xr:uid="{00000000-0005-0000-0000-00006A050000}"/>
    <cellStyle name="20% - Accent1 5 3" xfId="399" xr:uid="{00000000-0005-0000-0000-00006B050000}"/>
    <cellStyle name="20% - Accent1 5 3 10" xfId="8872" xr:uid="{00000000-0005-0000-0000-00006C050000}"/>
    <cellStyle name="20% - Accent1 5 3 10 2" xfId="23347" xr:uid="{00000000-0005-0000-0000-00006D050000}"/>
    <cellStyle name="20% - Accent1 5 3 11" xfId="17722" xr:uid="{00000000-0005-0000-0000-00006E050000}"/>
    <cellStyle name="20% - Accent1 5 3 2" xfId="400" xr:uid="{00000000-0005-0000-0000-00006F050000}"/>
    <cellStyle name="20% - Accent1 5 3 2 2" xfId="401" xr:uid="{00000000-0005-0000-0000-000070050000}"/>
    <cellStyle name="20% - Accent1 5 3 2 2 2" xfId="10598" xr:uid="{00000000-0005-0000-0000-000071050000}"/>
    <cellStyle name="20% - Accent1 5 3 2 2 2 2" xfId="24540" xr:uid="{00000000-0005-0000-0000-000072050000}"/>
    <cellStyle name="20% - Accent1 5 3 2 2 3" xfId="17724" xr:uid="{00000000-0005-0000-0000-000073050000}"/>
    <cellStyle name="20% - Accent1 5 3 2 3" xfId="402" xr:uid="{00000000-0005-0000-0000-000074050000}"/>
    <cellStyle name="20% - Accent1 5 3 2 3 2" xfId="12464" xr:uid="{00000000-0005-0000-0000-000075050000}"/>
    <cellStyle name="20% - Accent1 5 3 2 3 2 2" xfId="26176" xr:uid="{00000000-0005-0000-0000-000076050000}"/>
    <cellStyle name="20% - Accent1 5 3 2 3 3" xfId="17725" xr:uid="{00000000-0005-0000-0000-000077050000}"/>
    <cellStyle name="20% - Accent1 5 3 2 4" xfId="403" xr:uid="{00000000-0005-0000-0000-000078050000}"/>
    <cellStyle name="20% - Accent1 5 3 2 4 2" xfId="14613" xr:uid="{00000000-0005-0000-0000-000079050000}"/>
    <cellStyle name="20% - Accent1 5 3 2 4 2 2" xfId="28162" xr:uid="{00000000-0005-0000-0000-00007A050000}"/>
    <cellStyle name="20% - Accent1 5 3 2 4 3" xfId="17726" xr:uid="{00000000-0005-0000-0000-00007B050000}"/>
    <cellStyle name="20% - Accent1 5 3 2 5" xfId="404" xr:uid="{00000000-0005-0000-0000-00007C050000}"/>
    <cellStyle name="20% - Accent1 5 3 2 5 2" xfId="16725" xr:uid="{00000000-0005-0000-0000-00007D050000}"/>
    <cellStyle name="20% - Accent1 5 3 2 5 2 2" xfId="30132" xr:uid="{00000000-0005-0000-0000-00007E050000}"/>
    <cellStyle name="20% - Accent1 5 3 2 5 3" xfId="17727" xr:uid="{00000000-0005-0000-0000-00007F050000}"/>
    <cellStyle name="20% - Accent1 5 3 2 6" xfId="8873" xr:uid="{00000000-0005-0000-0000-000080050000}"/>
    <cellStyle name="20% - Accent1 5 3 2 6 2" xfId="23348" xr:uid="{00000000-0005-0000-0000-000081050000}"/>
    <cellStyle name="20% - Accent1 5 3 2 7" xfId="17723" xr:uid="{00000000-0005-0000-0000-000082050000}"/>
    <cellStyle name="20% - Accent1 5 3 3" xfId="405" xr:uid="{00000000-0005-0000-0000-000083050000}"/>
    <cellStyle name="20% - Accent1 5 3 3 2" xfId="406" xr:uid="{00000000-0005-0000-0000-000084050000}"/>
    <cellStyle name="20% - Accent1 5 3 3 2 2" xfId="14614" xr:uid="{00000000-0005-0000-0000-000085050000}"/>
    <cellStyle name="20% - Accent1 5 3 3 2 2 2" xfId="28163" xr:uid="{00000000-0005-0000-0000-000086050000}"/>
    <cellStyle name="20% - Accent1 5 3 3 2 3" xfId="17729" xr:uid="{00000000-0005-0000-0000-000087050000}"/>
    <cellStyle name="20% - Accent1 5 3 3 3" xfId="10597" xr:uid="{00000000-0005-0000-0000-000088050000}"/>
    <cellStyle name="20% - Accent1 5 3 3 3 2" xfId="24539" xr:uid="{00000000-0005-0000-0000-000089050000}"/>
    <cellStyle name="20% - Accent1 5 3 3 4" xfId="17728" xr:uid="{00000000-0005-0000-0000-00008A050000}"/>
    <cellStyle name="20% - Accent1 5 3 4" xfId="407" xr:uid="{00000000-0005-0000-0000-00008B050000}"/>
    <cellStyle name="20% - Accent1 5 3 4 2" xfId="12105" xr:uid="{00000000-0005-0000-0000-00008C050000}"/>
    <cellStyle name="20% - Accent1 5 3 4 2 2" xfId="25817" xr:uid="{00000000-0005-0000-0000-00008D050000}"/>
    <cellStyle name="20% - Accent1 5 3 4 3" xfId="17730" xr:uid="{00000000-0005-0000-0000-00008E050000}"/>
    <cellStyle name="20% - Accent1 5 3 5" xfId="408" xr:uid="{00000000-0005-0000-0000-00008F050000}"/>
    <cellStyle name="20% - Accent1 5 3 5 2" xfId="12434" xr:uid="{00000000-0005-0000-0000-000090050000}"/>
    <cellStyle name="20% - Accent1 5 3 5 2 2" xfId="26146" xr:uid="{00000000-0005-0000-0000-000091050000}"/>
    <cellStyle name="20% - Accent1 5 3 5 3" xfId="17731" xr:uid="{00000000-0005-0000-0000-000092050000}"/>
    <cellStyle name="20% - Accent1 5 3 6" xfId="409" xr:uid="{00000000-0005-0000-0000-000093050000}"/>
    <cellStyle name="20% - Accent1 5 3 6 2" xfId="13677" xr:uid="{00000000-0005-0000-0000-000094050000}"/>
    <cellStyle name="20% - Accent1 5 3 6 2 2" xfId="27226" xr:uid="{00000000-0005-0000-0000-000095050000}"/>
    <cellStyle name="20% - Accent1 5 3 6 3" xfId="17732" xr:uid="{00000000-0005-0000-0000-000096050000}"/>
    <cellStyle name="20% - Accent1 5 3 7" xfId="410" xr:uid="{00000000-0005-0000-0000-000097050000}"/>
    <cellStyle name="20% - Accent1 5 3 7 2" xfId="14258" xr:uid="{00000000-0005-0000-0000-000098050000}"/>
    <cellStyle name="20% - Accent1 5 3 7 2 2" xfId="27807" xr:uid="{00000000-0005-0000-0000-000099050000}"/>
    <cellStyle name="20% - Accent1 5 3 7 3" xfId="17733" xr:uid="{00000000-0005-0000-0000-00009A050000}"/>
    <cellStyle name="20% - Accent1 5 3 8" xfId="411" xr:uid="{00000000-0005-0000-0000-00009B050000}"/>
    <cellStyle name="20% - Accent1 5 3 8 2" xfId="14612" xr:uid="{00000000-0005-0000-0000-00009C050000}"/>
    <cellStyle name="20% - Accent1 5 3 8 2 2" xfId="28161" xr:uid="{00000000-0005-0000-0000-00009D050000}"/>
    <cellStyle name="20% - Accent1 5 3 8 3" xfId="17734" xr:uid="{00000000-0005-0000-0000-00009E050000}"/>
    <cellStyle name="20% - Accent1 5 3 9" xfId="412" xr:uid="{00000000-0005-0000-0000-00009F050000}"/>
    <cellStyle name="20% - Accent1 5 3 9 2" xfId="16144" xr:uid="{00000000-0005-0000-0000-0000A0050000}"/>
    <cellStyle name="20% - Accent1 5 3 9 2 2" xfId="29551" xr:uid="{00000000-0005-0000-0000-0000A1050000}"/>
    <cellStyle name="20% - Accent1 5 3 9 3" xfId="17735" xr:uid="{00000000-0005-0000-0000-0000A2050000}"/>
    <cellStyle name="20% - Accent1 5 4" xfId="413" xr:uid="{00000000-0005-0000-0000-0000A3050000}"/>
    <cellStyle name="20% - Accent1 5 4 2" xfId="414" xr:uid="{00000000-0005-0000-0000-0000A4050000}"/>
    <cellStyle name="20% - Accent1 5 4 2 2" xfId="10599" xr:uid="{00000000-0005-0000-0000-0000A5050000}"/>
    <cellStyle name="20% - Accent1 5 4 2 2 2" xfId="24541" xr:uid="{00000000-0005-0000-0000-0000A6050000}"/>
    <cellStyle name="20% - Accent1 5 4 2 3" xfId="17737" xr:uid="{00000000-0005-0000-0000-0000A7050000}"/>
    <cellStyle name="20% - Accent1 5 4 3" xfId="415" xr:uid="{00000000-0005-0000-0000-0000A8050000}"/>
    <cellStyle name="20% - Accent1 5 4 3 2" xfId="12428" xr:uid="{00000000-0005-0000-0000-0000A9050000}"/>
    <cellStyle name="20% - Accent1 5 4 3 2 2" xfId="26140" xr:uid="{00000000-0005-0000-0000-0000AA050000}"/>
    <cellStyle name="20% - Accent1 5 4 3 3" xfId="17738" xr:uid="{00000000-0005-0000-0000-0000AB050000}"/>
    <cellStyle name="20% - Accent1 5 4 4" xfId="416" xr:uid="{00000000-0005-0000-0000-0000AC050000}"/>
    <cellStyle name="20% - Accent1 5 4 4 2" xfId="14619" xr:uid="{00000000-0005-0000-0000-0000AD050000}"/>
    <cellStyle name="20% - Accent1 5 4 4 2 2" xfId="28168" xr:uid="{00000000-0005-0000-0000-0000AE050000}"/>
    <cellStyle name="20% - Accent1 5 4 4 3" xfId="17739" xr:uid="{00000000-0005-0000-0000-0000AF050000}"/>
    <cellStyle name="20% - Accent1 5 4 5" xfId="417" xr:uid="{00000000-0005-0000-0000-0000B0050000}"/>
    <cellStyle name="20% - Accent1 5 4 5 2" xfId="16443" xr:uid="{00000000-0005-0000-0000-0000B1050000}"/>
    <cellStyle name="20% - Accent1 5 4 5 2 2" xfId="29850" xr:uid="{00000000-0005-0000-0000-0000B2050000}"/>
    <cellStyle name="20% - Accent1 5 4 5 3" xfId="17740" xr:uid="{00000000-0005-0000-0000-0000B3050000}"/>
    <cellStyle name="20% - Accent1 5 4 6" xfId="8874" xr:uid="{00000000-0005-0000-0000-0000B4050000}"/>
    <cellStyle name="20% - Accent1 5 4 6 2" xfId="23349" xr:uid="{00000000-0005-0000-0000-0000B5050000}"/>
    <cellStyle name="20% - Accent1 5 4 7" xfId="17736" xr:uid="{00000000-0005-0000-0000-0000B6050000}"/>
    <cellStyle name="20% - Accent1 5 5" xfId="418" xr:uid="{00000000-0005-0000-0000-0000B7050000}"/>
    <cellStyle name="20% - Accent1 5 5 2" xfId="419" xr:uid="{00000000-0005-0000-0000-0000B8050000}"/>
    <cellStyle name="20% - Accent1 5 5 2 2" xfId="14620" xr:uid="{00000000-0005-0000-0000-0000B9050000}"/>
    <cellStyle name="20% - Accent1 5 5 2 2 2" xfId="28169" xr:uid="{00000000-0005-0000-0000-0000BA050000}"/>
    <cellStyle name="20% - Accent1 5 5 2 3" xfId="17742" xr:uid="{00000000-0005-0000-0000-0000BB050000}"/>
    <cellStyle name="20% - Accent1 5 5 3" xfId="10592" xr:uid="{00000000-0005-0000-0000-0000BC050000}"/>
    <cellStyle name="20% - Accent1 5 5 3 2" xfId="24534" xr:uid="{00000000-0005-0000-0000-0000BD050000}"/>
    <cellStyle name="20% - Accent1 5 5 4" xfId="17741" xr:uid="{00000000-0005-0000-0000-0000BE050000}"/>
    <cellStyle name="20% - Accent1 5 6" xfId="420" xr:uid="{00000000-0005-0000-0000-0000BF050000}"/>
    <cellStyle name="20% - Accent1 5 6 2" xfId="11794" xr:uid="{00000000-0005-0000-0000-0000C0050000}"/>
    <cellStyle name="20% - Accent1 5 6 2 2" xfId="25509" xr:uid="{00000000-0005-0000-0000-0000C1050000}"/>
    <cellStyle name="20% - Accent1 5 6 3" xfId="17743" xr:uid="{00000000-0005-0000-0000-0000C2050000}"/>
    <cellStyle name="20% - Accent1 5 7" xfId="421" xr:uid="{00000000-0005-0000-0000-0000C3050000}"/>
    <cellStyle name="20% - Accent1 5 7 2" xfId="12556" xr:uid="{00000000-0005-0000-0000-0000C4050000}"/>
    <cellStyle name="20% - Accent1 5 7 2 2" xfId="26268" xr:uid="{00000000-0005-0000-0000-0000C5050000}"/>
    <cellStyle name="20% - Accent1 5 7 3" xfId="17744" xr:uid="{00000000-0005-0000-0000-0000C6050000}"/>
    <cellStyle name="20% - Accent1 5 8" xfId="422" xr:uid="{00000000-0005-0000-0000-0000C7050000}"/>
    <cellStyle name="20% - Accent1 5 8 2" xfId="13395" xr:uid="{00000000-0005-0000-0000-0000C8050000}"/>
    <cellStyle name="20% - Accent1 5 8 2 2" xfId="26944" xr:uid="{00000000-0005-0000-0000-0000C9050000}"/>
    <cellStyle name="20% - Accent1 5 8 3" xfId="17745" xr:uid="{00000000-0005-0000-0000-0000CA050000}"/>
    <cellStyle name="20% - Accent1 5 9" xfId="423" xr:uid="{00000000-0005-0000-0000-0000CB050000}"/>
    <cellStyle name="20% - Accent1 5 9 2" xfId="13976" xr:uid="{00000000-0005-0000-0000-0000CC050000}"/>
    <cellStyle name="20% - Accent1 5 9 2 2" xfId="27525" xr:uid="{00000000-0005-0000-0000-0000CD050000}"/>
    <cellStyle name="20% - Accent1 5 9 3" xfId="17746" xr:uid="{00000000-0005-0000-0000-0000CE050000}"/>
    <cellStyle name="20% - Accent1 6" xfId="424" xr:uid="{00000000-0005-0000-0000-0000CF050000}"/>
    <cellStyle name="20% - Accent1 6 10" xfId="425" xr:uid="{00000000-0005-0000-0000-0000D0050000}"/>
    <cellStyle name="20% - Accent1 6 10 2" xfId="14621" xr:uid="{00000000-0005-0000-0000-0000D1050000}"/>
    <cellStyle name="20% - Accent1 6 10 2 2" xfId="28170" xr:uid="{00000000-0005-0000-0000-0000D2050000}"/>
    <cellStyle name="20% - Accent1 6 10 3" xfId="17748" xr:uid="{00000000-0005-0000-0000-0000D3050000}"/>
    <cellStyle name="20% - Accent1 6 11" xfId="426" xr:uid="{00000000-0005-0000-0000-0000D4050000}"/>
    <cellStyle name="20% - Accent1 6 11 2" xfId="15968" xr:uid="{00000000-0005-0000-0000-0000D5050000}"/>
    <cellStyle name="20% - Accent1 6 11 2 2" xfId="29375" xr:uid="{00000000-0005-0000-0000-0000D6050000}"/>
    <cellStyle name="20% - Accent1 6 11 3" xfId="17749" xr:uid="{00000000-0005-0000-0000-0000D7050000}"/>
    <cellStyle name="20% - Accent1 6 12" xfId="8875" xr:uid="{00000000-0005-0000-0000-0000D8050000}"/>
    <cellStyle name="20% - Accent1 6 12 2" xfId="23350" xr:uid="{00000000-0005-0000-0000-0000D9050000}"/>
    <cellStyle name="20% - Accent1 6 13" xfId="17747" xr:uid="{00000000-0005-0000-0000-0000DA050000}"/>
    <cellStyle name="20% - Accent1 6 2" xfId="427" xr:uid="{00000000-0005-0000-0000-0000DB050000}"/>
    <cellStyle name="20% - Accent1 6 2 10" xfId="428" xr:uid="{00000000-0005-0000-0000-0000DC050000}"/>
    <cellStyle name="20% - Accent1 6 2 10 2" xfId="16111" xr:uid="{00000000-0005-0000-0000-0000DD050000}"/>
    <cellStyle name="20% - Accent1 6 2 10 2 2" xfId="29518" xr:uid="{00000000-0005-0000-0000-0000DE050000}"/>
    <cellStyle name="20% - Accent1 6 2 10 3" xfId="17751" xr:uid="{00000000-0005-0000-0000-0000DF050000}"/>
    <cellStyle name="20% - Accent1 6 2 11" xfId="8876" xr:uid="{00000000-0005-0000-0000-0000E0050000}"/>
    <cellStyle name="20% - Accent1 6 2 11 2" xfId="23351" xr:uid="{00000000-0005-0000-0000-0000E1050000}"/>
    <cellStyle name="20% - Accent1 6 2 12" xfId="17750" xr:uid="{00000000-0005-0000-0000-0000E2050000}"/>
    <cellStyle name="20% - Accent1 6 2 2" xfId="429" xr:uid="{00000000-0005-0000-0000-0000E3050000}"/>
    <cellStyle name="20% - Accent1 6 2 2 10" xfId="8877" xr:uid="{00000000-0005-0000-0000-0000E4050000}"/>
    <cellStyle name="20% - Accent1 6 2 2 10 2" xfId="23352" xr:uid="{00000000-0005-0000-0000-0000E5050000}"/>
    <cellStyle name="20% - Accent1 6 2 2 11" xfId="17752" xr:uid="{00000000-0005-0000-0000-0000E6050000}"/>
    <cellStyle name="20% - Accent1 6 2 2 2" xfId="430" xr:uid="{00000000-0005-0000-0000-0000E7050000}"/>
    <cellStyle name="20% - Accent1 6 2 2 2 2" xfId="431" xr:uid="{00000000-0005-0000-0000-0000E8050000}"/>
    <cellStyle name="20% - Accent1 6 2 2 2 2 2" xfId="10603" xr:uid="{00000000-0005-0000-0000-0000E9050000}"/>
    <cellStyle name="20% - Accent1 6 2 2 2 2 2 2" xfId="24545" xr:uid="{00000000-0005-0000-0000-0000EA050000}"/>
    <cellStyle name="20% - Accent1 6 2 2 2 2 3" xfId="17754" xr:uid="{00000000-0005-0000-0000-0000EB050000}"/>
    <cellStyle name="20% - Accent1 6 2 2 2 3" xfId="432" xr:uid="{00000000-0005-0000-0000-0000EC050000}"/>
    <cellStyle name="20% - Accent1 6 2 2 2 3 2" xfId="12811" xr:uid="{00000000-0005-0000-0000-0000ED050000}"/>
    <cellStyle name="20% - Accent1 6 2 2 2 3 2 2" xfId="26523" xr:uid="{00000000-0005-0000-0000-0000EE050000}"/>
    <cellStyle name="20% - Accent1 6 2 2 2 3 3" xfId="17755" xr:uid="{00000000-0005-0000-0000-0000EF050000}"/>
    <cellStyle name="20% - Accent1 6 2 2 2 4" xfId="433" xr:uid="{00000000-0005-0000-0000-0000F0050000}"/>
    <cellStyle name="20% - Accent1 6 2 2 2 4 2" xfId="14624" xr:uid="{00000000-0005-0000-0000-0000F1050000}"/>
    <cellStyle name="20% - Accent1 6 2 2 2 4 2 2" xfId="28173" xr:uid="{00000000-0005-0000-0000-0000F2050000}"/>
    <cellStyle name="20% - Accent1 6 2 2 2 4 3" xfId="17756" xr:uid="{00000000-0005-0000-0000-0000F3050000}"/>
    <cellStyle name="20% - Accent1 6 2 2 2 5" xfId="434" xr:uid="{00000000-0005-0000-0000-0000F4050000}"/>
    <cellStyle name="20% - Accent1 6 2 2 2 5 2" xfId="16981" xr:uid="{00000000-0005-0000-0000-0000F5050000}"/>
    <cellStyle name="20% - Accent1 6 2 2 2 5 2 2" xfId="30388" xr:uid="{00000000-0005-0000-0000-0000F6050000}"/>
    <cellStyle name="20% - Accent1 6 2 2 2 5 3" xfId="17757" xr:uid="{00000000-0005-0000-0000-0000F7050000}"/>
    <cellStyle name="20% - Accent1 6 2 2 2 6" xfId="8878" xr:uid="{00000000-0005-0000-0000-0000F8050000}"/>
    <cellStyle name="20% - Accent1 6 2 2 2 6 2" xfId="23353" xr:uid="{00000000-0005-0000-0000-0000F9050000}"/>
    <cellStyle name="20% - Accent1 6 2 2 2 7" xfId="17753" xr:uid="{00000000-0005-0000-0000-0000FA050000}"/>
    <cellStyle name="20% - Accent1 6 2 2 3" xfId="435" xr:uid="{00000000-0005-0000-0000-0000FB050000}"/>
    <cellStyle name="20% - Accent1 6 2 2 3 2" xfId="436" xr:uid="{00000000-0005-0000-0000-0000FC050000}"/>
    <cellStyle name="20% - Accent1 6 2 2 3 2 2" xfId="14625" xr:uid="{00000000-0005-0000-0000-0000FD050000}"/>
    <cellStyle name="20% - Accent1 6 2 2 3 2 2 2" xfId="28174" xr:uid="{00000000-0005-0000-0000-0000FE050000}"/>
    <cellStyle name="20% - Accent1 6 2 2 3 2 3" xfId="17759" xr:uid="{00000000-0005-0000-0000-0000FF050000}"/>
    <cellStyle name="20% - Accent1 6 2 2 3 3" xfId="10602" xr:uid="{00000000-0005-0000-0000-000000060000}"/>
    <cellStyle name="20% - Accent1 6 2 2 3 3 2" xfId="24544" xr:uid="{00000000-0005-0000-0000-000001060000}"/>
    <cellStyle name="20% - Accent1 6 2 2 3 4" xfId="17758" xr:uid="{00000000-0005-0000-0000-000002060000}"/>
    <cellStyle name="20% - Accent1 6 2 2 4" xfId="437" xr:uid="{00000000-0005-0000-0000-000003060000}"/>
    <cellStyle name="20% - Accent1 6 2 2 4 2" xfId="12369" xr:uid="{00000000-0005-0000-0000-000004060000}"/>
    <cellStyle name="20% - Accent1 6 2 2 4 2 2" xfId="26081" xr:uid="{00000000-0005-0000-0000-000005060000}"/>
    <cellStyle name="20% - Accent1 6 2 2 4 3" xfId="17760" xr:uid="{00000000-0005-0000-0000-000006060000}"/>
    <cellStyle name="20% - Accent1 6 2 2 5" xfId="438" xr:uid="{00000000-0005-0000-0000-000007060000}"/>
    <cellStyle name="20% - Accent1 6 2 2 5 2" xfId="12801" xr:uid="{00000000-0005-0000-0000-000008060000}"/>
    <cellStyle name="20% - Accent1 6 2 2 5 2 2" xfId="26513" xr:uid="{00000000-0005-0000-0000-000009060000}"/>
    <cellStyle name="20% - Accent1 6 2 2 5 3" xfId="17761" xr:uid="{00000000-0005-0000-0000-00000A060000}"/>
    <cellStyle name="20% - Accent1 6 2 2 6" xfId="439" xr:uid="{00000000-0005-0000-0000-00000B060000}"/>
    <cellStyle name="20% - Accent1 6 2 2 6 2" xfId="13933" xr:uid="{00000000-0005-0000-0000-00000C060000}"/>
    <cellStyle name="20% - Accent1 6 2 2 6 2 2" xfId="27482" xr:uid="{00000000-0005-0000-0000-00000D060000}"/>
    <cellStyle name="20% - Accent1 6 2 2 6 3" xfId="17762" xr:uid="{00000000-0005-0000-0000-00000E060000}"/>
    <cellStyle name="20% - Accent1 6 2 2 7" xfId="440" xr:uid="{00000000-0005-0000-0000-00000F060000}"/>
    <cellStyle name="20% - Accent1 6 2 2 7 2" xfId="14514" xr:uid="{00000000-0005-0000-0000-000010060000}"/>
    <cellStyle name="20% - Accent1 6 2 2 7 2 2" xfId="28063" xr:uid="{00000000-0005-0000-0000-000011060000}"/>
    <cellStyle name="20% - Accent1 6 2 2 7 3" xfId="17763" xr:uid="{00000000-0005-0000-0000-000012060000}"/>
    <cellStyle name="20% - Accent1 6 2 2 8" xfId="441" xr:uid="{00000000-0005-0000-0000-000013060000}"/>
    <cellStyle name="20% - Accent1 6 2 2 8 2" xfId="14623" xr:uid="{00000000-0005-0000-0000-000014060000}"/>
    <cellStyle name="20% - Accent1 6 2 2 8 2 2" xfId="28172" xr:uid="{00000000-0005-0000-0000-000015060000}"/>
    <cellStyle name="20% - Accent1 6 2 2 8 3" xfId="17764" xr:uid="{00000000-0005-0000-0000-000016060000}"/>
    <cellStyle name="20% - Accent1 6 2 2 9" xfId="442" xr:uid="{00000000-0005-0000-0000-000017060000}"/>
    <cellStyle name="20% - Accent1 6 2 2 9 2" xfId="16400" xr:uid="{00000000-0005-0000-0000-000018060000}"/>
    <cellStyle name="20% - Accent1 6 2 2 9 2 2" xfId="29807" xr:uid="{00000000-0005-0000-0000-000019060000}"/>
    <cellStyle name="20% - Accent1 6 2 2 9 3" xfId="17765" xr:uid="{00000000-0005-0000-0000-00001A060000}"/>
    <cellStyle name="20% - Accent1 6 2 3" xfId="443" xr:uid="{00000000-0005-0000-0000-00001B060000}"/>
    <cellStyle name="20% - Accent1 6 2 3 2" xfId="444" xr:uid="{00000000-0005-0000-0000-00001C060000}"/>
    <cellStyle name="20% - Accent1 6 2 3 2 2" xfId="10604" xr:uid="{00000000-0005-0000-0000-00001D060000}"/>
    <cellStyle name="20% - Accent1 6 2 3 2 2 2" xfId="24546" xr:uid="{00000000-0005-0000-0000-00001E060000}"/>
    <cellStyle name="20% - Accent1 6 2 3 2 3" xfId="17767" xr:uid="{00000000-0005-0000-0000-00001F060000}"/>
    <cellStyle name="20% - Accent1 6 2 3 3" xfId="445" xr:uid="{00000000-0005-0000-0000-000020060000}"/>
    <cellStyle name="20% - Accent1 6 2 3 3 2" xfId="12514" xr:uid="{00000000-0005-0000-0000-000021060000}"/>
    <cellStyle name="20% - Accent1 6 2 3 3 2 2" xfId="26226" xr:uid="{00000000-0005-0000-0000-000022060000}"/>
    <cellStyle name="20% - Accent1 6 2 3 3 3" xfId="17768" xr:uid="{00000000-0005-0000-0000-000023060000}"/>
    <cellStyle name="20% - Accent1 6 2 3 4" xfId="446" xr:uid="{00000000-0005-0000-0000-000024060000}"/>
    <cellStyle name="20% - Accent1 6 2 3 4 2" xfId="14626" xr:uid="{00000000-0005-0000-0000-000025060000}"/>
    <cellStyle name="20% - Accent1 6 2 3 4 2 2" xfId="28175" xr:uid="{00000000-0005-0000-0000-000026060000}"/>
    <cellStyle name="20% - Accent1 6 2 3 4 3" xfId="17769" xr:uid="{00000000-0005-0000-0000-000027060000}"/>
    <cellStyle name="20% - Accent1 6 2 3 5" xfId="447" xr:uid="{00000000-0005-0000-0000-000028060000}"/>
    <cellStyle name="20% - Accent1 6 2 3 5 2" xfId="16692" xr:uid="{00000000-0005-0000-0000-000029060000}"/>
    <cellStyle name="20% - Accent1 6 2 3 5 2 2" xfId="30099" xr:uid="{00000000-0005-0000-0000-00002A060000}"/>
    <cellStyle name="20% - Accent1 6 2 3 5 3" xfId="17770" xr:uid="{00000000-0005-0000-0000-00002B060000}"/>
    <cellStyle name="20% - Accent1 6 2 3 6" xfId="8879" xr:uid="{00000000-0005-0000-0000-00002C060000}"/>
    <cellStyle name="20% - Accent1 6 2 3 6 2" xfId="23354" xr:uid="{00000000-0005-0000-0000-00002D060000}"/>
    <cellStyle name="20% - Accent1 6 2 3 7" xfId="17766" xr:uid="{00000000-0005-0000-0000-00002E060000}"/>
    <cellStyle name="20% - Accent1 6 2 4" xfId="448" xr:uid="{00000000-0005-0000-0000-00002F060000}"/>
    <cellStyle name="20% - Accent1 6 2 4 2" xfId="449" xr:uid="{00000000-0005-0000-0000-000030060000}"/>
    <cellStyle name="20% - Accent1 6 2 4 2 2" xfId="14627" xr:uid="{00000000-0005-0000-0000-000031060000}"/>
    <cellStyle name="20% - Accent1 6 2 4 2 2 2" xfId="28176" xr:uid="{00000000-0005-0000-0000-000032060000}"/>
    <cellStyle name="20% - Accent1 6 2 4 2 3" xfId="17772" xr:uid="{00000000-0005-0000-0000-000033060000}"/>
    <cellStyle name="20% - Accent1 6 2 4 3" xfId="10601" xr:uid="{00000000-0005-0000-0000-000034060000}"/>
    <cellStyle name="20% - Accent1 6 2 4 3 2" xfId="24543" xr:uid="{00000000-0005-0000-0000-000035060000}"/>
    <cellStyle name="20% - Accent1 6 2 4 4" xfId="17771" xr:uid="{00000000-0005-0000-0000-000036060000}"/>
    <cellStyle name="20% - Accent1 6 2 5" xfId="450" xr:uid="{00000000-0005-0000-0000-000037060000}"/>
    <cellStyle name="20% - Accent1 6 2 5 2" xfId="12069" xr:uid="{00000000-0005-0000-0000-000038060000}"/>
    <cellStyle name="20% - Accent1 6 2 5 2 2" xfId="25784" xr:uid="{00000000-0005-0000-0000-000039060000}"/>
    <cellStyle name="20% - Accent1 6 2 5 3" xfId="17773" xr:uid="{00000000-0005-0000-0000-00003A060000}"/>
    <cellStyle name="20% - Accent1 6 2 6" xfId="451" xr:uid="{00000000-0005-0000-0000-00003B060000}"/>
    <cellStyle name="20% - Accent1 6 2 6 2" xfId="12565" xr:uid="{00000000-0005-0000-0000-00003C060000}"/>
    <cellStyle name="20% - Accent1 6 2 6 2 2" xfId="26277" xr:uid="{00000000-0005-0000-0000-00003D060000}"/>
    <cellStyle name="20% - Accent1 6 2 6 3" xfId="17774" xr:uid="{00000000-0005-0000-0000-00003E060000}"/>
    <cellStyle name="20% - Accent1 6 2 7" xfId="452" xr:uid="{00000000-0005-0000-0000-00003F060000}"/>
    <cellStyle name="20% - Accent1 6 2 7 2" xfId="13644" xr:uid="{00000000-0005-0000-0000-000040060000}"/>
    <cellStyle name="20% - Accent1 6 2 7 2 2" xfId="27193" xr:uid="{00000000-0005-0000-0000-000041060000}"/>
    <cellStyle name="20% - Accent1 6 2 7 3" xfId="17775" xr:uid="{00000000-0005-0000-0000-000042060000}"/>
    <cellStyle name="20% - Accent1 6 2 8" xfId="453" xr:uid="{00000000-0005-0000-0000-000043060000}"/>
    <cellStyle name="20% - Accent1 6 2 8 2" xfId="14225" xr:uid="{00000000-0005-0000-0000-000044060000}"/>
    <cellStyle name="20% - Accent1 6 2 8 2 2" xfId="27774" xr:uid="{00000000-0005-0000-0000-000045060000}"/>
    <cellStyle name="20% - Accent1 6 2 8 3" xfId="17776" xr:uid="{00000000-0005-0000-0000-000046060000}"/>
    <cellStyle name="20% - Accent1 6 2 9" xfId="454" xr:uid="{00000000-0005-0000-0000-000047060000}"/>
    <cellStyle name="20% - Accent1 6 2 9 2" xfId="14622" xr:uid="{00000000-0005-0000-0000-000048060000}"/>
    <cellStyle name="20% - Accent1 6 2 9 2 2" xfId="28171" xr:uid="{00000000-0005-0000-0000-000049060000}"/>
    <cellStyle name="20% - Accent1 6 2 9 3" xfId="17777" xr:uid="{00000000-0005-0000-0000-00004A060000}"/>
    <cellStyle name="20% - Accent1 6 3" xfId="455" xr:uid="{00000000-0005-0000-0000-00004B060000}"/>
    <cellStyle name="20% - Accent1 6 3 10" xfId="8880" xr:uid="{00000000-0005-0000-0000-00004C060000}"/>
    <cellStyle name="20% - Accent1 6 3 10 2" xfId="23355" xr:uid="{00000000-0005-0000-0000-00004D060000}"/>
    <cellStyle name="20% - Accent1 6 3 11" xfId="17778" xr:uid="{00000000-0005-0000-0000-00004E060000}"/>
    <cellStyle name="20% - Accent1 6 3 2" xfId="456" xr:uid="{00000000-0005-0000-0000-00004F060000}"/>
    <cellStyle name="20% - Accent1 6 3 2 2" xfId="457" xr:uid="{00000000-0005-0000-0000-000050060000}"/>
    <cellStyle name="20% - Accent1 6 3 2 2 2" xfId="10606" xr:uid="{00000000-0005-0000-0000-000051060000}"/>
    <cellStyle name="20% - Accent1 6 3 2 2 2 2" xfId="24548" xr:uid="{00000000-0005-0000-0000-000052060000}"/>
    <cellStyle name="20% - Accent1 6 3 2 2 3" xfId="17780" xr:uid="{00000000-0005-0000-0000-000053060000}"/>
    <cellStyle name="20% - Accent1 6 3 2 3" xfId="458" xr:uid="{00000000-0005-0000-0000-000054060000}"/>
    <cellStyle name="20% - Accent1 6 3 2 3 2" xfId="12537" xr:uid="{00000000-0005-0000-0000-000055060000}"/>
    <cellStyle name="20% - Accent1 6 3 2 3 2 2" xfId="26249" xr:uid="{00000000-0005-0000-0000-000056060000}"/>
    <cellStyle name="20% - Accent1 6 3 2 3 3" xfId="17781" xr:uid="{00000000-0005-0000-0000-000057060000}"/>
    <cellStyle name="20% - Accent1 6 3 2 4" xfId="459" xr:uid="{00000000-0005-0000-0000-000058060000}"/>
    <cellStyle name="20% - Accent1 6 3 2 4 2" xfId="14629" xr:uid="{00000000-0005-0000-0000-000059060000}"/>
    <cellStyle name="20% - Accent1 6 3 2 4 2 2" xfId="28178" xr:uid="{00000000-0005-0000-0000-00005A060000}"/>
    <cellStyle name="20% - Accent1 6 3 2 4 3" xfId="17782" xr:uid="{00000000-0005-0000-0000-00005B060000}"/>
    <cellStyle name="20% - Accent1 6 3 2 5" xfId="460" xr:uid="{00000000-0005-0000-0000-00005C060000}"/>
    <cellStyle name="20% - Accent1 6 3 2 5 2" xfId="16838" xr:uid="{00000000-0005-0000-0000-00005D060000}"/>
    <cellStyle name="20% - Accent1 6 3 2 5 2 2" xfId="30245" xr:uid="{00000000-0005-0000-0000-00005E060000}"/>
    <cellStyle name="20% - Accent1 6 3 2 5 3" xfId="17783" xr:uid="{00000000-0005-0000-0000-00005F060000}"/>
    <cellStyle name="20% - Accent1 6 3 2 6" xfId="8881" xr:uid="{00000000-0005-0000-0000-000060060000}"/>
    <cellStyle name="20% - Accent1 6 3 2 6 2" xfId="23356" xr:uid="{00000000-0005-0000-0000-000061060000}"/>
    <cellStyle name="20% - Accent1 6 3 2 7" xfId="17779" xr:uid="{00000000-0005-0000-0000-000062060000}"/>
    <cellStyle name="20% - Accent1 6 3 3" xfId="461" xr:uid="{00000000-0005-0000-0000-000063060000}"/>
    <cellStyle name="20% - Accent1 6 3 3 2" xfId="462" xr:uid="{00000000-0005-0000-0000-000064060000}"/>
    <cellStyle name="20% - Accent1 6 3 3 2 2" xfId="14630" xr:uid="{00000000-0005-0000-0000-000065060000}"/>
    <cellStyle name="20% - Accent1 6 3 3 2 2 2" xfId="28179" xr:uid="{00000000-0005-0000-0000-000066060000}"/>
    <cellStyle name="20% - Accent1 6 3 3 2 3" xfId="17785" xr:uid="{00000000-0005-0000-0000-000067060000}"/>
    <cellStyle name="20% - Accent1 6 3 3 3" xfId="10605" xr:uid="{00000000-0005-0000-0000-000068060000}"/>
    <cellStyle name="20% - Accent1 6 3 3 3 2" xfId="24547" xr:uid="{00000000-0005-0000-0000-000069060000}"/>
    <cellStyle name="20% - Accent1 6 3 3 4" xfId="17784" xr:uid="{00000000-0005-0000-0000-00006A060000}"/>
    <cellStyle name="20% - Accent1 6 3 4" xfId="463" xr:uid="{00000000-0005-0000-0000-00006B060000}"/>
    <cellStyle name="20% - Accent1 6 3 4 2" xfId="12226" xr:uid="{00000000-0005-0000-0000-00006C060000}"/>
    <cellStyle name="20% - Accent1 6 3 4 2 2" xfId="25938" xr:uid="{00000000-0005-0000-0000-00006D060000}"/>
    <cellStyle name="20% - Accent1 6 3 4 3" xfId="17786" xr:uid="{00000000-0005-0000-0000-00006E060000}"/>
    <cellStyle name="20% - Accent1 6 3 5" xfId="464" xr:uid="{00000000-0005-0000-0000-00006F060000}"/>
    <cellStyle name="20% - Accent1 6 3 5 2" xfId="12510" xr:uid="{00000000-0005-0000-0000-000070060000}"/>
    <cellStyle name="20% - Accent1 6 3 5 2 2" xfId="26222" xr:uid="{00000000-0005-0000-0000-000071060000}"/>
    <cellStyle name="20% - Accent1 6 3 5 3" xfId="17787" xr:uid="{00000000-0005-0000-0000-000072060000}"/>
    <cellStyle name="20% - Accent1 6 3 6" xfId="465" xr:uid="{00000000-0005-0000-0000-000073060000}"/>
    <cellStyle name="20% - Accent1 6 3 6 2" xfId="13790" xr:uid="{00000000-0005-0000-0000-000074060000}"/>
    <cellStyle name="20% - Accent1 6 3 6 2 2" xfId="27339" xr:uid="{00000000-0005-0000-0000-000075060000}"/>
    <cellStyle name="20% - Accent1 6 3 6 3" xfId="17788" xr:uid="{00000000-0005-0000-0000-000076060000}"/>
    <cellStyle name="20% - Accent1 6 3 7" xfId="466" xr:uid="{00000000-0005-0000-0000-000077060000}"/>
    <cellStyle name="20% - Accent1 6 3 7 2" xfId="14371" xr:uid="{00000000-0005-0000-0000-000078060000}"/>
    <cellStyle name="20% - Accent1 6 3 7 2 2" xfId="27920" xr:uid="{00000000-0005-0000-0000-000079060000}"/>
    <cellStyle name="20% - Accent1 6 3 7 3" xfId="17789" xr:uid="{00000000-0005-0000-0000-00007A060000}"/>
    <cellStyle name="20% - Accent1 6 3 8" xfId="467" xr:uid="{00000000-0005-0000-0000-00007B060000}"/>
    <cellStyle name="20% - Accent1 6 3 8 2" xfId="14628" xr:uid="{00000000-0005-0000-0000-00007C060000}"/>
    <cellStyle name="20% - Accent1 6 3 8 2 2" xfId="28177" xr:uid="{00000000-0005-0000-0000-00007D060000}"/>
    <cellStyle name="20% - Accent1 6 3 8 3" xfId="17790" xr:uid="{00000000-0005-0000-0000-00007E060000}"/>
    <cellStyle name="20% - Accent1 6 3 9" xfId="468" xr:uid="{00000000-0005-0000-0000-00007F060000}"/>
    <cellStyle name="20% - Accent1 6 3 9 2" xfId="16257" xr:uid="{00000000-0005-0000-0000-000080060000}"/>
    <cellStyle name="20% - Accent1 6 3 9 2 2" xfId="29664" xr:uid="{00000000-0005-0000-0000-000081060000}"/>
    <cellStyle name="20% - Accent1 6 3 9 3" xfId="17791" xr:uid="{00000000-0005-0000-0000-000082060000}"/>
    <cellStyle name="20% - Accent1 6 4" xfId="469" xr:uid="{00000000-0005-0000-0000-000083060000}"/>
    <cellStyle name="20% - Accent1 6 4 2" xfId="470" xr:uid="{00000000-0005-0000-0000-000084060000}"/>
    <cellStyle name="20% - Accent1 6 4 2 2" xfId="10607" xr:uid="{00000000-0005-0000-0000-000085060000}"/>
    <cellStyle name="20% - Accent1 6 4 2 2 2" xfId="24549" xr:uid="{00000000-0005-0000-0000-000086060000}"/>
    <cellStyle name="20% - Accent1 6 4 2 3" xfId="17793" xr:uid="{00000000-0005-0000-0000-000087060000}"/>
    <cellStyle name="20% - Accent1 6 4 3" xfId="471" xr:uid="{00000000-0005-0000-0000-000088060000}"/>
    <cellStyle name="20% - Accent1 6 4 3 2" xfId="12481" xr:uid="{00000000-0005-0000-0000-000089060000}"/>
    <cellStyle name="20% - Accent1 6 4 3 2 2" xfId="26193" xr:uid="{00000000-0005-0000-0000-00008A060000}"/>
    <cellStyle name="20% - Accent1 6 4 3 3" xfId="17794" xr:uid="{00000000-0005-0000-0000-00008B060000}"/>
    <cellStyle name="20% - Accent1 6 4 4" xfId="472" xr:uid="{00000000-0005-0000-0000-00008C060000}"/>
    <cellStyle name="20% - Accent1 6 4 4 2" xfId="14631" xr:uid="{00000000-0005-0000-0000-00008D060000}"/>
    <cellStyle name="20% - Accent1 6 4 4 2 2" xfId="28180" xr:uid="{00000000-0005-0000-0000-00008E060000}"/>
    <cellStyle name="20% - Accent1 6 4 4 3" xfId="17795" xr:uid="{00000000-0005-0000-0000-00008F060000}"/>
    <cellStyle name="20% - Accent1 6 4 5" xfId="473" xr:uid="{00000000-0005-0000-0000-000090060000}"/>
    <cellStyle name="20% - Accent1 6 4 5 2" xfId="16549" xr:uid="{00000000-0005-0000-0000-000091060000}"/>
    <cellStyle name="20% - Accent1 6 4 5 2 2" xfId="29956" xr:uid="{00000000-0005-0000-0000-000092060000}"/>
    <cellStyle name="20% - Accent1 6 4 5 3" xfId="17796" xr:uid="{00000000-0005-0000-0000-000093060000}"/>
    <cellStyle name="20% - Accent1 6 4 6" xfId="8882" xr:uid="{00000000-0005-0000-0000-000094060000}"/>
    <cellStyle name="20% - Accent1 6 4 6 2" xfId="23357" xr:uid="{00000000-0005-0000-0000-000095060000}"/>
    <cellStyle name="20% - Accent1 6 4 7" xfId="17792" xr:uid="{00000000-0005-0000-0000-000096060000}"/>
    <cellStyle name="20% - Accent1 6 5" xfId="474" xr:uid="{00000000-0005-0000-0000-000097060000}"/>
    <cellStyle name="20% - Accent1 6 5 2" xfId="475" xr:uid="{00000000-0005-0000-0000-000098060000}"/>
    <cellStyle name="20% - Accent1 6 5 2 2" xfId="14632" xr:uid="{00000000-0005-0000-0000-000099060000}"/>
    <cellStyle name="20% - Accent1 6 5 2 2 2" xfId="28181" xr:uid="{00000000-0005-0000-0000-00009A060000}"/>
    <cellStyle name="20% - Accent1 6 5 2 3" xfId="17798" xr:uid="{00000000-0005-0000-0000-00009B060000}"/>
    <cellStyle name="20% - Accent1 6 5 3" xfId="10600" xr:uid="{00000000-0005-0000-0000-00009C060000}"/>
    <cellStyle name="20% - Accent1 6 5 3 2" xfId="24542" xr:uid="{00000000-0005-0000-0000-00009D060000}"/>
    <cellStyle name="20% - Accent1 6 5 4" xfId="17797" xr:uid="{00000000-0005-0000-0000-00009E060000}"/>
    <cellStyle name="20% - Accent1 6 6" xfId="476" xr:uid="{00000000-0005-0000-0000-00009F060000}"/>
    <cellStyle name="20% - Accent1 6 6 2" xfId="11924" xr:uid="{00000000-0005-0000-0000-0000A0060000}"/>
    <cellStyle name="20% - Accent1 6 6 2 2" xfId="25639" xr:uid="{00000000-0005-0000-0000-0000A1060000}"/>
    <cellStyle name="20% - Accent1 6 6 3" xfId="17799" xr:uid="{00000000-0005-0000-0000-0000A2060000}"/>
    <cellStyle name="20% - Accent1 6 7" xfId="477" xr:uid="{00000000-0005-0000-0000-0000A3060000}"/>
    <cellStyle name="20% - Accent1 6 7 2" xfId="12564" xr:uid="{00000000-0005-0000-0000-0000A4060000}"/>
    <cellStyle name="20% - Accent1 6 7 2 2" xfId="26276" xr:uid="{00000000-0005-0000-0000-0000A5060000}"/>
    <cellStyle name="20% - Accent1 6 7 3" xfId="17800" xr:uid="{00000000-0005-0000-0000-0000A6060000}"/>
    <cellStyle name="20% - Accent1 6 8" xfId="478" xr:uid="{00000000-0005-0000-0000-0000A7060000}"/>
    <cellStyle name="20% - Accent1 6 8 2" xfId="13501" xr:uid="{00000000-0005-0000-0000-0000A8060000}"/>
    <cellStyle name="20% - Accent1 6 8 2 2" xfId="27050" xr:uid="{00000000-0005-0000-0000-0000A9060000}"/>
    <cellStyle name="20% - Accent1 6 8 3" xfId="17801" xr:uid="{00000000-0005-0000-0000-0000AA060000}"/>
    <cellStyle name="20% - Accent1 6 9" xfId="479" xr:uid="{00000000-0005-0000-0000-0000AB060000}"/>
    <cellStyle name="20% - Accent1 6 9 2" xfId="14082" xr:uid="{00000000-0005-0000-0000-0000AC060000}"/>
    <cellStyle name="20% - Accent1 6 9 2 2" xfId="27631" xr:uid="{00000000-0005-0000-0000-0000AD060000}"/>
    <cellStyle name="20% - Accent1 6 9 3" xfId="17802" xr:uid="{00000000-0005-0000-0000-0000AE060000}"/>
    <cellStyle name="20% - Accent1 7" xfId="480" xr:uid="{00000000-0005-0000-0000-0000AF060000}"/>
    <cellStyle name="20% - Accent1 7 10" xfId="481" xr:uid="{00000000-0005-0000-0000-0000B0060000}"/>
    <cellStyle name="20% - Accent1 7 10 2" xfId="15988" xr:uid="{00000000-0005-0000-0000-0000B1060000}"/>
    <cellStyle name="20% - Accent1 7 10 2 2" xfId="29395" xr:uid="{00000000-0005-0000-0000-0000B2060000}"/>
    <cellStyle name="20% - Accent1 7 10 3" xfId="17804" xr:uid="{00000000-0005-0000-0000-0000B3060000}"/>
    <cellStyle name="20% - Accent1 7 11" xfId="8883" xr:uid="{00000000-0005-0000-0000-0000B4060000}"/>
    <cellStyle name="20% - Accent1 7 11 2" xfId="23358" xr:uid="{00000000-0005-0000-0000-0000B5060000}"/>
    <cellStyle name="20% - Accent1 7 12" xfId="17803" xr:uid="{00000000-0005-0000-0000-0000B6060000}"/>
    <cellStyle name="20% - Accent1 7 2" xfId="482" xr:uid="{00000000-0005-0000-0000-0000B7060000}"/>
    <cellStyle name="20% - Accent1 7 2 10" xfId="8884" xr:uid="{00000000-0005-0000-0000-0000B8060000}"/>
    <cellStyle name="20% - Accent1 7 2 10 2" xfId="23359" xr:uid="{00000000-0005-0000-0000-0000B9060000}"/>
    <cellStyle name="20% - Accent1 7 2 11" xfId="17805" xr:uid="{00000000-0005-0000-0000-0000BA060000}"/>
    <cellStyle name="20% - Accent1 7 2 2" xfId="483" xr:uid="{00000000-0005-0000-0000-0000BB060000}"/>
    <cellStyle name="20% - Accent1 7 2 2 2" xfId="484" xr:uid="{00000000-0005-0000-0000-0000BC060000}"/>
    <cellStyle name="20% - Accent1 7 2 2 2 2" xfId="10610" xr:uid="{00000000-0005-0000-0000-0000BD060000}"/>
    <cellStyle name="20% - Accent1 7 2 2 2 2 2" xfId="24552" xr:uid="{00000000-0005-0000-0000-0000BE060000}"/>
    <cellStyle name="20% - Accent1 7 2 2 2 3" xfId="17807" xr:uid="{00000000-0005-0000-0000-0000BF060000}"/>
    <cellStyle name="20% - Accent1 7 2 2 3" xfId="485" xr:uid="{00000000-0005-0000-0000-0000C0060000}"/>
    <cellStyle name="20% - Accent1 7 2 2 3 2" xfId="11782" xr:uid="{00000000-0005-0000-0000-0000C1060000}"/>
    <cellStyle name="20% - Accent1 7 2 2 3 2 2" xfId="25497" xr:uid="{00000000-0005-0000-0000-0000C2060000}"/>
    <cellStyle name="20% - Accent1 7 2 2 3 3" xfId="17808" xr:uid="{00000000-0005-0000-0000-0000C3060000}"/>
    <cellStyle name="20% - Accent1 7 2 2 4" xfId="486" xr:uid="{00000000-0005-0000-0000-0000C4060000}"/>
    <cellStyle name="20% - Accent1 7 2 2 4 2" xfId="14635" xr:uid="{00000000-0005-0000-0000-0000C5060000}"/>
    <cellStyle name="20% - Accent1 7 2 2 4 2 2" xfId="28184" xr:uid="{00000000-0005-0000-0000-0000C6060000}"/>
    <cellStyle name="20% - Accent1 7 2 2 4 3" xfId="17809" xr:uid="{00000000-0005-0000-0000-0000C7060000}"/>
    <cellStyle name="20% - Accent1 7 2 2 5" xfId="487" xr:uid="{00000000-0005-0000-0000-0000C8060000}"/>
    <cellStyle name="20% - Accent1 7 2 2 5 2" xfId="16858" xr:uid="{00000000-0005-0000-0000-0000C9060000}"/>
    <cellStyle name="20% - Accent1 7 2 2 5 2 2" xfId="30265" xr:uid="{00000000-0005-0000-0000-0000CA060000}"/>
    <cellStyle name="20% - Accent1 7 2 2 5 3" xfId="17810" xr:uid="{00000000-0005-0000-0000-0000CB060000}"/>
    <cellStyle name="20% - Accent1 7 2 2 6" xfId="8885" xr:uid="{00000000-0005-0000-0000-0000CC060000}"/>
    <cellStyle name="20% - Accent1 7 2 2 6 2" xfId="23360" xr:uid="{00000000-0005-0000-0000-0000CD060000}"/>
    <cellStyle name="20% - Accent1 7 2 2 7" xfId="17806" xr:uid="{00000000-0005-0000-0000-0000CE060000}"/>
    <cellStyle name="20% - Accent1 7 2 3" xfId="488" xr:uid="{00000000-0005-0000-0000-0000CF060000}"/>
    <cellStyle name="20% - Accent1 7 2 3 2" xfId="489" xr:uid="{00000000-0005-0000-0000-0000D0060000}"/>
    <cellStyle name="20% - Accent1 7 2 3 2 2" xfId="14636" xr:uid="{00000000-0005-0000-0000-0000D1060000}"/>
    <cellStyle name="20% - Accent1 7 2 3 2 2 2" xfId="28185" xr:uid="{00000000-0005-0000-0000-0000D2060000}"/>
    <cellStyle name="20% - Accent1 7 2 3 2 3" xfId="17812" xr:uid="{00000000-0005-0000-0000-0000D3060000}"/>
    <cellStyle name="20% - Accent1 7 2 3 3" xfId="10609" xr:uid="{00000000-0005-0000-0000-0000D4060000}"/>
    <cellStyle name="20% - Accent1 7 2 3 3 2" xfId="24551" xr:uid="{00000000-0005-0000-0000-0000D5060000}"/>
    <cellStyle name="20% - Accent1 7 2 3 4" xfId="17811" xr:uid="{00000000-0005-0000-0000-0000D6060000}"/>
    <cellStyle name="20% - Accent1 7 2 4" xfId="490" xr:uid="{00000000-0005-0000-0000-0000D7060000}"/>
    <cellStyle name="20% - Accent1 7 2 4 2" xfId="12246" xr:uid="{00000000-0005-0000-0000-0000D8060000}"/>
    <cellStyle name="20% - Accent1 7 2 4 2 2" xfId="25958" xr:uid="{00000000-0005-0000-0000-0000D9060000}"/>
    <cellStyle name="20% - Accent1 7 2 4 3" xfId="17813" xr:uid="{00000000-0005-0000-0000-0000DA060000}"/>
    <cellStyle name="20% - Accent1 7 2 5" xfId="491" xr:uid="{00000000-0005-0000-0000-0000DB060000}"/>
    <cellStyle name="20% - Accent1 7 2 5 2" xfId="12682" xr:uid="{00000000-0005-0000-0000-0000DC060000}"/>
    <cellStyle name="20% - Accent1 7 2 5 2 2" xfId="26394" xr:uid="{00000000-0005-0000-0000-0000DD060000}"/>
    <cellStyle name="20% - Accent1 7 2 5 3" xfId="17814" xr:uid="{00000000-0005-0000-0000-0000DE060000}"/>
    <cellStyle name="20% - Accent1 7 2 6" xfId="492" xr:uid="{00000000-0005-0000-0000-0000DF060000}"/>
    <cellStyle name="20% - Accent1 7 2 6 2" xfId="13810" xr:uid="{00000000-0005-0000-0000-0000E0060000}"/>
    <cellStyle name="20% - Accent1 7 2 6 2 2" xfId="27359" xr:uid="{00000000-0005-0000-0000-0000E1060000}"/>
    <cellStyle name="20% - Accent1 7 2 6 3" xfId="17815" xr:uid="{00000000-0005-0000-0000-0000E2060000}"/>
    <cellStyle name="20% - Accent1 7 2 7" xfId="493" xr:uid="{00000000-0005-0000-0000-0000E3060000}"/>
    <cellStyle name="20% - Accent1 7 2 7 2" xfId="14391" xr:uid="{00000000-0005-0000-0000-0000E4060000}"/>
    <cellStyle name="20% - Accent1 7 2 7 2 2" xfId="27940" xr:uid="{00000000-0005-0000-0000-0000E5060000}"/>
    <cellStyle name="20% - Accent1 7 2 7 3" xfId="17816" xr:uid="{00000000-0005-0000-0000-0000E6060000}"/>
    <cellStyle name="20% - Accent1 7 2 8" xfId="494" xr:uid="{00000000-0005-0000-0000-0000E7060000}"/>
    <cellStyle name="20% - Accent1 7 2 8 2" xfId="14634" xr:uid="{00000000-0005-0000-0000-0000E8060000}"/>
    <cellStyle name="20% - Accent1 7 2 8 2 2" xfId="28183" xr:uid="{00000000-0005-0000-0000-0000E9060000}"/>
    <cellStyle name="20% - Accent1 7 2 8 3" xfId="17817" xr:uid="{00000000-0005-0000-0000-0000EA060000}"/>
    <cellStyle name="20% - Accent1 7 2 9" xfId="495" xr:uid="{00000000-0005-0000-0000-0000EB060000}"/>
    <cellStyle name="20% - Accent1 7 2 9 2" xfId="16277" xr:uid="{00000000-0005-0000-0000-0000EC060000}"/>
    <cellStyle name="20% - Accent1 7 2 9 2 2" xfId="29684" xr:uid="{00000000-0005-0000-0000-0000ED060000}"/>
    <cellStyle name="20% - Accent1 7 2 9 3" xfId="17818" xr:uid="{00000000-0005-0000-0000-0000EE060000}"/>
    <cellStyle name="20% - Accent1 7 3" xfId="496" xr:uid="{00000000-0005-0000-0000-0000EF060000}"/>
    <cellStyle name="20% - Accent1 7 3 2" xfId="497" xr:uid="{00000000-0005-0000-0000-0000F0060000}"/>
    <cellStyle name="20% - Accent1 7 3 2 2" xfId="10611" xr:uid="{00000000-0005-0000-0000-0000F1060000}"/>
    <cellStyle name="20% - Accent1 7 3 2 2 2" xfId="24553" xr:uid="{00000000-0005-0000-0000-0000F2060000}"/>
    <cellStyle name="20% - Accent1 7 3 2 3" xfId="17820" xr:uid="{00000000-0005-0000-0000-0000F3060000}"/>
    <cellStyle name="20% - Accent1 7 3 3" xfId="498" xr:uid="{00000000-0005-0000-0000-0000F4060000}"/>
    <cellStyle name="20% - Accent1 7 3 3 2" xfId="12573" xr:uid="{00000000-0005-0000-0000-0000F5060000}"/>
    <cellStyle name="20% - Accent1 7 3 3 2 2" xfId="26285" xr:uid="{00000000-0005-0000-0000-0000F6060000}"/>
    <cellStyle name="20% - Accent1 7 3 3 3" xfId="17821" xr:uid="{00000000-0005-0000-0000-0000F7060000}"/>
    <cellStyle name="20% - Accent1 7 3 4" xfId="499" xr:uid="{00000000-0005-0000-0000-0000F8060000}"/>
    <cellStyle name="20% - Accent1 7 3 4 2" xfId="14637" xr:uid="{00000000-0005-0000-0000-0000F9060000}"/>
    <cellStyle name="20% - Accent1 7 3 4 2 2" xfId="28186" xr:uid="{00000000-0005-0000-0000-0000FA060000}"/>
    <cellStyle name="20% - Accent1 7 3 4 3" xfId="17822" xr:uid="{00000000-0005-0000-0000-0000FB060000}"/>
    <cellStyle name="20% - Accent1 7 3 5" xfId="500" xr:uid="{00000000-0005-0000-0000-0000FC060000}"/>
    <cellStyle name="20% - Accent1 7 3 5 2" xfId="16569" xr:uid="{00000000-0005-0000-0000-0000FD060000}"/>
    <cellStyle name="20% - Accent1 7 3 5 2 2" xfId="29976" xr:uid="{00000000-0005-0000-0000-0000FE060000}"/>
    <cellStyle name="20% - Accent1 7 3 5 3" xfId="17823" xr:uid="{00000000-0005-0000-0000-0000FF060000}"/>
    <cellStyle name="20% - Accent1 7 3 6" xfId="8886" xr:uid="{00000000-0005-0000-0000-000000070000}"/>
    <cellStyle name="20% - Accent1 7 3 6 2" xfId="23361" xr:uid="{00000000-0005-0000-0000-000001070000}"/>
    <cellStyle name="20% - Accent1 7 3 7" xfId="17819" xr:uid="{00000000-0005-0000-0000-000002070000}"/>
    <cellStyle name="20% - Accent1 7 4" xfId="501" xr:uid="{00000000-0005-0000-0000-000003070000}"/>
    <cellStyle name="20% - Accent1 7 4 2" xfId="502" xr:uid="{00000000-0005-0000-0000-000004070000}"/>
    <cellStyle name="20% - Accent1 7 4 2 2" xfId="14638" xr:uid="{00000000-0005-0000-0000-000005070000}"/>
    <cellStyle name="20% - Accent1 7 4 2 2 2" xfId="28187" xr:uid="{00000000-0005-0000-0000-000006070000}"/>
    <cellStyle name="20% - Accent1 7 4 2 3" xfId="17825" xr:uid="{00000000-0005-0000-0000-000007070000}"/>
    <cellStyle name="20% - Accent1 7 4 3" xfId="10608" xr:uid="{00000000-0005-0000-0000-000008070000}"/>
    <cellStyle name="20% - Accent1 7 4 3 2" xfId="24550" xr:uid="{00000000-0005-0000-0000-000009070000}"/>
    <cellStyle name="20% - Accent1 7 4 4" xfId="17824" xr:uid="{00000000-0005-0000-0000-00000A070000}"/>
    <cellStyle name="20% - Accent1 7 5" xfId="503" xr:uid="{00000000-0005-0000-0000-00000B070000}"/>
    <cellStyle name="20% - Accent1 7 5 2" xfId="11944" xr:uid="{00000000-0005-0000-0000-00000C070000}"/>
    <cellStyle name="20% - Accent1 7 5 2 2" xfId="25659" xr:uid="{00000000-0005-0000-0000-00000D070000}"/>
    <cellStyle name="20% - Accent1 7 5 3" xfId="17826" xr:uid="{00000000-0005-0000-0000-00000E070000}"/>
    <cellStyle name="20% - Accent1 7 6" xfId="504" xr:uid="{00000000-0005-0000-0000-00000F070000}"/>
    <cellStyle name="20% - Accent1 7 6 2" xfId="12592" xr:uid="{00000000-0005-0000-0000-000010070000}"/>
    <cellStyle name="20% - Accent1 7 6 2 2" xfId="26304" xr:uid="{00000000-0005-0000-0000-000011070000}"/>
    <cellStyle name="20% - Accent1 7 6 3" xfId="17827" xr:uid="{00000000-0005-0000-0000-000012070000}"/>
    <cellStyle name="20% - Accent1 7 7" xfId="505" xr:uid="{00000000-0005-0000-0000-000013070000}"/>
    <cellStyle name="20% - Accent1 7 7 2" xfId="13521" xr:uid="{00000000-0005-0000-0000-000014070000}"/>
    <cellStyle name="20% - Accent1 7 7 2 2" xfId="27070" xr:uid="{00000000-0005-0000-0000-000015070000}"/>
    <cellStyle name="20% - Accent1 7 7 3" xfId="17828" xr:uid="{00000000-0005-0000-0000-000016070000}"/>
    <cellStyle name="20% - Accent1 7 8" xfId="506" xr:uid="{00000000-0005-0000-0000-000017070000}"/>
    <cellStyle name="20% - Accent1 7 8 2" xfId="14102" xr:uid="{00000000-0005-0000-0000-000018070000}"/>
    <cellStyle name="20% - Accent1 7 8 2 2" xfId="27651" xr:uid="{00000000-0005-0000-0000-000019070000}"/>
    <cellStyle name="20% - Accent1 7 8 3" xfId="17829" xr:uid="{00000000-0005-0000-0000-00001A070000}"/>
    <cellStyle name="20% - Accent1 7 9" xfId="507" xr:uid="{00000000-0005-0000-0000-00001B070000}"/>
    <cellStyle name="20% - Accent1 7 9 2" xfId="14633" xr:uid="{00000000-0005-0000-0000-00001C070000}"/>
    <cellStyle name="20% - Accent1 7 9 2 2" xfId="28182" xr:uid="{00000000-0005-0000-0000-00001D070000}"/>
    <cellStyle name="20% - Accent1 7 9 3" xfId="17830" xr:uid="{00000000-0005-0000-0000-00001E070000}"/>
    <cellStyle name="20% - Accent1 8" xfId="508" xr:uid="{00000000-0005-0000-0000-00001F070000}"/>
    <cellStyle name="20% - Accent1 8 10" xfId="8887" xr:uid="{00000000-0005-0000-0000-000020070000}"/>
    <cellStyle name="20% - Accent1 8 10 2" xfId="23362" xr:uid="{00000000-0005-0000-0000-000021070000}"/>
    <cellStyle name="20% - Accent1 8 11" xfId="17831" xr:uid="{00000000-0005-0000-0000-000022070000}"/>
    <cellStyle name="20% - Accent1 8 2" xfId="509" xr:uid="{00000000-0005-0000-0000-000023070000}"/>
    <cellStyle name="20% - Accent1 8 2 2" xfId="510" xr:uid="{00000000-0005-0000-0000-000024070000}"/>
    <cellStyle name="20% - Accent1 8 2 2 2" xfId="10613" xr:uid="{00000000-0005-0000-0000-000025070000}"/>
    <cellStyle name="20% - Accent1 8 2 2 2 2" xfId="24555" xr:uid="{00000000-0005-0000-0000-000026070000}"/>
    <cellStyle name="20% - Accent1 8 2 2 3" xfId="17833" xr:uid="{00000000-0005-0000-0000-000027070000}"/>
    <cellStyle name="20% - Accent1 8 2 3" xfId="511" xr:uid="{00000000-0005-0000-0000-000028070000}"/>
    <cellStyle name="20% - Accent1 8 2 3 2" xfId="12714" xr:uid="{00000000-0005-0000-0000-000029070000}"/>
    <cellStyle name="20% - Accent1 8 2 3 2 2" xfId="26426" xr:uid="{00000000-0005-0000-0000-00002A070000}"/>
    <cellStyle name="20% - Accent1 8 2 3 3" xfId="17834" xr:uid="{00000000-0005-0000-0000-00002B070000}"/>
    <cellStyle name="20% - Accent1 8 2 4" xfId="512" xr:uid="{00000000-0005-0000-0000-00002C070000}"/>
    <cellStyle name="20% - Accent1 8 2 4 2" xfId="14640" xr:uid="{00000000-0005-0000-0000-00002D070000}"/>
    <cellStyle name="20% - Accent1 8 2 4 2 2" xfId="28189" xr:uid="{00000000-0005-0000-0000-00002E070000}"/>
    <cellStyle name="20% - Accent1 8 2 4 3" xfId="17835" xr:uid="{00000000-0005-0000-0000-00002F070000}"/>
    <cellStyle name="20% - Accent1 8 2 5" xfId="513" xr:uid="{00000000-0005-0000-0000-000030070000}"/>
    <cellStyle name="20% - Accent1 8 2 5 2" xfId="16712" xr:uid="{00000000-0005-0000-0000-000031070000}"/>
    <cellStyle name="20% - Accent1 8 2 5 2 2" xfId="30119" xr:uid="{00000000-0005-0000-0000-000032070000}"/>
    <cellStyle name="20% - Accent1 8 2 5 3" xfId="17836" xr:uid="{00000000-0005-0000-0000-000033070000}"/>
    <cellStyle name="20% - Accent1 8 2 6" xfId="8888" xr:uid="{00000000-0005-0000-0000-000034070000}"/>
    <cellStyle name="20% - Accent1 8 2 6 2" xfId="23363" xr:uid="{00000000-0005-0000-0000-000035070000}"/>
    <cellStyle name="20% - Accent1 8 2 7" xfId="17832" xr:uid="{00000000-0005-0000-0000-000036070000}"/>
    <cellStyle name="20% - Accent1 8 3" xfId="514" xr:uid="{00000000-0005-0000-0000-000037070000}"/>
    <cellStyle name="20% - Accent1 8 3 2" xfId="515" xr:uid="{00000000-0005-0000-0000-000038070000}"/>
    <cellStyle name="20% - Accent1 8 3 2 2" xfId="14641" xr:uid="{00000000-0005-0000-0000-000039070000}"/>
    <cellStyle name="20% - Accent1 8 3 2 2 2" xfId="28190" xr:uid="{00000000-0005-0000-0000-00003A070000}"/>
    <cellStyle name="20% - Accent1 8 3 2 3" xfId="17838" xr:uid="{00000000-0005-0000-0000-00003B070000}"/>
    <cellStyle name="20% - Accent1 8 3 3" xfId="10612" xr:uid="{00000000-0005-0000-0000-00003C070000}"/>
    <cellStyle name="20% - Accent1 8 3 3 2" xfId="24554" xr:uid="{00000000-0005-0000-0000-00003D070000}"/>
    <cellStyle name="20% - Accent1 8 3 4" xfId="17837" xr:uid="{00000000-0005-0000-0000-00003E070000}"/>
    <cellStyle name="20% - Accent1 8 4" xfId="516" xr:uid="{00000000-0005-0000-0000-00003F070000}"/>
    <cellStyle name="20% - Accent1 8 4 2" xfId="12090" xr:uid="{00000000-0005-0000-0000-000040070000}"/>
    <cellStyle name="20% - Accent1 8 4 2 2" xfId="25804" xr:uid="{00000000-0005-0000-0000-000041070000}"/>
    <cellStyle name="20% - Accent1 8 4 3" xfId="17839" xr:uid="{00000000-0005-0000-0000-000042070000}"/>
    <cellStyle name="20% - Accent1 8 5" xfId="517" xr:uid="{00000000-0005-0000-0000-000043070000}"/>
    <cellStyle name="20% - Accent1 8 5 2" xfId="12580" xr:uid="{00000000-0005-0000-0000-000044070000}"/>
    <cellStyle name="20% - Accent1 8 5 2 2" xfId="26292" xr:uid="{00000000-0005-0000-0000-000045070000}"/>
    <cellStyle name="20% - Accent1 8 5 3" xfId="17840" xr:uid="{00000000-0005-0000-0000-000046070000}"/>
    <cellStyle name="20% - Accent1 8 6" xfId="518" xr:uid="{00000000-0005-0000-0000-000047070000}"/>
    <cellStyle name="20% - Accent1 8 6 2" xfId="13664" xr:uid="{00000000-0005-0000-0000-000048070000}"/>
    <cellStyle name="20% - Accent1 8 6 2 2" xfId="27213" xr:uid="{00000000-0005-0000-0000-000049070000}"/>
    <cellStyle name="20% - Accent1 8 6 3" xfId="17841" xr:uid="{00000000-0005-0000-0000-00004A070000}"/>
    <cellStyle name="20% - Accent1 8 7" xfId="519" xr:uid="{00000000-0005-0000-0000-00004B070000}"/>
    <cellStyle name="20% - Accent1 8 7 2" xfId="14245" xr:uid="{00000000-0005-0000-0000-00004C070000}"/>
    <cellStyle name="20% - Accent1 8 7 2 2" xfId="27794" xr:uid="{00000000-0005-0000-0000-00004D070000}"/>
    <cellStyle name="20% - Accent1 8 7 3" xfId="17842" xr:uid="{00000000-0005-0000-0000-00004E070000}"/>
    <cellStyle name="20% - Accent1 8 8" xfId="520" xr:uid="{00000000-0005-0000-0000-00004F070000}"/>
    <cellStyle name="20% - Accent1 8 8 2" xfId="14639" xr:uid="{00000000-0005-0000-0000-000050070000}"/>
    <cellStyle name="20% - Accent1 8 8 2 2" xfId="28188" xr:uid="{00000000-0005-0000-0000-000051070000}"/>
    <cellStyle name="20% - Accent1 8 8 3" xfId="17843" xr:uid="{00000000-0005-0000-0000-000052070000}"/>
    <cellStyle name="20% - Accent1 8 9" xfId="521" xr:uid="{00000000-0005-0000-0000-000053070000}"/>
    <cellStyle name="20% - Accent1 8 9 2" xfId="16131" xr:uid="{00000000-0005-0000-0000-000054070000}"/>
    <cellStyle name="20% - Accent1 8 9 2 2" xfId="29538" xr:uid="{00000000-0005-0000-0000-000055070000}"/>
    <cellStyle name="20% - Accent1 8 9 3" xfId="17844" xr:uid="{00000000-0005-0000-0000-000056070000}"/>
    <cellStyle name="20% - Accent1 9" xfId="522" xr:uid="{00000000-0005-0000-0000-000057070000}"/>
    <cellStyle name="20% - Accent1 9 2" xfId="523" xr:uid="{00000000-0005-0000-0000-000058070000}"/>
    <cellStyle name="20% - Accent1 9 2 2" xfId="10614" xr:uid="{00000000-0005-0000-0000-000059070000}"/>
    <cellStyle name="20% - Accent1 9 2 2 2" xfId="24556" xr:uid="{00000000-0005-0000-0000-00005A070000}"/>
    <cellStyle name="20% - Accent1 9 2 3" xfId="17846" xr:uid="{00000000-0005-0000-0000-00005B070000}"/>
    <cellStyle name="20% - Accent1 9 3" xfId="524" xr:uid="{00000000-0005-0000-0000-00005C070000}"/>
    <cellStyle name="20% - Accent1 9 3 2" xfId="12583" xr:uid="{00000000-0005-0000-0000-00005D070000}"/>
    <cellStyle name="20% - Accent1 9 3 2 2" xfId="26295" xr:uid="{00000000-0005-0000-0000-00005E070000}"/>
    <cellStyle name="20% - Accent1 9 3 3" xfId="17847" xr:uid="{00000000-0005-0000-0000-00005F070000}"/>
    <cellStyle name="20% - Accent1 9 4" xfId="525" xr:uid="{00000000-0005-0000-0000-000060070000}"/>
    <cellStyle name="20% - Accent1 9 4 2" xfId="14642" xr:uid="{00000000-0005-0000-0000-000061070000}"/>
    <cellStyle name="20% - Accent1 9 4 2 2" xfId="28191" xr:uid="{00000000-0005-0000-0000-000062070000}"/>
    <cellStyle name="20% - Accent1 9 4 3" xfId="17848" xr:uid="{00000000-0005-0000-0000-000063070000}"/>
    <cellStyle name="20% - Accent1 9 5" xfId="526" xr:uid="{00000000-0005-0000-0000-000064070000}"/>
    <cellStyle name="20% - Accent1 9 5 2" xfId="17096" xr:uid="{00000000-0005-0000-0000-000065070000}"/>
    <cellStyle name="20% - Accent1 9 5 2 2" xfId="30455" xr:uid="{00000000-0005-0000-0000-000066070000}"/>
    <cellStyle name="20% - Accent1 9 5 3" xfId="17849" xr:uid="{00000000-0005-0000-0000-000067070000}"/>
    <cellStyle name="20% - Accent1 9 6" xfId="8889" xr:uid="{00000000-0005-0000-0000-000068070000}"/>
    <cellStyle name="20% - Accent1 9 6 2" xfId="23364" xr:uid="{00000000-0005-0000-0000-000069070000}"/>
    <cellStyle name="20% - Accent1 9 7" xfId="17845" xr:uid="{00000000-0005-0000-0000-00006A070000}"/>
    <cellStyle name="20% - Accent2" xfId="32" builtinId="34" customBuiltin="1"/>
    <cellStyle name="20% - Accent2 10" xfId="527" xr:uid="{00000000-0005-0000-0000-00006C070000}"/>
    <cellStyle name="20% - Accent2 10 2" xfId="528" xr:uid="{00000000-0005-0000-0000-00006D070000}"/>
    <cellStyle name="20% - Accent2 10 2 2" xfId="529" xr:uid="{00000000-0005-0000-0000-00006E070000}"/>
    <cellStyle name="20% - Accent2 10 2 2 2" xfId="12582" xr:uid="{00000000-0005-0000-0000-00006F070000}"/>
    <cellStyle name="20% - Accent2 10 2 2 2 2" xfId="26294" xr:uid="{00000000-0005-0000-0000-000070070000}"/>
    <cellStyle name="20% - Accent2 10 2 2 3" xfId="17852" xr:uid="{00000000-0005-0000-0000-000071070000}"/>
    <cellStyle name="20% - Accent2 10 2 3" xfId="530" xr:uid="{00000000-0005-0000-0000-000072070000}"/>
    <cellStyle name="20% - Accent2 10 2 3 2" xfId="14645" xr:uid="{00000000-0005-0000-0000-000073070000}"/>
    <cellStyle name="20% - Accent2 10 2 3 2 2" xfId="28194" xr:uid="{00000000-0005-0000-0000-000074070000}"/>
    <cellStyle name="20% - Accent2 10 2 3 3" xfId="17853" xr:uid="{00000000-0005-0000-0000-000075070000}"/>
    <cellStyle name="20% - Accent2 10 2 4" xfId="10616" xr:uid="{00000000-0005-0000-0000-000076070000}"/>
    <cellStyle name="20% - Accent2 10 2 4 2" xfId="24558" xr:uid="{00000000-0005-0000-0000-000077070000}"/>
    <cellStyle name="20% - Accent2 10 2 5" xfId="17851" xr:uid="{00000000-0005-0000-0000-000078070000}"/>
    <cellStyle name="20% - Accent2 10 3" xfId="531" xr:uid="{00000000-0005-0000-0000-000079070000}"/>
    <cellStyle name="20% - Accent2 10 3 2" xfId="12404" xr:uid="{00000000-0005-0000-0000-00007A070000}"/>
    <cellStyle name="20% - Accent2 10 3 2 2" xfId="26116" xr:uid="{00000000-0005-0000-0000-00007B070000}"/>
    <cellStyle name="20% - Accent2 10 3 3" xfId="17854" xr:uid="{00000000-0005-0000-0000-00007C070000}"/>
    <cellStyle name="20% - Accent2 10 4" xfId="532" xr:uid="{00000000-0005-0000-0000-00007D070000}"/>
    <cellStyle name="20% - Accent2 10 4 2" xfId="14644" xr:uid="{00000000-0005-0000-0000-00007E070000}"/>
    <cellStyle name="20% - Accent2 10 4 2 2" xfId="28193" xr:uid="{00000000-0005-0000-0000-00007F070000}"/>
    <cellStyle name="20% - Accent2 10 4 3" xfId="17855" xr:uid="{00000000-0005-0000-0000-000080070000}"/>
    <cellStyle name="20% - Accent2 10 5" xfId="533" xr:uid="{00000000-0005-0000-0000-000081070000}"/>
    <cellStyle name="20% - Accent2 10 5 2" xfId="17186" xr:uid="{00000000-0005-0000-0000-000082070000}"/>
    <cellStyle name="20% - Accent2 10 5 2 2" xfId="30545" xr:uid="{00000000-0005-0000-0000-000083070000}"/>
    <cellStyle name="20% - Accent2 10 5 3" xfId="17856" xr:uid="{00000000-0005-0000-0000-000084070000}"/>
    <cellStyle name="20% - Accent2 10 6" xfId="8891" xr:uid="{00000000-0005-0000-0000-000085070000}"/>
    <cellStyle name="20% - Accent2 10 6 2" xfId="23366" xr:uid="{00000000-0005-0000-0000-000086070000}"/>
    <cellStyle name="20% - Accent2 10 7" xfId="17850" xr:uid="{00000000-0005-0000-0000-000087070000}"/>
    <cellStyle name="20% - Accent2 11" xfId="534" xr:uid="{00000000-0005-0000-0000-000088070000}"/>
    <cellStyle name="20% - Accent2 11 2" xfId="535" xr:uid="{00000000-0005-0000-0000-000089070000}"/>
    <cellStyle name="20% - Accent2 11 2 2" xfId="10617" xr:uid="{00000000-0005-0000-0000-00008A070000}"/>
    <cellStyle name="20% - Accent2 11 2 2 2" xfId="24559" xr:uid="{00000000-0005-0000-0000-00008B070000}"/>
    <cellStyle name="20% - Accent2 11 2 3" xfId="17858" xr:uid="{00000000-0005-0000-0000-00008C070000}"/>
    <cellStyle name="20% - Accent2 11 3" xfId="536" xr:uid="{00000000-0005-0000-0000-00008D070000}"/>
    <cellStyle name="20% - Accent2 11 3 2" xfId="12538" xr:uid="{00000000-0005-0000-0000-00008E070000}"/>
    <cellStyle name="20% - Accent2 11 3 2 2" xfId="26250" xr:uid="{00000000-0005-0000-0000-00008F070000}"/>
    <cellStyle name="20% - Accent2 11 3 3" xfId="17859" xr:uid="{00000000-0005-0000-0000-000090070000}"/>
    <cellStyle name="20% - Accent2 11 4" xfId="537" xr:uid="{00000000-0005-0000-0000-000091070000}"/>
    <cellStyle name="20% - Accent2 11 4 2" xfId="14646" xr:uid="{00000000-0005-0000-0000-000092070000}"/>
    <cellStyle name="20% - Accent2 11 4 2 2" xfId="28195" xr:uid="{00000000-0005-0000-0000-000093070000}"/>
    <cellStyle name="20% - Accent2 11 4 3" xfId="17860" xr:uid="{00000000-0005-0000-0000-000094070000}"/>
    <cellStyle name="20% - Accent2 11 5" xfId="538" xr:uid="{00000000-0005-0000-0000-000095070000}"/>
    <cellStyle name="20% - Accent2 11 5 2" xfId="17275" xr:uid="{00000000-0005-0000-0000-000096070000}"/>
    <cellStyle name="20% - Accent2 11 5 2 2" xfId="30634" xr:uid="{00000000-0005-0000-0000-000097070000}"/>
    <cellStyle name="20% - Accent2 11 5 3" xfId="17861" xr:uid="{00000000-0005-0000-0000-000098070000}"/>
    <cellStyle name="20% - Accent2 11 6" xfId="8892" xr:uid="{00000000-0005-0000-0000-000099070000}"/>
    <cellStyle name="20% - Accent2 11 6 2" xfId="23367" xr:uid="{00000000-0005-0000-0000-00009A070000}"/>
    <cellStyle name="20% - Accent2 11 7" xfId="17857" xr:uid="{00000000-0005-0000-0000-00009B070000}"/>
    <cellStyle name="20% - Accent2 12" xfId="539" xr:uid="{00000000-0005-0000-0000-00009C070000}"/>
    <cellStyle name="20% - Accent2 12 2" xfId="540" xr:uid="{00000000-0005-0000-0000-00009D070000}"/>
    <cellStyle name="20% - Accent2 12 2 2" xfId="541" xr:uid="{00000000-0005-0000-0000-00009E070000}"/>
    <cellStyle name="20% - Accent2 12 2 2 2" xfId="10619" xr:uid="{00000000-0005-0000-0000-00009F070000}"/>
    <cellStyle name="20% - Accent2 12 2 2 2 2" xfId="24561" xr:uid="{00000000-0005-0000-0000-0000A0070000}"/>
    <cellStyle name="20% - Accent2 12 2 2 3" xfId="17864" xr:uid="{00000000-0005-0000-0000-0000A1070000}"/>
    <cellStyle name="20% - Accent2 12 2 3" xfId="542" xr:uid="{00000000-0005-0000-0000-0000A2070000}"/>
    <cellStyle name="20% - Accent2 12 2 3 2" xfId="12456" xr:uid="{00000000-0005-0000-0000-0000A3070000}"/>
    <cellStyle name="20% - Accent2 12 2 3 2 2" xfId="26168" xr:uid="{00000000-0005-0000-0000-0000A4070000}"/>
    <cellStyle name="20% - Accent2 12 2 3 3" xfId="17865" xr:uid="{00000000-0005-0000-0000-0000A5070000}"/>
    <cellStyle name="20% - Accent2 12 2 4" xfId="543" xr:uid="{00000000-0005-0000-0000-0000A6070000}"/>
    <cellStyle name="20% - Accent2 12 2 4 2" xfId="14648" xr:uid="{00000000-0005-0000-0000-0000A7070000}"/>
    <cellStyle name="20% - Accent2 12 2 4 2 2" xfId="28197" xr:uid="{00000000-0005-0000-0000-0000A8070000}"/>
    <cellStyle name="20% - Accent2 12 2 4 3" xfId="17866" xr:uid="{00000000-0005-0000-0000-0000A9070000}"/>
    <cellStyle name="20% - Accent2 12 2 5" xfId="8894" xr:uid="{00000000-0005-0000-0000-0000AA070000}"/>
    <cellStyle name="20% - Accent2 12 2 5 2" xfId="23369" xr:uid="{00000000-0005-0000-0000-0000AB070000}"/>
    <cellStyle name="20% - Accent2 12 2 6" xfId="17863" xr:uid="{00000000-0005-0000-0000-0000AC070000}"/>
    <cellStyle name="20% - Accent2 12 3" xfId="544" xr:uid="{00000000-0005-0000-0000-0000AD070000}"/>
    <cellStyle name="20% - Accent2 12 3 2" xfId="10618" xr:uid="{00000000-0005-0000-0000-0000AE070000}"/>
    <cellStyle name="20% - Accent2 12 3 2 2" xfId="24560" xr:uid="{00000000-0005-0000-0000-0000AF070000}"/>
    <cellStyle name="20% - Accent2 12 3 3" xfId="17867" xr:uid="{00000000-0005-0000-0000-0000B0070000}"/>
    <cellStyle name="20% - Accent2 12 4" xfId="545" xr:uid="{00000000-0005-0000-0000-0000B1070000}"/>
    <cellStyle name="20% - Accent2 12 4 2" xfId="12558" xr:uid="{00000000-0005-0000-0000-0000B2070000}"/>
    <cellStyle name="20% - Accent2 12 4 2 2" xfId="26270" xr:uid="{00000000-0005-0000-0000-0000B3070000}"/>
    <cellStyle name="20% - Accent2 12 4 3" xfId="17868" xr:uid="{00000000-0005-0000-0000-0000B4070000}"/>
    <cellStyle name="20% - Accent2 12 5" xfId="546" xr:uid="{00000000-0005-0000-0000-0000B5070000}"/>
    <cellStyle name="20% - Accent2 12 5 2" xfId="14647" xr:uid="{00000000-0005-0000-0000-0000B6070000}"/>
    <cellStyle name="20% - Accent2 12 5 2 2" xfId="28196" xr:uid="{00000000-0005-0000-0000-0000B7070000}"/>
    <cellStyle name="20% - Accent2 12 5 3" xfId="17869" xr:uid="{00000000-0005-0000-0000-0000B8070000}"/>
    <cellStyle name="20% - Accent2 12 6" xfId="547" xr:uid="{00000000-0005-0000-0000-0000B9070000}"/>
    <cellStyle name="20% - Accent2 12 6 2" xfId="16427" xr:uid="{00000000-0005-0000-0000-0000BA070000}"/>
    <cellStyle name="20% - Accent2 12 6 2 2" xfId="29834" xr:uid="{00000000-0005-0000-0000-0000BB070000}"/>
    <cellStyle name="20% - Accent2 12 6 3" xfId="17870" xr:uid="{00000000-0005-0000-0000-0000BC070000}"/>
    <cellStyle name="20% - Accent2 12 7" xfId="8893" xr:uid="{00000000-0005-0000-0000-0000BD070000}"/>
    <cellStyle name="20% - Accent2 12 7 2" xfId="23368" xr:uid="{00000000-0005-0000-0000-0000BE070000}"/>
    <cellStyle name="20% - Accent2 12 8" xfId="17862" xr:uid="{00000000-0005-0000-0000-0000BF070000}"/>
    <cellStyle name="20% - Accent2 13" xfId="548" xr:uid="{00000000-0005-0000-0000-0000C0070000}"/>
    <cellStyle name="20% - Accent2 13 2" xfId="549" xr:uid="{00000000-0005-0000-0000-0000C1070000}"/>
    <cellStyle name="20% - Accent2 13 2 2" xfId="10620" xr:uid="{00000000-0005-0000-0000-0000C2070000}"/>
    <cellStyle name="20% - Accent2 13 2 2 2" xfId="24562" xr:uid="{00000000-0005-0000-0000-0000C3070000}"/>
    <cellStyle name="20% - Accent2 13 2 3" xfId="17872" xr:uid="{00000000-0005-0000-0000-0000C4070000}"/>
    <cellStyle name="20% - Accent2 13 3" xfId="550" xr:uid="{00000000-0005-0000-0000-0000C5070000}"/>
    <cellStyle name="20% - Accent2 13 3 2" xfId="12560" xr:uid="{00000000-0005-0000-0000-0000C6070000}"/>
    <cellStyle name="20% - Accent2 13 3 2 2" xfId="26272" xr:uid="{00000000-0005-0000-0000-0000C7070000}"/>
    <cellStyle name="20% - Accent2 13 3 3" xfId="17873" xr:uid="{00000000-0005-0000-0000-0000C8070000}"/>
    <cellStyle name="20% - Accent2 13 4" xfId="551" xr:uid="{00000000-0005-0000-0000-0000C9070000}"/>
    <cellStyle name="20% - Accent2 13 4 2" xfId="14649" xr:uid="{00000000-0005-0000-0000-0000CA070000}"/>
    <cellStyle name="20% - Accent2 13 4 2 2" xfId="28198" xr:uid="{00000000-0005-0000-0000-0000CB070000}"/>
    <cellStyle name="20% - Accent2 13 4 3" xfId="17874" xr:uid="{00000000-0005-0000-0000-0000CC070000}"/>
    <cellStyle name="20% - Accent2 13 5" xfId="8895" xr:uid="{00000000-0005-0000-0000-0000CD070000}"/>
    <cellStyle name="20% - Accent2 13 5 2" xfId="23370" xr:uid="{00000000-0005-0000-0000-0000CE070000}"/>
    <cellStyle name="20% - Accent2 13 6" xfId="17871" xr:uid="{00000000-0005-0000-0000-0000CF070000}"/>
    <cellStyle name="20% - Accent2 14" xfId="552" xr:uid="{00000000-0005-0000-0000-0000D0070000}"/>
    <cellStyle name="20% - Accent2 14 2" xfId="553" xr:uid="{00000000-0005-0000-0000-0000D1070000}"/>
    <cellStyle name="20% - Accent2 14 2 2" xfId="10621" xr:uid="{00000000-0005-0000-0000-0000D2070000}"/>
    <cellStyle name="20% - Accent2 14 2 2 2" xfId="24563" xr:uid="{00000000-0005-0000-0000-0000D3070000}"/>
    <cellStyle name="20% - Accent2 14 2 3" xfId="17876" xr:uid="{00000000-0005-0000-0000-0000D4070000}"/>
    <cellStyle name="20% - Accent2 14 3" xfId="554" xr:uid="{00000000-0005-0000-0000-0000D5070000}"/>
    <cellStyle name="20% - Accent2 14 3 2" xfId="12776" xr:uid="{00000000-0005-0000-0000-0000D6070000}"/>
    <cellStyle name="20% - Accent2 14 3 2 2" xfId="26488" xr:uid="{00000000-0005-0000-0000-0000D7070000}"/>
    <cellStyle name="20% - Accent2 14 3 3" xfId="17877" xr:uid="{00000000-0005-0000-0000-0000D8070000}"/>
    <cellStyle name="20% - Accent2 14 4" xfId="555" xr:uid="{00000000-0005-0000-0000-0000D9070000}"/>
    <cellStyle name="20% - Accent2 14 4 2" xfId="14650" xr:uid="{00000000-0005-0000-0000-0000DA070000}"/>
    <cellStyle name="20% - Accent2 14 4 2 2" xfId="28199" xr:uid="{00000000-0005-0000-0000-0000DB070000}"/>
    <cellStyle name="20% - Accent2 14 4 3" xfId="17878" xr:uid="{00000000-0005-0000-0000-0000DC070000}"/>
    <cellStyle name="20% - Accent2 14 5" xfId="8896" xr:uid="{00000000-0005-0000-0000-0000DD070000}"/>
    <cellStyle name="20% - Accent2 14 5 2" xfId="23371" xr:uid="{00000000-0005-0000-0000-0000DE070000}"/>
    <cellStyle name="20% - Accent2 14 6" xfId="17875" xr:uid="{00000000-0005-0000-0000-0000DF070000}"/>
    <cellStyle name="20% - Accent2 15" xfId="556" xr:uid="{00000000-0005-0000-0000-0000E0070000}"/>
    <cellStyle name="20% - Accent2 15 2" xfId="557" xr:uid="{00000000-0005-0000-0000-0000E1070000}"/>
    <cellStyle name="20% - Accent2 15 2 2" xfId="10622" xr:uid="{00000000-0005-0000-0000-0000E2070000}"/>
    <cellStyle name="20% - Accent2 15 2 2 2" xfId="24564" xr:uid="{00000000-0005-0000-0000-0000E3070000}"/>
    <cellStyle name="20% - Accent2 15 2 3" xfId="17880" xr:uid="{00000000-0005-0000-0000-0000E4070000}"/>
    <cellStyle name="20% - Accent2 15 3" xfId="558" xr:uid="{00000000-0005-0000-0000-0000E5070000}"/>
    <cellStyle name="20% - Accent2 15 3 2" xfId="12665" xr:uid="{00000000-0005-0000-0000-0000E6070000}"/>
    <cellStyle name="20% - Accent2 15 3 2 2" xfId="26377" xr:uid="{00000000-0005-0000-0000-0000E7070000}"/>
    <cellStyle name="20% - Accent2 15 3 3" xfId="17881" xr:uid="{00000000-0005-0000-0000-0000E8070000}"/>
    <cellStyle name="20% - Accent2 15 4" xfId="559" xr:uid="{00000000-0005-0000-0000-0000E9070000}"/>
    <cellStyle name="20% - Accent2 15 4 2" xfId="14651" xr:uid="{00000000-0005-0000-0000-0000EA070000}"/>
    <cellStyle name="20% - Accent2 15 4 2 2" xfId="28200" xr:uid="{00000000-0005-0000-0000-0000EB070000}"/>
    <cellStyle name="20% - Accent2 15 4 3" xfId="17882" xr:uid="{00000000-0005-0000-0000-0000EC070000}"/>
    <cellStyle name="20% - Accent2 15 5" xfId="8897" xr:uid="{00000000-0005-0000-0000-0000ED070000}"/>
    <cellStyle name="20% - Accent2 15 5 2" xfId="23372" xr:uid="{00000000-0005-0000-0000-0000EE070000}"/>
    <cellStyle name="20% - Accent2 15 6" xfId="17879" xr:uid="{00000000-0005-0000-0000-0000EF070000}"/>
    <cellStyle name="20% - Accent2 16" xfId="560" xr:uid="{00000000-0005-0000-0000-0000F0070000}"/>
    <cellStyle name="20% - Accent2 16 2" xfId="561" xr:uid="{00000000-0005-0000-0000-0000F1070000}"/>
    <cellStyle name="20% - Accent2 16 2 2" xfId="10623" xr:uid="{00000000-0005-0000-0000-0000F2070000}"/>
    <cellStyle name="20% - Accent2 16 2 2 2" xfId="24565" xr:uid="{00000000-0005-0000-0000-0000F3070000}"/>
    <cellStyle name="20% - Accent2 16 2 3" xfId="17884" xr:uid="{00000000-0005-0000-0000-0000F4070000}"/>
    <cellStyle name="20% - Accent2 16 3" xfId="562" xr:uid="{00000000-0005-0000-0000-0000F5070000}"/>
    <cellStyle name="20% - Accent2 16 3 2" xfId="12417" xr:uid="{00000000-0005-0000-0000-0000F6070000}"/>
    <cellStyle name="20% - Accent2 16 3 2 2" xfId="26129" xr:uid="{00000000-0005-0000-0000-0000F7070000}"/>
    <cellStyle name="20% - Accent2 16 3 3" xfId="17885" xr:uid="{00000000-0005-0000-0000-0000F8070000}"/>
    <cellStyle name="20% - Accent2 16 4" xfId="563" xr:uid="{00000000-0005-0000-0000-0000F9070000}"/>
    <cellStyle name="20% - Accent2 16 4 2" xfId="14652" xr:uid="{00000000-0005-0000-0000-0000FA070000}"/>
    <cellStyle name="20% - Accent2 16 4 2 2" xfId="28201" xr:uid="{00000000-0005-0000-0000-0000FB070000}"/>
    <cellStyle name="20% - Accent2 16 4 3" xfId="17886" xr:uid="{00000000-0005-0000-0000-0000FC070000}"/>
    <cellStyle name="20% - Accent2 16 5" xfId="8898" xr:uid="{00000000-0005-0000-0000-0000FD070000}"/>
    <cellStyle name="20% - Accent2 16 5 2" xfId="23373" xr:uid="{00000000-0005-0000-0000-0000FE070000}"/>
    <cellStyle name="20% - Accent2 16 6" xfId="17883" xr:uid="{00000000-0005-0000-0000-0000FF070000}"/>
    <cellStyle name="20% - Accent2 17" xfId="564" xr:uid="{00000000-0005-0000-0000-000000080000}"/>
    <cellStyle name="20% - Accent2 17 2" xfId="565" xr:uid="{00000000-0005-0000-0000-000001080000}"/>
    <cellStyle name="20% - Accent2 17 2 2" xfId="10624" xr:uid="{00000000-0005-0000-0000-000002080000}"/>
    <cellStyle name="20% - Accent2 17 2 2 2" xfId="24566" xr:uid="{00000000-0005-0000-0000-000003080000}"/>
    <cellStyle name="20% - Accent2 17 2 3" xfId="17888" xr:uid="{00000000-0005-0000-0000-000004080000}"/>
    <cellStyle name="20% - Accent2 17 3" xfId="566" xr:uid="{00000000-0005-0000-0000-000005080000}"/>
    <cellStyle name="20% - Accent2 17 3 2" xfId="12525" xr:uid="{00000000-0005-0000-0000-000006080000}"/>
    <cellStyle name="20% - Accent2 17 3 2 2" xfId="26237" xr:uid="{00000000-0005-0000-0000-000007080000}"/>
    <cellStyle name="20% - Accent2 17 3 3" xfId="17889" xr:uid="{00000000-0005-0000-0000-000008080000}"/>
    <cellStyle name="20% - Accent2 17 4" xfId="567" xr:uid="{00000000-0005-0000-0000-000009080000}"/>
    <cellStyle name="20% - Accent2 17 4 2" xfId="14653" xr:uid="{00000000-0005-0000-0000-00000A080000}"/>
    <cellStyle name="20% - Accent2 17 4 2 2" xfId="28202" xr:uid="{00000000-0005-0000-0000-00000B080000}"/>
    <cellStyle name="20% - Accent2 17 4 3" xfId="17890" xr:uid="{00000000-0005-0000-0000-00000C080000}"/>
    <cellStyle name="20% - Accent2 17 5" xfId="8899" xr:uid="{00000000-0005-0000-0000-00000D080000}"/>
    <cellStyle name="20% - Accent2 17 5 2" xfId="23374" xr:uid="{00000000-0005-0000-0000-00000E080000}"/>
    <cellStyle name="20% - Accent2 17 6" xfId="17887" xr:uid="{00000000-0005-0000-0000-00000F080000}"/>
    <cellStyle name="20% - Accent2 18" xfId="568" xr:uid="{00000000-0005-0000-0000-000010080000}"/>
    <cellStyle name="20% - Accent2 18 2" xfId="569" xr:uid="{00000000-0005-0000-0000-000011080000}"/>
    <cellStyle name="20% - Accent2 18 2 2" xfId="10625" xr:uid="{00000000-0005-0000-0000-000012080000}"/>
    <cellStyle name="20% - Accent2 18 2 2 2" xfId="24567" xr:uid="{00000000-0005-0000-0000-000013080000}"/>
    <cellStyle name="20% - Accent2 18 2 3" xfId="17892" xr:uid="{00000000-0005-0000-0000-000014080000}"/>
    <cellStyle name="20% - Accent2 18 3" xfId="570" xr:uid="{00000000-0005-0000-0000-000015080000}"/>
    <cellStyle name="20% - Accent2 18 3 2" xfId="12740" xr:uid="{00000000-0005-0000-0000-000016080000}"/>
    <cellStyle name="20% - Accent2 18 3 2 2" xfId="26452" xr:uid="{00000000-0005-0000-0000-000017080000}"/>
    <cellStyle name="20% - Accent2 18 3 3" xfId="17893" xr:uid="{00000000-0005-0000-0000-000018080000}"/>
    <cellStyle name="20% - Accent2 18 4" xfId="571" xr:uid="{00000000-0005-0000-0000-000019080000}"/>
    <cellStyle name="20% - Accent2 18 4 2" xfId="14654" xr:uid="{00000000-0005-0000-0000-00001A080000}"/>
    <cellStyle name="20% - Accent2 18 4 2 2" xfId="28203" xr:uid="{00000000-0005-0000-0000-00001B080000}"/>
    <cellStyle name="20% - Accent2 18 4 3" xfId="17894" xr:uid="{00000000-0005-0000-0000-00001C080000}"/>
    <cellStyle name="20% - Accent2 18 5" xfId="8900" xr:uid="{00000000-0005-0000-0000-00001D080000}"/>
    <cellStyle name="20% - Accent2 18 5 2" xfId="23375" xr:uid="{00000000-0005-0000-0000-00001E080000}"/>
    <cellStyle name="20% - Accent2 18 6" xfId="17891" xr:uid="{00000000-0005-0000-0000-00001F080000}"/>
    <cellStyle name="20% - Accent2 19" xfId="572" xr:uid="{00000000-0005-0000-0000-000020080000}"/>
    <cellStyle name="20% - Accent2 19 2" xfId="573" xr:uid="{00000000-0005-0000-0000-000021080000}"/>
    <cellStyle name="20% - Accent2 19 2 2" xfId="11711" xr:uid="{00000000-0005-0000-0000-000022080000}"/>
    <cellStyle name="20% - Accent2 19 2 2 2" xfId="25431" xr:uid="{00000000-0005-0000-0000-000023080000}"/>
    <cellStyle name="20% - Accent2 19 2 3" xfId="17896" xr:uid="{00000000-0005-0000-0000-000024080000}"/>
    <cellStyle name="20% - Accent2 19 3" xfId="574" xr:uid="{00000000-0005-0000-0000-000025080000}"/>
    <cellStyle name="20% - Accent2 19 3 2" xfId="12630" xr:uid="{00000000-0005-0000-0000-000026080000}"/>
    <cellStyle name="20% - Accent2 19 3 2 2" xfId="26342" xr:uid="{00000000-0005-0000-0000-000027080000}"/>
    <cellStyle name="20% - Accent2 19 3 3" xfId="17897" xr:uid="{00000000-0005-0000-0000-000028080000}"/>
    <cellStyle name="20% - Accent2 19 4" xfId="575" xr:uid="{00000000-0005-0000-0000-000029080000}"/>
    <cellStyle name="20% - Accent2 19 4 2" xfId="14655" xr:uid="{00000000-0005-0000-0000-00002A080000}"/>
    <cellStyle name="20% - Accent2 19 4 2 2" xfId="28204" xr:uid="{00000000-0005-0000-0000-00002B080000}"/>
    <cellStyle name="20% - Accent2 19 4 3" xfId="17898" xr:uid="{00000000-0005-0000-0000-00002C080000}"/>
    <cellStyle name="20% - Accent2 19 5" xfId="10463" xr:uid="{00000000-0005-0000-0000-00002D080000}"/>
    <cellStyle name="20% - Accent2 19 5 2" xfId="24422" xr:uid="{00000000-0005-0000-0000-00002E080000}"/>
    <cellStyle name="20% - Accent2 19 6" xfId="17895" xr:uid="{00000000-0005-0000-0000-00002F080000}"/>
    <cellStyle name="20% - Accent2 2" xfId="576" xr:uid="{00000000-0005-0000-0000-000030080000}"/>
    <cellStyle name="20% - Accent2 2 10" xfId="577" xr:uid="{00000000-0005-0000-0000-000031080000}"/>
    <cellStyle name="20% - Accent2 2 10 2" xfId="578" xr:uid="{00000000-0005-0000-0000-000032080000}"/>
    <cellStyle name="20% - Accent2 2 10 2 2" xfId="14657" xr:uid="{00000000-0005-0000-0000-000033080000}"/>
    <cellStyle name="20% - Accent2 2 10 2 2 2" xfId="28206" xr:uid="{00000000-0005-0000-0000-000034080000}"/>
    <cellStyle name="20% - Accent2 2 10 2 3" xfId="17901" xr:uid="{00000000-0005-0000-0000-000035080000}"/>
    <cellStyle name="20% - Accent2 2 10 3" xfId="11838" xr:uid="{00000000-0005-0000-0000-000036080000}"/>
    <cellStyle name="20% - Accent2 2 10 3 2" xfId="25553" xr:uid="{00000000-0005-0000-0000-000037080000}"/>
    <cellStyle name="20% - Accent2 2 10 4" xfId="17900" xr:uid="{00000000-0005-0000-0000-000038080000}"/>
    <cellStyle name="20% - Accent2 2 11" xfId="579" xr:uid="{00000000-0005-0000-0000-000039080000}"/>
    <cellStyle name="20% - Accent2 2 11 2" xfId="11764" xr:uid="{00000000-0005-0000-0000-00003A080000}"/>
    <cellStyle name="20% - Accent2 2 11 2 2" xfId="25479" xr:uid="{00000000-0005-0000-0000-00003B080000}"/>
    <cellStyle name="20% - Accent2 2 11 3" xfId="17902" xr:uid="{00000000-0005-0000-0000-00003C080000}"/>
    <cellStyle name="20% - Accent2 2 12" xfId="580" xr:uid="{00000000-0005-0000-0000-00003D080000}"/>
    <cellStyle name="20% - Accent2 2 12 2" xfId="13437" xr:uid="{00000000-0005-0000-0000-00003E080000}"/>
    <cellStyle name="20% - Accent2 2 12 2 2" xfId="26986" xr:uid="{00000000-0005-0000-0000-00003F080000}"/>
    <cellStyle name="20% - Accent2 2 12 3" xfId="17903" xr:uid="{00000000-0005-0000-0000-000040080000}"/>
    <cellStyle name="20% - Accent2 2 13" xfId="581" xr:uid="{00000000-0005-0000-0000-000041080000}"/>
    <cellStyle name="20% - Accent2 2 13 2" xfId="14018" xr:uid="{00000000-0005-0000-0000-000042080000}"/>
    <cellStyle name="20% - Accent2 2 13 2 2" xfId="27567" xr:uid="{00000000-0005-0000-0000-000043080000}"/>
    <cellStyle name="20% - Accent2 2 13 3" xfId="17904" xr:uid="{00000000-0005-0000-0000-000044080000}"/>
    <cellStyle name="20% - Accent2 2 14" xfId="582" xr:uid="{00000000-0005-0000-0000-000045080000}"/>
    <cellStyle name="20% - Accent2 2 14 2" xfId="14656" xr:uid="{00000000-0005-0000-0000-000046080000}"/>
    <cellStyle name="20% - Accent2 2 14 2 2" xfId="28205" xr:uid="{00000000-0005-0000-0000-000047080000}"/>
    <cellStyle name="20% - Accent2 2 14 3" xfId="17905" xr:uid="{00000000-0005-0000-0000-000048080000}"/>
    <cellStyle name="20% - Accent2 2 15" xfId="583" xr:uid="{00000000-0005-0000-0000-000049080000}"/>
    <cellStyle name="20% - Accent2 2 15 2" xfId="15904" xr:uid="{00000000-0005-0000-0000-00004A080000}"/>
    <cellStyle name="20% - Accent2 2 15 2 2" xfId="29311" xr:uid="{00000000-0005-0000-0000-00004B080000}"/>
    <cellStyle name="20% - Accent2 2 15 3" xfId="17906" xr:uid="{00000000-0005-0000-0000-00004C080000}"/>
    <cellStyle name="20% - Accent2 2 16" xfId="8901" xr:uid="{00000000-0005-0000-0000-00004D080000}"/>
    <cellStyle name="20% - Accent2 2 16 2" xfId="23376" xr:uid="{00000000-0005-0000-0000-00004E080000}"/>
    <cellStyle name="20% - Accent2 2 17" xfId="17899" xr:uid="{00000000-0005-0000-0000-00004F080000}"/>
    <cellStyle name="20% - Accent2 2 18" xfId="33066" xr:uid="{00000000-0005-0000-0000-000050080000}"/>
    <cellStyle name="20% - Accent2 2 2" xfId="584" xr:uid="{00000000-0005-0000-0000-000051080000}"/>
    <cellStyle name="20% - Accent2 2 2 10" xfId="585" xr:uid="{00000000-0005-0000-0000-000052080000}"/>
    <cellStyle name="20% - Accent2 2 2 10 2" xfId="14658" xr:uid="{00000000-0005-0000-0000-000053080000}"/>
    <cellStyle name="20% - Accent2 2 2 10 2 2" xfId="28207" xr:uid="{00000000-0005-0000-0000-000054080000}"/>
    <cellStyle name="20% - Accent2 2 2 10 3" xfId="17908" xr:uid="{00000000-0005-0000-0000-000055080000}"/>
    <cellStyle name="20% - Accent2 2 2 11" xfId="586" xr:uid="{00000000-0005-0000-0000-000056080000}"/>
    <cellStyle name="20% - Accent2 2 2 11 2" xfId="15950" xr:uid="{00000000-0005-0000-0000-000057080000}"/>
    <cellStyle name="20% - Accent2 2 2 11 2 2" xfId="29357" xr:uid="{00000000-0005-0000-0000-000058080000}"/>
    <cellStyle name="20% - Accent2 2 2 11 3" xfId="17909" xr:uid="{00000000-0005-0000-0000-000059080000}"/>
    <cellStyle name="20% - Accent2 2 2 12" xfId="8902" xr:uid="{00000000-0005-0000-0000-00005A080000}"/>
    <cellStyle name="20% - Accent2 2 2 12 2" xfId="23377" xr:uid="{00000000-0005-0000-0000-00005B080000}"/>
    <cellStyle name="20% - Accent2 2 2 13" xfId="17907" xr:uid="{00000000-0005-0000-0000-00005C080000}"/>
    <cellStyle name="20% - Accent2 2 2 2" xfId="587" xr:uid="{00000000-0005-0000-0000-00005D080000}"/>
    <cellStyle name="20% - Accent2 2 2 2 10" xfId="588" xr:uid="{00000000-0005-0000-0000-00005E080000}"/>
    <cellStyle name="20% - Accent2 2 2 2 10 2" xfId="16093" xr:uid="{00000000-0005-0000-0000-00005F080000}"/>
    <cellStyle name="20% - Accent2 2 2 2 10 2 2" xfId="29500" xr:uid="{00000000-0005-0000-0000-000060080000}"/>
    <cellStyle name="20% - Accent2 2 2 2 10 3" xfId="17911" xr:uid="{00000000-0005-0000-0000-000061080000}"/>
    <cellStyle name="20% - Accent2 2 2 2 11" xfId="8903" xr:uid="{00000000-0005-0000-0000-000062080000}"/>
    <cellStyle name="20% - Accent2 2 2 2 11 2" xfId="23378" xr:uid="{00000000-0005-0000-0000-000063080000}"/>
    <cellStyle name="20% - Accent2 2 2 2 12" xfId="17910" xr:uid="{00000000-0005-0000-0000-000064080000}"/>
    <cellStyle name="20% - Accent2 2 2 2 2" xfId="589" xr:uid="{00000000-0005-0000-0000-000065080000}"/>
    <cellStyle name="20% - Accent2 2 2 2 2 10" xfId="8904" xr:uid="{00000000-0005-0000-0000-000066080000}"/>
    <cellStyle name="20% - Accent2 2 2 2 2 10 2" xfId="23379" xr:uid="{00000000-0005-0000-0000-000067080000}"/>
    <cellStyle name="20% - Accent2 2 2 2 2 11" xfId="17912" xr:uid="{00000000-0005-0000-0000-000068080000}"/>
    <cellStyle name="20% - Accent2 2 2 2 2 2" xfId="590" xr:uid="{00000000-0005-0000-0000-000069080000}"/>
    <cellStyle name="20% - Accent2 2 2 2 2 2 2" xfId="591" xr:uid="{00000000-0005-0000-0000-00006A080000}"/>
    <cellStyle name="20% - Accent2 2 2 2 2 2 2 2" xfId="10630" xr:uid="{00000000-0005-0000-0000-00006B080000}"/>
    <cellStyle name="20% - Accent2 2 2 2 2 2 2 2 2" xfId="24572" xr:uid="{00000000-0005-0000-0000-00006C080000}"/>
    <cellStyle name="20% - Accent2 2 2 2 2 2 2 3" xfId="17914" xr:uid="{00000000-0005-0000-0000-00006D080000}"/>
    <cellStyle name="20% - Accent2 2 2 2 2 2 3" xfId="592" xr:uid="{00000000-0005-0000-0000-00006E080000}"/>
    <cellStyle name="20% - Accent2 2 2 2 2 2 3 2" xfId="12662" xr:uid="{00000000-0005-0000-0000-00006F080000}"/>
    <cellStyle name="20% - Accent2 2 2 2 2 2 3 2 2" xfId="26374" xr:uid="{00000000-0005-0000-0000-000070080000}"/>
    <cellStyle name="20% - Accent2 2 2 2 2 2 3 3" xfId="17915" xr:uid="{00000000-0005-0000-0000-000071080000}"/>
    <cellStyle name="20% - Accent2 2 2 2 2 2 4" xfId="593" xr:uid="{00000000-0005-0000-0000-000072080000}"/>
    <cellStyle name="20% - Accent2 2 2 2 2 2 4 2" xfId="14661" xr:uid="{00000000-0005-0000-0000-000073080000}"/>
    <cellStyle name="20% - Accent2 2 2 2 2 2 4 2 2" xfId="28210" xr:uid="{00000000-0005-0000-0000-000074080000}"/>
    <cellStyle name="20% - Accent2 2 2 2 2 2 4 3" xfId="17916" xr:uid="{00000000-0005-0000-0000-000075080000}"/>
    <cellStyle name="20% - Accent2 2 2 2 2 2 5" xfId="594" xr:uid="{00000000-0005-0000-0000-000076080000}"/>
    <cellStyle name="20% - Accent2 2 2 2 2 2 5 2" xfId="16963" xr:uid="{00000000-0005-0000-0000-000077080000}"/>
    <cellStyle name="20% - Accent2 2 2 2 2 2 5 2 2" xfId="30370" xr:uid="{00000000-0005-0000-0000-000078080000}"/>
    <cellStyle name="20% - Accent2 2 2 2 2 2 5 3" xfId="17917" xr:uid="{00000000-0005-0000-0000-000079080000}"/>
    <cellStyle name="20% - Accent2 2 2 2 2 2 6" xfId="8905" xr:uid="{00000000-0005-0000-0000-00007A080000}"/>
    <cellStyle name="20% - Accent2 2 2 2 2 2 6 2" xfId="23380" xr:uid="{00000000-0005-0000-0000-00007B080000}"/>
    <cellStyle name="20% - Accent2 2 2 2 2 2 7" xfId="17913" xr:uid="{00000000-0005-0000-0000-00007C080000}"/>
    <cellStyle name="20% - Accent2 2 2 2 2 3" xfId="595" xr:uid="{00000000-0005-0000-0000-00007D080000}"/>
    <cellStyle name="20% - Accent2 2 2 2 2 3 2" xfId="596" xr:uid="{00000000-0005-0000-0000-00007E080000}"/>
    <cellStyle name="20% - Accent2 2 2 2 2 3 2 2" xfId="14662" xr:uid="{00000000-0005-0000-0000-00007F080000}"/>
    <cellStyle name="20% - Accent2 2 2 2 2 3 2 2 2" xfId="28211" xr:uid="{00000000-0005-0000-0000-000080080000}"/>
    <cellStyle name="20% - Accent2 2 2 2 2 3 2 3" xfId="17919" xr:uid="{00000000-0005-0000-0000-000081080000}"/>
    <cellStyle name="20% - Accent2 2 2 2 2 3 3" xfId="10629" xr:uid="{00000000-0005-0000-0000-000082080000}"/>
    <cellStyle name="20% - Accent2 2 2 2 2 3 3 2" xfId="24571" xr:uid="{00000000-0005-0000-0000-000083080000}"/>
    <cellStyle name="20% - Accent2 2 2 2 2 3 4" xfId="17918" xr:uid="{00000000-0005-0000-0000-000084080000}"/>
    <cellStyle name="20% - Accent2 2 2 2 2 4" xfId="597" xr:uid="{00000000-0005-0000-0000-000085080000}"/>
    <cellStyle name="20% - Accent2 2 2 2 2 4 2" xfId="12351" xr:uid="{00000000-0005-0000-0000-000086080000}"/>
    <cellStyle name="20% - Accent2 2 2 2 2 4 2 2" xfId="26063" xr:uid="{00000000-0005-0000-0000-000087080000}"/>
    <cellStyle name="20% - Accent2 2 2 2 2 4 3" xfId="17920" xr:uid="{00000000-0005-0000-0000-000088080000}"/>
    <cellStyle name="20% - Accent2 2 2 2 2 5" xfId="598" xr:uid="{00000000-0005-0000-0000-000089080000}"/>
    <cellStyle name="20% - Accent2 2 2 2 2 5 2" xfId="12790" xr:uid="{00000000-0005-0000-0000-00008A080000}"/>
    <cellStyle name="20% - Accent2 2 2 2 2 5 2 2" xfId="26502" xr:uid="{00000000-0005-0000-0000-00008B080000}"/>
    <cellStyle name="20% - Accent2 2 2 2 2 5 3" xfId="17921" xr:uid="{00000000-0005-0000-0000-00008C080000}"/>
    <cellStyle name="20% - Accent2 2 2 2 2 6" xfId="599" xr:uid="{00000000-0005-0000-0000-00008D080000}"/>
    <cellStyle name="20% - Accent2 2 2 2 2 6 2" xfId="13915" xr:uid="{00000000-0005-0000-0000-00008E080000}"/>
    <cellStyle name="20% - Accent2 2 2 2 2 6 2 2" xfId="27464" xr:uid="{00000000-0005-0000-0000-00008F080000}"/>
    <cellStyle name="20% - Accent2 2 2 2 2 6 3" xfId="17922" xr:uid="{00000000-0005-0000-0000-000090080000}"/>
    <cellStyle name="20% - Accent2 2 2 2 2 7" xfId="600" xr:uid="{00000000-0005-0000-0000-000091080000}"/>
    <cellStyle name="20% - Accent2 2 2 2 2 7 2" xfId="14496" xr:uid="{00000000-0005-0000-0000-000092080000}"/>
    <cellStyle name="20% - Accent2 2 2 2 2 7 2 2" xfId="28045" xr:uid="{00000000-0005-0000-0000-000093080000}"/>
    <cellStyle name="20% - Accent2 2 2 2 2 7 3" xfId="17923" xr:uid="{00000000-0005-0000-0000-000094080000}"/>
    <cellStyle name="20% - Accent2 2 2 2 2 8" xfId="601" xr:uid="{00000000-0005-0000-0000-000095080000}"/>
    <cellStyle name="20% - Accent2 2 2 2 2 8 2" xfId="14660" xr:uid="{00000000-0005-0000-0000-000096080000}"/>
    <cellStyle name="20% - Accent2 2 2 2 2 8 2 2" xfId="28209" xr:uid="{00000000-0005-0000-0000-000097080000}"/>
    <cellStyle name="20% - Accent2 2 2 2 2 8 3" xfId="17924" xr:uid="{00000000-0005-0000-0000-000098080000}"/>
    <cellStyle name="20% - Accent2 2 2 2 2 9" xfId="602" xr:uid="{00000000-0005-0000-0000-000099080000}"/>
    <cellStyle name="20% - Accent2 2 2 2 2 9 2" xfId="16382" xr:uid="{00000000-0005-0000-0000-00009A080000}"/>
    <cellStyle name="20% - Accent2 2 2 2 2 9 2 2" xfId="29789" xr:uid="{00000000-0005-0000-0000-00009B080000}"/>
    <cellStyle name="20% - Accent2 2 2 2 2 9 3" xfId="17925" xr:uid="{00000000-0005-0000-0000-00009C080000}"/>
    <cellStyle name="20% - Accent2 2 2 2 3" xfId="603" xr:uid="{00000000-0005-0000-0000-00009D080000}"/>
    <cellStyle name="20% - Accent2 2 2 2 3 2" xfId="604" xr:uid="{00000000-0005-0000-0000-00009E080000}"/>
    <cellStyle name="20% - Accent2 2 2 2 3 2 2" xfId="10631" xr:uid="{00000000-0005-0000-0000-00009F080000}"/>
    <cellStyle name="20% - Accent2 2 2 2 3 2 2 2" xfId="24573" xr:uid="{00000000-0005-0000-0000-0000A0080000}"/>
    <cellStyle name="20% - Accent2 2 2 2 3 2 3" xfId="17927" xr:uid="{00000000-0005-0000-0000-0000A1080000}"/>
    <cellStyle name="20% - Accent2 2 2 2 3 3" xfId="605" xr:uid="{00000000-0005-0000-0000-0000A2080000}"/>
    <cellStyle name="20% - Accent2 2 2 2 3 3 2" xfId="12557" xr:uid="{00000000-0005-0000-0000-0000A3080000}"/>
    <cellStyle name="20% - Accent2 2 2 2 3 3 2 2" xfId="26269" xr:uid="{00000000-0005-0000-0000-0000A4080000}"/>
    <cellStyle name="20% - Accent2 2 2 2 3 3 3" xfId="17928" xr:uid="{00000000-0005-0000-0000-0000A5080000}"/>
    <cellStyle name="20% - Accent2 2 2 2 3 4" xfId="606" xr:uid="{00000000-0005-0000-0000-0000A6080000}"/>
    <cellStyle name="20% - Accent2 2 2 2 3 4 2" xfId="14663" xr:uid="{00000000-0005-0000-0000-0000A7080000}"/>
    <cellStyle name="20% - Accent2 2 2 2 3 4 2 2" xfId="28212" xr:uid="{00000000-0005-0000-0000-0000A8080000}"/>
    <cellStyle name="20% - Accent2 2 2 2 3 4 3" xfId="17929" xr:uid="{00000000-0005-0000-0000-0000A9080000}"/>
    <cellStyle name="20% - Accent2 2 2 2 3 5" xfId="607" xr:uid="{00000000-0005-0000-0000-0000AA080000}"/>
    <cellStyle name="20% - Accent2 2 2 2 3 5 2" xfId="16674" xr:uid="{00000000-0005-0000-0000-0000AB080000}"/>
    <cellStyle name="20% - Accent2 2 2 2 3 5 2 2" xfId="30081" xr:uid="{00000000-0005-0000-0000-0000AC080000}"/>
    <cellStyle name="20% - Accent2 2 2 2 3 5 3" xfId="17930" xr:uid="{00000000-0005-0000-0000-0000AD080000}"/>
    <cellStyle name="20% - Accent2 2 2 2 3 6" xfId="8906" xr:uid="{00000000-0005-0000-0000-0000AE080000}"/>
    <cellStyle name="20% - Accent2 2 2 2 3 6 2" xfId="23381" xr:uid="{00000000-0005-0000-0000-0000AF080000}"/>
    <cellStyle name="20% - Accent2 2 2 2 3 7" xfId="17926" xr:uid="{00000000-0005-0000-0000-0000B0080000}"/>
    <cellStyle name="20% - Accent2 2 2 2 4" xfId="608" xr:uid="{00000000-0005-0000-0000-0000B1080000}"/>
    <cellStyle name="20% - Accent2 2 2 2 4 2" xfId="609" xr:uid="{00000000-0005-0000-0000-0000B2080000}"/>
    <cellStyle name="20% - Accent2 2 2 2 4 2 2" xfId="14664" xr:uid="{00000000-0005-0000-0000-0000B3080000}"/>
    <cellStyle name="20% - Accent2 2 2 2 4 2 2 2" xfId="28213" xr:uid="{00000000-0005-0000-0000-0000B4080000}"/>
    <cellStyle name="20% - Accent2 2 2 2 4 2 3" xfId="17932" xr:uid="{00000000-0005-0000-0000-0000B5080000}"/>
    <cellStyle name="20% - Accent2 2 2 2 4 3" xfId="10628" xr:uid="{00000000-0005-0000-0000-0000B6080000}"/>
    <cellStyle name="20% - Accent2 2 2 2 4 3 2" xfId="24570" xr:uid="{00000000-0005-0000-0000-0000B7080000}"/>
    <cellStyle name="20% - Accent2 2 2 2 4 4" xfId="17931" xr:uid="{00000000-0005-0000-0000-0000B8080000}"/>
    <cellStyle name="20% - Accent2 2 2 2 5" xfId="610" xr:uid="{00000000-0005-0000-0000-0000B9080000}"/>
    <cellStyle name="20% - Accent2 2 2 2 5 2" xfId="12051" xr:uid="{00000000-0005-0000-0000-0000BA080000}"/>
    <cellStyle name="20% - Accent2 2 2 2 5 2 2" xfId="25766" xr:uid="{00000000-0005-0000-0000-0000BB080000}"/>
    <cellStyle name="20% - Accent2 2 2 2 5 3" xfId="17933" xr:uid="{00000000-0005-0000-0000-0000BC080000}"/>
    <cellStyle name="20% - Accent2 2 2 2 6" xfId="611" xr:uid="{00000000-0005-0000-0000-0000BD080000}"/>
    <cellStyle name="20% - Accent2 2 2 2 6 2" xfId="12760" xr:uid="{00000000-0005-0000-0000-0000BE080000}"/>
    <cellStyle name="20% - Accent2 2 2 2 6 2 2" xfId="26472" xr:uid="{00000000-0005-0000-0000-0000BF080000}"/>
    <cellStyle name="20% - Accent2 2 2 2 6 3" xfId="17934" xr:uid="{00000000-0005-0000-0000-0000C0080000}"/>
    <cellStyle name="20% - Accent2 2 2 2 7" xfId="612" xr:uid="{00000000-0005-0000-0000-0000C1080000}"/>
    <cellStyle name="20% - Accent2 2 2 2 7 2" xfId="13626" xr:uid="{00000000-0005-0000-0000-0000C2080000}"/>
    <cellStyle name="20% - Accent2 2 2 2 7 2 2" xfId="27175" xr:uid="{00000000-0005-0000-0000-0000C3080000}"/>
    <cellStyle name="20% - Accent2 2 2 2 7 3" xfId="17935" xr:uid="{00000000-0005-0000-0000-0000C4080000}"/>
    <cellStyle name="20% - Accent2 2 2 2 8" xfId="613" xr:uid="{00000000-0005-0000-0000-0000C5080000}"/>
    <cellStyle name="20% - Accent2 2 2 2 8 2" xfId="14207" xr:uid="{00000000-0005-0000-0000-0000C6080000}"/>
    <cellStyle name="20% - Accent2 2 2 2 8 2 2" xfId="27756" xr:uid="{00000000-0005-0000-0000-0000C7080000}"/>
    <cellStyle name="20% - Accent2 2 2 2 8 3" xfId="17936" xr:uid="{00000000-0005-0000-0000-0000C8080000}"/>
    <cellStyle name="20% - Accent2 2 2 2 9" xfId="614" xr:uid="{00000000-0005-0000-0000-0000C9080000}"/>
    <cellStyle name="20% - Accent2 2 2 2 9 2" xfId="14659" xr:uid="{00000000-0005-0000-0000-0000CA080000}"/>
    <cellStyle name="20% - Accent2 2 2 2 9 2 2" xfId="28208" xr:uid="{00000000-0005-0000-0000-0000CB080000}"/>
    <cellStyle name="20% - Accent2 2 2 2 9 3" xfId="17937" xr:uid="{00000000-0005-0000-0000-0000CC080000}"/>
    <cellStyle name="20% - Accent2 2 2 3" xfId="615" xr:uid="{00000000-0005-0000-0000-0000CD080000}"/>
    <cellStyle name="20% - Accent2 2 2 3 10" xfId="8907" xr:uid="{00000000-0005-0000-0000-0000CE080000}"/>
    <cellStyle name="20% - Accent2 2 2 3 10 2" xfId="23382" xr:uid="{00000000-0005-0000-0000-0000CF080000}"/>
    <cellStyle name="20% - Accent2 2 2 3 11" xfId="17938" xr:uid="{00000000-0005-0000-0000-0000D0080000}"/>
    <cellStyle name="20% - Accent2 2 2 3 2" xfId="616" xr:uid="{00000000-0005-0000-0000-0000D1080000}"/>
    <cellStyle name="20% - Accent2 2 2 3 2 2" xfId="617" xr:uid="{00000000-0005-0000-0000-0000D2080000}"/>
    <cellStyle name="20% - Accent2 2 2 3 2 2 2" xfId="10633" xr:uid="{00000000-0005-0000-0000-0000D3080000}"/>
    <cellStyle name="20% - Accent2 2 2 3 2 2 2 2" xfId="24575" xr:uid="{00000000-0005-0000-0000-0000D4080000}"/>
    <cellStyle name="20% - Accent2 2 2 3 2 2 3" xfId="17940" xr:uid="{00000000-0005-0000-0000-0000D5080000}"/>
    <cellStyle name="20% - Accent2 2 2 3 2 3" xfId="618" xr:uid="{00000000-0005-0000-0000-0000D6080000}"/>
    <cellStyle name="20% - Accent2 2 2 3 2 3 2" xfId="12749" xr:uid="{00000000-0005-0000-0000-0000D7080000}"/>
    <cellStyle name="20% - Accent2 2 2 3 2 3 2 2" xfId="26461" xr:uid="{00000000-0005-0000-0000-0000D8080000}"/>
    <cellStyle name="20% - Accent2 2 2 3 2 3 3" xfId="17941" xr:uid="{00000000-0005-0000-0000-0000D9080000}"/>
    <cellStyle name="20% - Accent2 2 2 3 2 4" xfId="619" xr:uid="{00000000-0005-0000-0000-0000DA080000}"/>
    <cellStyle name="20% - Accent2 2 2 3 2 4 2" xfId="14666" xr:uid="{00000000-0005-0000-0000-0000DB080000}"/>
    <cellStyle name="20% - Accent2 2 2 3 2 4 2 2" xfId="28215" xr:uid="{00000000-0005-0000-0000-0000DC080000}"/>
    <cellStyle name="20% - Accent2 2 2 3 2 4 3" xfId="17942" xr:uid="{00000000-0005-0000-0000-0000DD080000}"/>
    <cellStyle name="20% - Accent2 2 2 3 2 5" xfId="620" xr:uid="{00000000-0005-0000-0000-0000DE080000}"/>
    <cellStyle name="20% - Accent2 2 2 3 2 5 2" xfId="16820" xr:uid="{00000000-0005-0000-0000-0000DF080000}"/>
    <cellStyle name="20% - Accent2 2 2 3 2 5 2 2" xfId="30227" xr:uid="{00000000-0005-0000-0000-0000E0080000}"/>
    <cellStyle name="20% - Accent2 2 2 3 2 5 3" xfId="17943" xr:uid="{00000000-0005-0000-0000-0000E1080000}"/>
    <cellStyle name="20% - Accent2 2 2 3 2 6" xfId="8908" xr:uid="{00000000-0005-0000-0000-0000E2080000}"/>
    <cellStyle name="20% - Accent2 2 2 3 2 6 2" xfId="23383" xr:uid="{00000000-0005-0000-0000-0000E3080000}"/>
    <cellStyle name="20% - Accent2 2 2 3 2 7" xfId="17939" xr:uid="{00000000-0005-0000-0000-0000E4080000}"/>
    <cellStyle name="20% - Accent2 2 2 3 3" xfId="621" xr:uid="{00000000-0005-0000-0000-0000E5080000}"/>
    <cellStyle name="20% - Accent2 2 2 3 3 2" xfId="622" xr:uid="{00000000-0005-0000-0000-0000E6080000}"/>
    <cellStyle name="20% - Accent2 2 2 3 3 2 2" xfId="14667" xr:uid="{00000000-0005-0000-0000-0000E7080000}"/>
    <cellStyle name="20% - Accent2 2 2 3 3 2 2 2" xfId="28216" xr:uid="{00000000-0005-0000-0000-0000E8080000}"/>
    <cellStyle name="20% - Accent2 2 2 3 3 2 3" xfId="17945" xr:uid="{00000000-0005-0000-0000-0000E9080000}"/>
    <cellStyle name="20% - Accent2 2 2 3 3 3" xfId="10632" xr:uid="{00000000-0005-0000-0000-0000EA080000}"/>
    <cellStyle name="20% - Accent2 2 2 3 3 3 2" xfId="24574" xr:uid="{00000000-0005-0000-0000-0000EB080000}"/>
    <cellStyle name="20% - Accent2 2 2 3 3 4" xfId="17944" xr:uid="{00000000-0005-0000-0000-0000EC080000}"/>
    <cellStyle name="20% - Accent2 2 2 3 4" xfId="623" xr:uid="{00000000-0005-0000-0000-0000ED080000}"/>
    <cellStyle name="20% - Accent2 2 2 3 4 2" xfId="12208" xr:uid="{00000000-0005-0000-0000-0000EE080000}"/>
    <cellStyle name="20% - Accent2 2 2 3 4 2 2" xfId="25920" xr:uid="{00000000-0005-0000-0000-0000EF080000}"/>
    <cellStyle name="20% - Accent2 2 2 3 4 3" xfId="17946" xr:uid="{00000000-0005-0000-0000-0000F0080000}"/>
    <cellStyle name="20% - Accent2 2 2 3 5" xfId="624" xr:uid="{00000000-0005-0000-0000-0000F1080000}"/>
    <cellStyle name="20% - Accent2 2 2 3 5 2" xfId="12663" xr:uid="{00000000-0005-0000-0000-0000F2080000}"/>
    <cellStyle name="20% - Accent2 2 2 3 5 2 2" xfId="26375" xr:uid="{00000000-0005-0000-0000-0000F3080000}"/>
    <cellStyle name="20% - Accent2 2 2 3 5 3" xfId="17947" xr:uid="{00000000-0005-0000-0000-0000F4080000}"/>
    <cellStyle name="20% - Accent2 2 2 3 6" xfId="625" xr:uid="{00000000-0005-0000-0000-0000F5080000}"/>
    <cellStyle name="20% - Accent2 2 2 3 6 2" xfId="13772" xr:uid="{00000000-0005-0000-0000-0000F6080000}"/>
    <cellStyle name="20% - Accent2 2 2 3 6 2 2" xfId="27321" xr:uid="{00000000-0005-0000-0000-0000F7080000}"/>
    <cellStyle name="20% - Accent2 2 2 3 6 3" xfId="17948" xr:uid="{00000000-0005-0000-0000-0000F8080000}"/>
    <cellStyle name="20% - Accent2 2 2 3 7" xfId="626" xr:uid="{00000000-0005-0000-0000-0000F9080000}"/>
    <cellStyle name="20% - Accent2 2 2 3 7 2" xfId="14353" xr:uid="{00000000-0005-0000-0000-0000FA080000}"/>
    <cellStyle name="20% - Accent2 2 2 3 7 2 2" xfId="27902" xr:uid="{00000000-0005-0000-0000-0000FB080000}"/>
    <cellStyle name="20% - Accent2 2 2 3 7 3" xfId="17949" xr:uid="{00000000-0005-0000-0000-0000FC080000}"/>
    <cellStyle name="20% - Accent2 2 2 3 8" xfId="627" xr:uid="{00000000-0005-0000-0000-0000FD080000}"/>
    <cellStyle name="20% - Accent2 2 2 3 8 2" xfId="14665" xr:uid="{00000000-0005-0000-0000-0000FE080000}"/>
    <cellStyle name="20% - Accent2 2 2 3 8 2 2" xfId="28214" xr:uid="{00000000-0005-0000-0000-0000FF080000}"/>
    <cellStyle name="20% - Accent2 2 2 3 8 3" xfId="17950" xr:uid="{00000000-0005-0000-0000-000000090000}"/>
    <cellStyle name="20% - Accent2 2 2 3 9" xfId="628" xr:uid="{00000000-0005-0000-0000-000001090000}"/>
    <cellStyle name="20% - Accent2 2 2 3 9 2" xfId="16239" xr:uid="{00000000-0005-0000-0000-000002090000}"/>
    <cellStyle name="20% - Accent2 2 2 3 9 2 2" xfId="29646" xr:uid="{00000000-0005-0000-0000-000003090000}"/>
    <cellStyle name="20% - Accent2 2 2 3 9 3" xfId="17951" xr:uid="{00000000-0005-0000-0000-000004090000}"/>
    <cellStyle name="20% - Accent2 2 2 4" xfId="629" xr:uid="{00000000-0005-0000-0000-000005090000}"/>
    <cellStyle name="20% - Accent2 2 2 4 2" xfId="630" xr:uid="{00000000-0005-0000-0000-000006090000}"/>
    <cellStyle name="20% - Accent2 2 2 4 2 2" xfId="10634" xr:uid="{00000000-0005-0000-0000-000007090000}"/>
    <cellStyle name="20% - Accent2 2 2 4 2 2 2" xfId="24576" xr:uid="{00000000-0005-0000-0000-000008090000}"/>
    <cellStyle name="20% - Accent2 2 2 4 2 3" xfId="17953" xr:uid="{00000000-0005-0000-0000-000009090000}"/>
    <cellStyle name="20% - Accent2 2 2 4 3" xfId="631" xr:uid="{00000000-0005-0000-0000-00000A090000}"/>
    <cellStyle name="20% - Accent2 2 2 4 3 2" xfId="12550" xr:uid="{00000000-0005-0000-0000-00000B090000}"/>
    <cellStyle name="20% - Accent2 2 2 4 3 2 2" xfId="26262" xr:uid="{00000000-0005-0000-0000-00000C090000}"/>
    <cellStyle name="20% - Accent2 2 2 4 3 3" xfId="17954" xr:uid="{00000000-0005-0000-0000-00000D090000}"/>
    <cellStyle name="20% - Accent2 2 2 4 4" xfId="632" xr:uid="{00000000-0005-0000-0000-00000E090000}"/>
    <cellStyle name="20% - Accent2 2 2 4 4 2" xfId="14668" xr:uid="{00000000-0005-0000-0000-00000F090000}"/>
    <cellStyle name="20% - Accent2 2 2 4 4 2 2" xfId="28217" xr:uid="{00000000-0005-0000-0000-000010090000}"/>
    <cellStyle name="20% - Accent2 2 2 4 4 3" xfId="17955" xr:uid="{00000000-0005-0000-0000-000011090000}"/>
    <cellStyle name="20% - Accent2 2 2 4 5" xfId="633" xr:uid="{00000000-0005-0000-0000-000012090000}"/>
    <cellStyle name="20% - Accent2 2 2 4 5 2" xfId="17167" xr:uid="{00000000-0005-0000-0000-000013090000}"/>
    <cellStyle name="20% - Accent2 2 2 4 5 2 2" xfId="30526" xr:uid="{00000000-0005-0000-0000-000014090000}"/>
    <cellStyle name="20% - Accent2 2 2 4 5 3" xfId="17956" xr:uid="{00000000-0005-0000-0000-000015090000}"/>
    <cellStyle name="20% - Accent2 2 2 4 6" xfId="8909" xr:uid="{00000000-0005-0000-0000-000016090000}"/>
    <cellStyle name="20% - Accent2 2 2 4 6 2" xfId="23384" xr:uid="{00000000-0005-0000-0000-000017090000}"/>
    <cellStyle name="20% - Accent2 2 2 4 7" xfId="17952" xr:uid="{00000000-0005-0000-0000-000018090000}"/>
    <cellStyle name="20% - Accent2 2 2 5" xfId="634" xr:uid="{00000000-0005-0000-0000-000019090000}"/>
    <cellStyle name="20% - Accent2 2 2 5 2" xfId="635" xr:uid="{00000000-0005-0000-0000-00001A090000}"/>
    <cellStyle name="20% - Accent2 2 2 5 2 2" xfId="14669" xr:uid="{00000000-0005-0000-0000-00001B090000}"/>
    <cellStyle name="20% - Accent2 2 2 5 2 2 2" xfId="28218" xr:uid="{00000000-0005-0000-0000-00001C090000}"/>
    <cellStyle name="20% - Accent2 2 2 5 2 3" xfId="17958" xr:uid="{00000000-0005-0000-0000-00001D090000}"/>
    <cellStyle name="20% - Accent2 2 2 5 3" xfId="636" xr:uid="{00000000-0005-0000-0000-00001E090000}"/>
    <cellStyle name="20% - Accent2 2 2 5 3 2" xfId="17256" xr:uid="{00000000-0005-0000-0000-00001F090000}"/>
    <cellStyle name="20% - Accent2 2 2 5 3 2 2" xfId="30615" xr:uid="{00000000-0005-0000-0000-000020090000}"/>
    <cellStyle name="20% - Accent2 2 2 5 3 3" xfId="17959" xr:uid="{00000000-0005-0000-0000-000021090000}"/>
    <cellStyle name="20% - Accent2 2 2 5 4" xfId="10627" xr:uid="{00000000-0005-0000-0000-000022090000}"/>
    <cellStyle name="20% - Accent2 2 2 5 4 2" xfId="24569" xr:uid="{00000000-0005-0000-0000-000023090000}"/>
    <cellStyle name="20% - Accent2 2 2 5 5" xfId="17957" xr:uid="{00000000-0005-0000-0000-000024090000}"/>
    <cellStyle name="20% - Accent2 2 2 6" xfId="637" xr:uid="{00000000-0005-0000-0000-000025090000}"/>
    <cellStyle name="20% - Accent2 2 2 6 2" xfId="638" xr:uid="{00000000-0005-0000-0000-000026090000}"/>
    <cellStyle name="20% - Accent2 2 2 6 2 2" xfId="16531" xr:uid="{00000000-0005-0000-0000-000027090000}"/>
    <cellStyle name="20% - Accent2 2 2 6 2 2 2" xfId="29938" xr:uid="{00000000-0005-0000-0000-000028090000}"/>
    <cellStyle name="20% - Accent2 2 2 6 2 3" xfId="17961" xr:uid="{00000000-0005-0000-0000-000029090000}"/>
    <cellStyle name="20% - Accent2 2 2 6 3" xfId="11906" xr:uid="{00000000-0005-0000-0000-00002A090000}"/>
    <cellStyle name="20% - Accent2 2 2 6 3 2" xfId="25621" xr:uid="{00000000-0005-0000-0000-00002B090000}"/>
    <cellStyle name="20% - Accent2 2 2 6 4" xfId="17960" xr:uid="{00000000-0005-0000-0000-00002C090000}"/>
    <cellStyle name="20% - Accent2 2 2 7" xfId="639" xr:uid="{00000000-0005-0000-0000-00002D090000}"/>
    <cellStyle name="20% - Accent2 2 2 7 2" xfId="11873" xr:uid="{00000000-0005-0000-0000-00002E090000}"/>
    <cellStyle name="20% - Accent2 2 2 7 2 2" xfId="25588" xr:uid="{00000000-0005-0000-0000-00002F090000}"/>
    <cellStyle name="20% - Accent2 2 2 7 3" xfId="17962" xr:uid="{00000000-0005-0000-0000-000030090000}"/>
    <cellStyle name="20% - Accent2 2 2 8" xfId="640" xr:uid="{00000000-0005-0000-0000-000031090000}"/>
    <cellStyle name="20% - Accent2 2 2 8 2" xfId="13483" xr:uid="{00000000-0005-0000-0000-000032090000}"/>
    <cellStyle name="20% - Accent2 2 2 8 2 2" xfId="27032" xr:uid="{00000000-0005-0000-0000-000033090000}"/>
    <cellStyle name="20% - Accent2 2 2 8 3" xfId="17963" xr:uid="{00000000-0005-0000-0000-000034090000}"/>
    <cellStyle name="20% - Accent2 2 2 9" xfId="641" xr:uid="{00000000-0005-0000-0000-000035090000}"/>
    <cellStyle name="20% - Accent2 2 2 9 2" xfId="14064" xr:uid="{00000000-0005-0000-0000-000036090000}"/>
    <cellStyle name="20% - Accent2 2 2 9 2 2" xfId="27613" xr:uid="{00000000-0005-0000-0000-000037090000}"/>
    <cellStyle name="20% - Accent2 2 2 9 3" xfId="17964" xr:uid="{00000000-0005-0000-0000-000038090000}"/>
    <cellStyle name="20% - Accent2 2 3" xfId="642" xr:uid="{00000000-0005-0000-0000-000039090000}"/>
    <cellStyle name="20% - Accent2 2 3 10" xfId="643" xr:uid="{00000000-0005-0000-0000-00003A090000}"/>
    <cellStyle name="20% - Accent2 2 3 10 2" xfId="16047" xr:uid="{00000000-0005-0000-0000-00003B090000}"/>
    <cellStyle name="20% - Accent2 2 3 10 2 2" xfId="29454" xr:uid="{00000000-0005-0000-0000-00003C090000}"/>
    <cellStyle name="20% - Accent2 2 3 10 3" xfId="17966" xr:uid="{00000000-0005-0000-0000-00003D090000}"/>
    <cellStyle name="20% - Accent2 2 3 11" xfId="8910" xr:uid="{00000000-0005-0000-0000-00003E090000}"/>
    <cellStyle name="20% - Accent2 2 3 11 2" xfId="23385" xr:uid="{00000000-0005-0000-0000-00003F090000}"/>
    <cellStyle name="20% - Accent2 2 3 12" xfId="17965" xr:uid="{00000000-0005-0000-0000-000040090000}"/>
    <cellStyle name="20% - Accent2 2 3 2" xfId="644" xr:uid="{00000000-0005-0000-0000-000041090000}"/>
    <cellStyle name="20% - Accent2 2 3 2 10" xfId="8911" xr:uid="{00000000-0005-0000-0000-000042090000}"/>
    <cellStyle name="20% - Accent2 2 3 2 10 2" xfId="23386" xr:uid="{00000000-0005-0000-0000-000043090000}"/>
    <cellStyle name="20% - Accent2 2 3 2 11" xfId="17967" xr:uid="{00000000-0005-0000-0000-000044090000}"/>
    <cellStyle name="20% - Accent2 2 3 2 2" xfId="645" xr:uid="{00000000-0005-0000-0000-000045090000}"/>
    <cellStyle name="20% - Accent2 2 3 2 2 2" xfId="646" xr:uid="{00000000-0005-0000-0000-000046090000}"/>
    <cellStyle name="20% - Accent2 2 3 2 2 2 2" xfId="10637" xr:uid="{00000000-0005-0000-0000-000047090000}"/>
    <cellStyle name="20% - Accent2 2 3 2 2 2 2 2" xfId="24579" xr:uid="{00000000-0005-0000-0000-000048090000}"/>
    <cellStyle name="20% - Accent2 2 3 2 2 2 3" xfId="17969" xr:uid="{00000000-0005-0000-0000-000049090000}"/>
    <cellStyle name="20% - Accent2 2 3 2 2 3" xfId="647" xr:uid="{00000000-0005-0000-0000-00004A090000}"/>
    <cellStyle name="20% - Accent2 2 3 2 2 3 2" xfId="12647" xr:uid="{00000000-0005-0000-0000-00004B090000}"/>
    <cellStyle name="20% - Accent2 2 3 2 2 3 2 2" xfId="26359" xr:uid="{00000000-0005-0000-0000-00004C090000}"/>
    <cellStyle name="20% - Accent2 2 3 2 2 3 3" xfId="17970" xr:uid="{00000000-0005-0000-0000-00004D090000}"/>
    <cellStyle name="20% - Accent2 2 3 2 2 4" xfId="648" xr:uid="{00000000-0005-0000-0000-00004E090000}"/>
    <cellStyle name="20% - Accent2 2 3 2 2 4 2" xfId="14672" xr:uid="{00000000-0005-0000-0000-00004F090000}"/>
    <cellStyle name="20% - Accent2 2 3 2 2 4 2 2" xfId="28221" xr:uid="{00000000-0005-0000-0000-000050090000}"/>
    <cellStyle name="20% - Accent2 2 3 2 2 4 3" xfId="17971" xr:uid="{00000000-0005-0000-0000-000051090000}"/>
    <cellStyle name="20% - Accent2 2 3 2 2 5" xfId="649" xr:uid="{00000000-0005-0000-0000-000052090000}"/>
    <cellStyle name="20% - Accent2 2 3 2 2 5 2" xfId="16917" xr:uid="{00000000-0005-0000-0000-000053090000}"/>
    <cellStyle name="20% - Accent2 2 3 2 2 5 2 2" xfId="30324" xr:uid="{00000000-0005-0000-0000-000054090000}"/>
    <cellStyle name="20% - Accent2 2 3 2 2 5 3" xfId="17972" xr:uid="{00000000-0005-0000-0000-000055090000}"/>
    <cellStyle name="20% - Accent2 2 3 2 2 6" xfId="8912" xr:uid="{00000000-0005-0000-0000-000056090000}"/>
    <cellStyle name="20% - Accent2 2 3 2 2 6 2" xfId="23387" xr:uid="{00000000-0005-0000-0000-000057090000}"/>
    <cellStyle name="20% - Accent2 2 3 2 2 7" xfId="17968" xr:uid="{00000000-0005-0000-0000-000058090000}"/>
    <cellStyle name="20% - Accent2 2 3 2 3" xfId="650" xr:uid="{00000000-0005-0000-0000-000059090000}"/>
    <cellStyle name="20% - Accent2 2 3 2 3 2" xfId="651" xr:uid="{00000000-0005-0000-0000-00005A090000}"/>
    <cellStyle name="20% - Accent2 2 3 2 3 2 2" xfId="14673" xr:uid="{00000000-0005-0000-0000-00005B090000}"/>
    <cellStyle name="20% - Accent2 2 3 2 3 2 2 2" xfId="28222" xr:uid="{00000000-0005-0000-0000-00005C090000}"/>
    <cellStyle name="20% - Accent2 2 3 2 3 2 3" xfId="17974" xr:uid="{00000000-0005-0000-0000-00005D090000}"/>
    <cellStyle name="20% - Accent2 2 3 2 3 3" xfId="10636" xr:uid="{00000000-0005-0000-0000-00005E090000}"/>
    <cellStyle name="20% - Accent2 2 3 2 3 3 2" xfId="24578" xr:uid="{00000000-0005-0000-0000-00005F090000}"/>
    <cellStyle name="20% - Accent2 2 3 2 3 4" xfId="17973" xr:uid="{00000000-0005-0000-0000-000060090000}"/>
    <cellStyle name="20% - Accent2 2 3 2 4" xfId="652" xr:uid="{00000000-0005-0000-0000-000061090000}"/>
    <cellStyle name="20% - Accent2 2 3 2 4 2" xfId="12305" xr:uid="{00000000-0005-0000-0000-000062090000}"/>
    <cellStyle name="20% - Accent2 2 3 2 4 2 2" xfId="26017" xr:uid="{00000000-0005-0000-0000-000063090000}"/>
    <cellStyle name="20% - Accent2 2 3 2 4 3" xfId="17975" xr:uid="{00000000-0005-0000-0000-000064090000}"/>
    <cellStyle name="20% - Accent2 2 3 2 5" xfId="653" xr:uid="{00000000-0005-0000-0000-000065090000}"/>
    <cellStyle name="20% - Accent2 2 3 2 5 2" xfId="12423" xr:uid="{00000000-0005-0000-0000-000066090000}"/>
    <cellStyle name="20% - Accent2 2 3 2 5 2 2" xfId="26135" xr:uid="{00000000-0005-0000-0000-000067090000}"/>
    <cellStyle name="20% - Accent2 2 3 2 5 3" xfId="17976" xr:uid="{00000000-0005-0000-0000-000068090000}"/>
    <cellStyle name="20% - Accent2 2 3 2 6" xfId="654" xr:uid="{00000000-0005-0000-0000-000069090000}"/>
    <cellStyle name="20% - Accent2 2 3 2 6 2" xfId="13869" xr:uid="{00000000-0005-0000-0000-00006A090000}"/>
    <cellStyle name="20% - Accent2 2 3 2 6 2 2" xfId="27418" xr:uid="{00000000-0005-0000-0000-00006B090000}"/>
    <cellStyle name="20% - Accent2 2 3 2 6 3" xfId="17977" xr:uid="{00000000-0005-0000-0000-00006C090000}"/>
    <cellStyle name="20% - Accent2 2 3 2 7" xfId="655" xr:uid="{00000000-0005-0000-0000-00006D090000}"/>
    <cellStyle name="20% - Accent2 2 3 2 7 2" xfId="14450" xr:uid="{00000000-0005-0000-0000-00006E090000}"/>
    <cellStyle name="20% - Accent2 2 3 2 7 2 2" xfId="27999" xr:uid="{00000000-0005-0000-0000-00006F090000}"/>
    <cellStyle name="20% - Accent2 2 3 2 7 3" xfId="17978" xr:uid="{00000000-0005-0000-0000-000070090000}"/>
    <cellStyle name="20% - Accent2 2 3 2 8" xfId="656" xr:uid="{00000000-0005-0000-0000-000071090000}"/>
    <cellStyle name="20% - Accent2 2 3 2 8 2" xfId="14671" xr:uid="{00000000-0005-0000-0000-000072090000}"/>
    <cellStyle name="20% - Accent2 2 3 2 8 2 2" xfId="28220" xr:uid="{00000000-0005-0000-0000-000073090000}"/>
    <cellStyle name="20% - Accent2 2 3 2 8 3" xfId="17979" xr:uid="{00000000-0005-0000-0000-000074090000}"/>
    <cellStyle name="20% - Accent2 2 3 2 9" xfId="657" xr:uid="{00000000-0005-0000-0000-000075090000}"/>
    <cellStyle name="20% - Accent2 2 3 2 9 2" xfId="16336" xr:uid="{00000000-0005-0000-0000-000076090000}"/>
    <cellStyle name="20% - Accent2 2 3 2 9 2 2" xfId="29743" xr:uid="{00000000-0005-0000-0000-000077090000}"/>
    <cellStyle name="20% - Accent2 2 3 2 9 3" xfId="17980" xr:uid="{00000000-0005-0000-0000-000078090000}"/>
    <cellStyle name="20% - Accent2 2 3 3" xfId="658" xr:uid="{00000000-0005-0000-0000-000079090000}"/>
    <cellStyle name="20% - Accent2 2 3 3 2" xfId="659" xr:uid="{00000000-0005-0000-0000-00007A090000}"/>
    <cellStyle name="20% - Accent2 2 3 3 2 2" xfId="10638" xr:uid="{00000000-0005-0000-0000-00007B090000}"/>
    <cellStyle name="20% - Accent2 2 3 3 2 2 2" xfId="24580" xr:uid="{00000000-0005-0000-0000-00007C090000}"/>
    <cellStyle name="20% - Accent2 2 3 3 2 3" xfId="17982" xr:uid="{00000000-0005-0000-0000-00007D090000}"/>
    <cellStyle name="20% - Accent2 2 3 3 3" xfId="660" xr:uid="{00000000-0005-0000-0000-00007E090000}"/>
    <cellStyle name="20% - Accent2 2 3 3 3 2" xfId="12678" xr:uid="{00000000-0005-0000-0000-00007F090000}"/>
    <cellStyle name="20% - Accent2 2 3 3 3 2 2" xfId="26390" xr:uid="{00000000-0005-0000-0000-000080090000}"/>
    <cellStyle name="20% - Accent2 2 3 3 3 3" xfId="17983" xr:uid="{00000000-0005-0000-0000-000081090000}"/>
    <cellStyle name="20% - Accent2 2 3 3 4" xfId="661" xr:uid="{00000000-0005-0000-0000-000082090000}"/>
    <cellStyle name="20% - Accent2 2 3 3 4 2" xfId="14674" xr:uid="{00000000-0005-0000-0000-000083090000}"/>
    <cellStyle name="20% - Accent2 2 3 3 4 2 2" xfId="28223" xr:uid="{00000000-0005-0000-0000-000084090000}"/>
    <cellStyle name="20% - Accent2 2 3 3 4 3" xfId="17984" xr:uid="{00000000-0005-0000-0000-000085090000}"/>
    <cellStyle name="20% - Accent2 2 3 3 5" xfId="662" xr:uid="{00000000-0005-0000-0000-000086090000}"/>
    <cellStyle name="20% - Accent2 2 3 3 5 2" xfId="16628" xr:uid="{00000000-0005-0000-0000-000087090000}"/>
    <cellStyle name="20% - Accent2 2 3 3 5 2 2" xfId="30035" xr:uid="{00000000-0005-0000-0000-000088090000}"/>
    <cellStyle name="20% - Accent2 2 3 3 5 3" xfId="17985" xr:uid="{00000000-0005-0000-0000-000089090000}"/>
    <cellStyle name="20% - Accent2 2 3 3 6" xfId="8913" xr:uid="{00000000-0005-0000-0000-00008A090000}"/>
    <cellStyle name="20% - Accent2 2 3 3 6 2" xfId="23388" xr:uid="{00000000-0005-0000-0000-00008B090000}"/>
    <cellStyle name="20% - Accent2 2 3 3 7" xfId="17981" xr:uid="{00000000-0005-0000-0000-00008C090000}"/>
    <cellStyle name="20% - Accent2 2 3 4" xfId="663" xr:uid="{00000000-0005-0000-0000-00008D090000}"/>
    <cellStyle name="20% - Accent2 2 3 4 2" xfId="664" xr:uid="{00000000-0005-0000-0000-00008E090000}"/>
    <cellStyle name="20% - Accent2 2 3 4 2 2" xfId="14675" xr:uid="{00000000-0005-0000-0000-00008F090000}"/>
    <cellStyle name="20% - Accent2 2 3 4 2 2 2" xfId="28224" xr:uid="{00000000-0005-0000-0000-000090090000}"/>
    <cellStyle name="20% - Accent2 2 3 4 2 3" xfId="17987" xr:uid="{00000000-0005-0000-0000-000091090000}"/>
    <cellStyle name="20% - Accent2 2 3 4 3" xfId="10635" xr:uid="{00000000-0005-0000-0000-000092090000}"/>
    <cellStyle name="20% - Accent2 2 3 4 3 2" xfId="24577" xr:uid="{00000000-0005-0000-0000-000093090000}"/>
    <cellStyle name="20% - Accent2 2 3 4 4" xfId="17986" xr:uid="{00000000-0005-0000-0000-000094090000}"/>
    <cellStyle name="20% - Accent2 2 3 5" xfId="665" xr:uid="{00000000-0005-0000-0000-000095090000}"/>
    <cellStyle name="20% - Accent2 2 3 5 2" xfId="12005" xr:uid="{00000000-0005-0000-0000-000096090000}"/>
    <cellStyle name="20% - Accent2 2 3 5 2 2" xfId="25720" xr:uid="{00000000-0005-0000-0000-000097090000}"/>
    <cellStyle name="20% - Accent2 2 3 5 3" xfId="17988" xr:uid="{00000000-0005-0000-0000-000098090000}"/>
    <cellStyle name="20% - Accent2 2 3 6" xfId="666" xr:uid="{00000000-0005-0000-0000-000099090000}"/>
    <cellStyle name="20% - Accent2 2 3 6 2" xfId="12605" xr:uid="{00000000-0005-0000-0000-00009A090000}"/>
    <cellStyle name="20% - Accent2 2 3 6 2 2" xfId="26317" xr:uid="{00000000-0005-0000-0000-00009B090000}"/>
    <cellStyle name="20% - Accent2 2 3 6 3" xfId="17989" xr:uid="{00000000-0005-0000-0000-00009C090000}"/>
    <cellStyle name="20% - Accent2 2 3 7" xfId="667" xr:uid="{00000000-0005-0000-0000-00009D090000}"/>
    <cellStyle name="20% - Accent2 2 3 7 2" xfId="13580" xr:uid="{00000000-0005-0000-0000-00009E090000}"/>
    <cellStyle name="20% - Accent2 2 3 7 2 2" xfId="27129" xr:uid="{00000000-0005-0000-0000-00009F090000}"/>
    <cellStyle name="20% - Accent2 2 3 7 3" xfId="17990" xr:uid="{00000000-0005-0000-0000-0000A0090000}"/>
    <cellStyle name="20% - Accent2 2 3 8" xfId="668" xr:uid="{00000000-0005-0000-0000-0000A1090000}"/>
    <cellStyle name="20% - Accent2 2 3 8 2" xfId="14161" xr:uid="{00000000-0005-0000-0000-0000A2090000}"/>
    <cellStyle name="20% - Accent2 2 3 8 2 2" xfId="27710" xr:uid="{00000000-0005-0000-0000-0000A3090000}"/>
    <cellStyle name="20% - Accent2 2 3 8 3" xfId="17991" xr:uid="{00000000-0005-0000-0000-0000A4090000}"/>
    <cellStyle name="20% - Accent2 2 3 9" xfId="669" xr:uid="{00000000-0005-0000-0000-0000A5090000}"/>
    <cellStyle name="20% - Accent2 2 3 9 2" xfId="14670" xr:uid="{00000000-0005-0000-0000-0000A6090000}"/>
    <cellStyle name="20% - Accent2 2 3 9 2 2" xfId="28219" xr:uid="{00000000-0005-0000-0000-0000A7090000}"/>
    <cellStyle name="20% - Accent2 2 3 9 3" xfId="17992" xr:uid="{00000000-0005-0000-0000-0000A8090000}"/>
    <cellStyle name="20% - Accent2 2 4" xfId="670" xr:uid="{00000000-0005-0000-0000-0000A9090000}"/>
    <cellStyle name="20% - Accent2 2 4 10" xfId="8914" xr:uid="{00000000-0005-0000-0000-0000AA090000}"/>
    <cellStyle name="20% - Accent2 2 4 10 2" xfId="23389" xr:uid="{00000000-0005-0000-0000-0000AB090000}"/>
    <cellStyle name="20% - Accent2 2 4 11" xfId="17993" xr:uid="{00000000-0005-0000-0000-0000AC090000}"/>
    <cellStyle name="20% - Accent2 2 4 2" xfId="671" xr:uid="{00000000-0005-0000-0000-0000AD090000}"/>
    <cellStyle name="20% - Accent2 2 4 2 2" xfId="672" xr:uid="{00000000-0005-0000-0000-0000AE090000}"/>
    <cellStyle name="20% - Accent2 2 4 2 2 2" xfId="10640" xr:uid="{00000000-0005-0000-0000-0000AF090000}"/>
    <cellStyle name="20% - Accent2 2 4 2 2 2 2" xfId="24582" xr:uid="{00000000-0005-0000-0000-0000B0090000}"/>
    <cellStyle name="20% - Accent2 2 4 2 2 3" xfId="17995" xr:uid="{00000000-0005-0000-0000-0000B1090000}"/>
    <cellStyle name="20% - Accent2 2 4 2 3" xfId="673" xr:uid="{00000000-0005-0000-0000-0000B2090000}"/>
    <cellStyle name="20% - Accent2 2 4 2 3 2" xfId="12774" xr:uid="{00000000-0005-0000-0000-0000B3090000}"/>
    <cellStyle name="20% - Accent2 2 4 2 3 2 2" xfId="26486" xr:uid="{00000000-0005-0000-0000-0000B4090000}"/>
    <cellStyle name="20% - Accent2 2 4 2 3 3" xfId="17996" xr:uid="{00000000-0005-0000-0000-0000B5090000}"/>
    <cellStyle name="20% - Accent2 2 4 2 4" xfId="674" xr:uid="{00000000-0005-0000-0000-0000B6090000}"/>
    <cellStyle name="20% - Accent2 2 4 2 4 2" xfId="14677" xr:uid="{00000000-0005-0000-0000-0000B7090000}"/>
    <cellStyle name="20% - Accent2 2 4 2 4 2 2" xfId="28226" xr:uid="{00000000-0005-0000-0000-0000B8090000}"/>
    <cellStyle name="20% - Accent2 2 4 2 4 3" xfId="17997" xr:uid="{00000000-0005-0000-0000-0000B9090000}"/>
    <cellStyle name="20% - Accent2 2 4 2 5" xfId="675" xr:uid="{00000000-0005-0000-0000-0000BA090000}"/>
    <cellStyle name="20% - Accent2 2 4 2 5 2" xfId="16774" xr:uid="{00000000-0005-0000-0000-0000BB090000}"/>
    <cellStyle name="20% - Accent2 2 4 2 5 2 2" xfId="30181" xr:uid="{00000000-0005-0000-0000-0000BC090000}"/>
    <cellStyle name="20% - Accent2 2 4 2 5 3" xfId="17998" xr:uid="{00000000-0005-0000-0000-0000BD090000}"/>
    <cellStyle name="20% - Accent2 2 4 2 6" xfId="8915" xr:uid="{00000000-0005-0000-0000-0000BE090000}"/>
    <cellStyle name="20% - Accent2 2 4 2 6 2" xfId="23390" xr:uid="{00000000-0005-0000-0000-0000BF090000}"/>
    <cellStyle name="20% - Accent2 2 4 2 7" xfId="17994" xr:uid="{00000000-0005-0000-0000-0000C0090000}"/>
    <cellStyle name="20% - Accent2 2 4 3" xfId="676" xr:uid="{00000000-0005-0000-0000-0000C1090000}"/>
    <cellStyle name="20% - Accent2 2 4 3 2" xfId="677" xr:uid="{00000000-0005-0000-0000-0000C2090000}"/>
    <cellStyle name="20% - Accent2 2 4 3 2 2" xfId="14678" xr:uid="{00000000-0005-0000-0000-0000C3090000}"/>
    <cellStyle name="20% - Accent2 2 4 3 2 2 2" xfId="28227" xr:uid="{00000000-0005-0000-0000-0000C4090000}"/>
    <cellStyle name="20% - Accent2 2 4 3 2 3" xfId="18000" xr:uid="{00000000-0005-0000-0000-0000C5090000}"/>
    <cellStyle name="20% - Accent2 2 4 3 3" xfId="10639" xr:uid="{00000000-0005-0000-0000-0000C6090000}"/>
    <cellStyle name="20% - Accent2 2 4 3 3 2" xfId="24581" xr:uid="{00000000-0005-0000-0000-0000C7090000}"/>
    <cellStyle name="20% - Accent2 2 4 3 4" xfId="17999" xr:uid="{00000000-0005-0000-0000-0000C8090000}"/>
    <cellStyle name="20% - Accent2 2 4 4" xfId="678" xr:uid="{00000000-0005-0000-0000-0000C9090000}"/>
    <cellStyle name="20% - Accent2 2 4 4 2" xfId="12162" xr:uid="{00000000-0005-0000-0000-0000CA090000}"/>
    <cellStyle name="20% - Accent2 2 4 4 2 2" xfId="25874" xr:uid="{00000000-0005-0000-0000-0000CB090000}"/>
    <cellStyle name="20% - Accent2 2 4 4 3" xfId="18001" xr:uid="{00000000-0005-0000-0000-0000CC090000}"/>
    <cellStyle name="20% - Accent2 2 4 5" xfId="679" xr:uid="{00000000-0005-0000-0000-0000CD090000}"/>
    <cellStyle name="20% - Accent2 2 4 5 2" xfId="12679" xr:uid="{00000000-0005-0000-0000-0000CE090000}"/>
    <cellStyle name="20% - Accent2 2 4 5 2 2" xfId="26391" xr:uid="{00000000-0005-0000-0000-0000CF090000}"/>
    <cellStyle name="20% - Accent2 2 4 5 3" xfId="18002" xr:uid="{00000000-0005-0000-0000-0000D0090000}"/>
    <cellStyle name="20% - Accent2 2 4 6" xfId="680" xr:uid="{00000000-0005-0000-0000-0000D1090000}"/>
    <cellStyle name="20% - Accent2 2 4 6 2" xfId="13726" xr:uid="{00000000-0005-0000-0000-0000D2090000}"/>
    <cellStyle name="20% - Accent2 2 4 6 2 2" xfId="27275" xr:uid="{00000000-0005-0000-0000-0000D3090000}"/>
    <cellStyle name="20% - Accent2 2 4 6 3" xfId="18003" xr:uid="{00000000-0005-0000-0000-0000D4090000}"/>
    <cellStyle name="20% - Accent2 2 4 7" xfId="681" xr:uid="{00000000-0005-0000-0000-0000D5090000}"/>
    <cellStyle name="20% - Accent2 2 4 7 2" xfId="14307" xr:uid="{00000000-0005-0000-0000-0000D6090000}"/>
    <cellStyle name="20% - Accent2 2 4 7 2 2" xfId="27856" xr:uid="{00000000-0005-0000-0000-0000D7090000}"/>
    <cellStyle name="20% - Accent2 2 4 7 3" xfId="18004" xr:uid="{00000000-0005-0000-0000-0000D8090000}"/>
    <cellStyle name="20% - Accent2 2 4 8" xfId="682" xr:uid="{00000000-0005-0000-0000-0000D9090000}"/>
    <cellStyle name="20% - Accent2 2 4 8 2" xfId="14676" xr:uid="{00000000-0005-0000-0000-0000DA090000}"/>
    <cellStyle name="20% - Accent2 2 4 8 2 2" xfId="28225" xr:uid="{00000000-0005-0000-0000-0000DB090000}"/>
    <cellStyle name="20% - Accent2 2 4 8 3" xfId="18005" xr:uid="{00000000-0005-0000-0000-0000DC090000}"/>
    <cellStyle name="20% - Accent2 2 4 9" xfId="683" xr:uid="{00000000-0005-0000-0000-0000DD090000}"/>
    <cellStyle name="20% - Accent2 2 4 9 2" xfId="16193" xr:uid="{00000000-0005-0000-0000-0000DE090000}"/>
    <cellStyle name="20% - Accent2 2 4 9 2 2" xfId="29600" xr:uid="{00000000-0005-0000-0000-0000DF090000}"/>
    <cellStyle name="20% - Accent2 2 4 9 3" xfId="18006" xr:uid="{00000000-0005-0000-0000-0000E0090000}"/>
    <cellStyle name="20% - Accent2 2 5" xfId="684" xr:uid="{00000000-0005-0000-0000-0000E1090000}"/>
    <cellStyle name="20% - Accent2 2 5 2" xfId="685" xr:uid="{00000000-0005-0000-0000-0000E2090000}"/>
    <cellStyle name="20% - Accent2 2 5 2 2" xfId="686" xr:uid="{00000000-0005-0000-0000-0000E3090000}"/>
    <cellStyle name="20% - Accent2 2 5 2 2 2" xfId="10642" xr:uid="{00000000-0005-0000-0000-0000E4090000}"/>
    <cellStyle name="20% - Accent2 2 5 2 2 2 2" xfId="24584" xr:uid="{00000000-0005-0000-0000-0000E5090000}"/>
    <cellStyle name="20% - Accent2 2 5 2 2 3" xfId="18009" xr:uid="{00000000-0005-0000-0000-0000E6090000}"/>
    <cellStyle name="20% - Accent2 2 5 2 3" xfId="687" xr:uid="{00000000-0005-0000-0000-0000E7090000}"/>
    <cellStyle name="20% - Accent2 2 5 2 3 2" xfId="12533" xr:uid="{00000000-0005-0000-0000-0000E8090000}"/>
    <cellStyle name="20% - Accent2 2 5 2 3 2 2" xfId="26245" xr:uid="{00000000-0005-0000-0000-0000E9090000}"/>
    <cellStyle name="20% - Accent2 2 5 2 3 3" xfId="18010" xr:uid="{00000000-0005-0000-0000-0000EA090000}"/>
    <cellStyle name="20% - Accent2 2 5 2 4" xfId="688" xr:uid="{00000000-0005-0000-0000-0000EB090000}"/>
    <cellStyle name="20% - Accent2 2 5 2 4 2" xfId="14680" xr:uid="{00000000-0005-0000-0000-0000EC090000}"/>
    <cellStyle name="20% - Accent2 2 5 2 4 2 2" xfId="28229" xr:uid="{00000000-0005-0000-0000-0000ED090000}"/>
    <cellStyle name="20% - Accent2 2 5 2 4 3" xfId="18011" xr:uid="{00000000-0005-0000-0000-0000EE090000}"/>
    <cellStyle name="20% - Accent2 2 5 2 5" xfId="8917" xr:uid="{00000000-0005-0000-0000-0000EF090000}"/>
    <cellStyle name="20% - Accent2 2 5 2 5 2" xfId="23392" xr:uid="{00000000-0005-0000-0000-0000F0090000}"/>
    <cellStyle name="20% - Accent2 2 5 2 6" xfId="18008" xr:uid="{00000000-0005-0000-0000-0000F1090000}"/>
    <cellStyle name="20% - Accent2 2 5 3" xfId="689" xr:uid="{00000000-0005-0000-0000-0000F2090000}"/>
    <cellStyle name="20% - Accent2 2 5 3 2" xfId="10641" xr:uid="{00000000-0005-0000-0000-0000F3090000}"/>
    <cellStyle name="20% - Accent2 2 5 3 2 2" xfId="24583" xr:uid="{00000000-0005-0000-0000-0000F4090000}"/>
    <cellStyle name="20% - Accent2 2 5 3 3" xfId="18012" xr:uid="{00000000-0005-0000-0000-0000F5090000}"/>
    <cellStyle name="20% - Accent2 2 5 4" xfId="690" xr:uid="{00000000-0005-0000-0000-0000F6090000}"/>
    <cellStyle name="20% - Accent2 2 5 4 2" xfId="12523" xr:uid="{00000000-0005-0000-0000-0000F7090000}"/>
    <cellStyle name="20% - Accent2 2 5 4 2 2" xfId="26235" xr:uid="{00000000-0005-0000-0000-0000F8090000}"/>
    <cellStyle name="20% - Accent2 2 5 4 3" xfId="18013" xr:uid="{00000000-0005-0000-0000-0000F9090000}"/>
    <cellStyle name="20% - Accent2 2 5 5" xfId="691" xr:uid="{00000000-0005-0000-0000-0000FA090000}"/>
    <cellStyle name="20% - Accent2 2 5 5 2" xfId="14679" xr:uid="{00000000-0005-0000-0000-0000FB090000}"/>
    <cellStyle name="20% - Accent2 2 5 5 2 2" xfId="28228" xr:uid="{00000000-0005-0000-0000-0000FC090000}"/>
    <cellStyle name="20% - Accent2 2 5 5 3" xfId="18014" xr:uid="{00000000-0005-0000-0000-0000FD090000}"/>
    <cellStyle name="20% - Accent2 2 5 6" xfId="692" xr:uid="{00000000-0005-0000-0000-0000FE090000}"/>
    <cellStyle name="20% - Accent2 2 5 6 2" xfId="17008" xr:uid="{00000000-0005-0000-0000-0000FF090000}"/>
    <cellStyle name="20% - Accent2 2 5 6 2 2" xfId="30415" xr:uid="{00000000-0005-0000-0000-0000000A0000}"/>
    <cellStyle name="20% - Accent2 2 5 6 3" xfId="18015" xr:uid="{00000000-0005-0000-0000-0000010A0000}"/>
    <cellStyle name="20% - Accent2 2 5 7" xfId="8916" xr:uid="{00000000-0005-0000-0000-0000020A0000}"/>
    <cellStyle name="20% - Accent2 2 5 7 2" xfId="23391" xr:uid="{00000000-0005-0000-0000-0000030A0000}"/>
    <cellStyle name="20% - Accent2 2 5 8" xfId="18007" xr:uid="{00000000-0005-0000-0000-0000040A0000}"/>
    <cellStyle name="20% - Accent2 2 6" xfId="693" xr:uid="{00000000-0005-0000-0000-0000050A0000}"/>
    <cellStyle name="20% - Accent2 2 6 2" xfId="694" xr:uid="{00000000-0005-0000-0000-0000060A0000}"/>
    <cellStyle name="20% - Accent2 2 6 2 2" xfId="10643" xr:uid="{00000000-0005-0000-0000-0000070A0000}"/>
    <cellStyle name="20% - Accent2 2 6 2 2 2" xfId="24585" xr:uid="{00000000-0005-0000-0000-0000080A0000}"/>
    <cellStyle name="20% - Accent2 2 6 2 3" xfId="18017" xr:uid="{00000000-0005-0000-0000-0000090A0000}"/>
    <cellStyle name="20% - Accent2 2 6 3" xfId="695" xr:uid="{00000000-0005-0000-0000-00000A0A0000}"/>
    <cellStyle name="20% - Accent2 2 6 3 2" xfId="12690" xr:uid="{00000000-0005-0000-0000-00000B0A0000}"/>
    <cellStyle name="20% - Accent2 2 6 3 2 2" xfId="26402" xr:uid="{00000000-0005-0000-0000-00000C0A0000}"/>
    <cellStyle name="20% - Accent2 2 6 3 3" xfId="18018" xr:uid="{00000000-0005-0000-0000-00000D0A0000}"/>
    <cellStyle name="20% - Accent2 2 6 4" xfId="696" xr:uid="{00000000-0005-0000-0000-00000E0A0000}"/>
    <cellStyle name="20% - Accent2 2 6 4 2" xfId="14681" xr:uid="{00000000-0005-0000-0000-00000F0A0000}"/>
    <cellStyle name="20% - Accent2 2 6 4 2 2" xfId="28230" xr:uid="{00000000-0005-0000-0000-0000100A0000}"/>
    <cellStyle name="20% - Accent2 2 6 4 3" xfId="18019" xr:uid="{00000000-0005-0000-0000-0000110A0000}"/>
    <cellStyle name="20% - Accent2 2 6 5" xfId="697" xr:uid="{00000000-0005-0000-0000-0000120A0000}"/>
    <cellStyle name="20% - Accent2 2 6 5 2" xfId="17121" xr:uid="{00000000-0005-0000-0000-0000130A0000}"/>
    <cellStyle name="20% - Accent2 2 6 5 2 2" xfId="30480" xr:uid="{00000000-0005-0000-0000-0000140A0000}"/>
    <cellStyle name="20% - Accent2 2 6 5 3" xfId="18020" xr:uid="{00000000-0005-0000-0000-0000150A0000}"/>
    <cellStyle name="20% - Accent2 2 6 6" xfId="8918" xr:uid="{00000000-0005-0000-0000-0000160A0000}"/>
    <cellStyle name="20% - Accent2 2 6 6 2" xfId="23393" xr:uid="{00000000-0005-0000-0000-0000170A0000}"/>
    <cellStyle name="20% - Accent2 2 6 7" xfId="18016" xr:uid="{00000000-0005-0000-0000-0000180A0000}"/>
    <cellStyle name="20% - Accent2 2 7" xfId="698" xr:uid="{00000000-0005-0000-0000-0000190A0000}"/>
    <cellStyle name="20% - Accent2 2 7 2" xfId="699" xr:uid="{00000000-0005-0000-0000-00001A0A0000}"/>
    <cellStyle name="20% - Accent2 2 7 2 2" xfId="10644" xr:uid="{00000000-0005-0000-0000-00001B0A0000}"/>
    <cellStyle name="20% - Accent2 2 7 2 2 2" xfId="24586" xr:uid="{00000000-0005-0000-0000-00001C0A0000}"/>
    <cellStyle name="20% - Accent2 2 7 2 3" xfId="18022" xr:uid="{00000000-0005-0000-0000-00001D0A0000}"/>
    <cellStyle name="20% - Accent2 2 7 3" xfId="700" xr:uid="{00000000-0005-0000-0000-00001E0A0000}"/>
    <cellStyle name="20% - Accent2 2 7 3 2" xfId="12466" xr:uid="{00000000-0005-0000-0000-00001F0A0000}"/>
    <cellStyle name="20% - Accent2 2 7 3 2 2" xfId="26178" xr:uid="{00000000-0005-0000-0000-0000200A0000}"/>
    <cellStyle name="20% - Accent2 2 7 3 3" xfId="18023" xr:uid="{00000000-0005-0000-0000-0000210A0000}"/>
    <cellStyle name="20% - Accent2 2 7 4" xfId="701" xr:uid="{00000000-0005-0000-0000-0000220A0000}"/>
    <cellStyle name="20% - Accent2 2 7 4 2" xfId="14682" xr:uid="{00000000-0005-0000-0000-0000230A0000}"/>
    <cellStyle name="20% - Accent2 2 7 4 2 2" xfId="28231" xr:uid="{00000000-0005-0000-0000-0000240A0000}"/>
    <cellStyle name="20% - Accent2 2 7 4 3" xfId="18024" xr:uid="{00000000-0005-0000-0000-0000250A0000}"/>
    <cellStyle name="20% - Accent2 2 7 5" xfId="702" xr:uid="{00000000-0005-0000-0000-0000260A0000}"/>
    <cellStyle name="20% - Accent2 2 7 5 2" xfId="17210" xr:uid="{00000000-0005-0000-0000-0000270A0000}"/>
    <cellStyle name="20% - Accent2 2 7 5 2 2" xfId="30569" xr:uid="{00000000-0005-0000-0000-0000280A0000}"/>
    <cellStyle name="20% - Accent2 2 7 5 3" xfId="18025" xr:uid="{00000000-0005-0000-0000-0000290A0000}"/>
    <cellStyle name="20% - Accent2 2 7 6" xfId="8919" xr:uid="{00000000-0005-0000-0000-00002A0A0000}"/>
    <cellStyle name="20% - Accent2 2 7 6 2" xfId="23394" xr:uid="{00000000-0005-0000-0000-00002B0A0000}"/>
    <cellStyle name="20% - Accent2 2 7 7" xfId="18021" xr:uid="{00000000-0005-0000-0000-00002C0A0000}"/>
    <cellStyle name="20% - Accent2 2 8" xfId="703" xr:uid="{00000000-0005-0000-0000-00002D0A0000}"/>
    <cellStyle name="20% - Accent2 2 8 2" xfId="704" xr:uid="{00000000-0005-0000-0000-00002E0A0000}"/>
    <cellStyle name="20% - Accent2 2 8 2 2" xfId="12572" xr:uid="{00000000-0005-0000-0000-00002F0A0000}"/>
    <cellStyle name="20% - Accent2 2 8 2 2 2" xfId="26284" xr:uid="{00000000-0005-0000-0000-0000300A0000}"/>
    <cellStyle name="20% - Accent2 2 8 2 3" xfId="18027" xr:uid="{00000000-0005-0000-0000-0000310A0000}"/>
    <cellStyle name="20% - Accent2 2 8 3" xfId="705" xr:uid="{00000000-0005-0000-0000-0000320A0000}"/>
    <cellStyle name="20% - Accent2 2 8 3 2" xfId="14683" xr:uid="{00000000-0005-0000-0000-0000330A0000}"/>
    <cellStyle name="20% - Accent2 2 8 3 2 2" xfId="28232" xr:uid="{00000000-0005-0000-0000-0000340A0000}"/>
    <cellStyle name="20% - Accent2 2 8 3 3" xfId="18028" xr:uid="{00000000-0005-0000-0000-0000350A0000}"/>
    <cellStyle name="20% - Accent2 2 8 4" xfId="706" xr:uid="{00000000-0005-0000-0000-0000360A0000}"/>
    <cellStyle name="20% - Accent2 2 8 4 2" xfId="16485" xr:uid="{00000000-0005-0000-0000-0000370A0000}"/>
    <cellStyle name="20% - Accent2 2 8 4 2 2" xfId="29892" xr:uid="{00000000-0005-0000-0000-0000380A0000}"/>
    <cellStyle name="20% - Accent2 2 8 4 3" xfId="18029" xr:uid="{00000000-0005-0000-0000-0000390A0000}"/>
    <cellStyle name="20% - Accent2 2 8 5" xfId="10529" xr:uid="{00000000-0005-0000-0000-00003A0A0000}"/>
    <cellStyle name="20% - Accent2 2 8 5 2" xfId="24471" xr:uid="{00000000-0005-0000-0000-00003B0A0000}"/>
    <cellStyle name="20% - Accent2 2 8 6" xfId="18026" xr:uid="{00000000-0005-0000-0000-00003C0A0000}"/>
    <cellStyle name="20% - Accent2 2 9" xfId="707" xr:uid="{00000000-0005-0000-0000-00003D0A0000}"/>
    <cellStyle name="20% - Accent2 2 9 2" xfId="708" xr:uid="{00000000-0005-0000-0000-00003E0A0000}"/>
    <cellStyle name="20% - Accent2 2 9 2 2" xfId="12789" xr:uid="{00000000-0005-0000-0000-00003F0A0000}"/>
    <cellStyle name="20% - Accent2 2 9 2 2 2" xfId="26501" xr:uid="{00000000-0005-0000-0000-0000400A0000}"/>
    <cellStyle name="20% - Accent2 2 9 2 3" xfId="18031" xr:uid="{00000000-0005-0000-0000-0000410A0000}"/>
    <cellStyle name="20% - Accent2 2 9 3" xfId="709" xr:uid="{00000000-0005-0000-0000-0000420A0000}"/>
    <cellStyle name="20% - Accent2 2 9 3 2" xfId="14684" xr:uid="{00000000-0005-0000-0000-0000430A0000}"/>
    <cellStyle name="20% - Accent2 2 9 3 2 2" xfId="28233" xr:uid="{00000000-0005-0000-0000-0000440A0000}"/>
    <cellStyle name="20% - Accent2 2 9 3 3" xfId="18032" xr:uid="{00000000-0005-0000-0000-0000450A0000}"/>
    <cellStyle name="20% - Accent2 2 9 4" xfId="10626" xr:uid="{00000000-0005-0000-0000-0000460A0000}"/>
    <cellStyle name="20% - Accent2 2 9 4 2" xfId="24568" xr:uid="{00000000-0005-0000-0000-0000470A0000}"/>
    <cellStyle name="20% - Accent2 2 9 5" xfId="18030" xr:uid="{00000000-0005-0000-0000-0000480A0000}"/>
    <cellStyle name="20% - Accent2 20" xfId="710" xr:uid="{00000000-0005-0000-0000-0000490A0000}"/>
    <cellStyle name="20% - Accent2 20 2" xfId="711" xr:uid="{00000000-0005-0000-0000-00004A0A0000}"/>
    <cellStyle name="20% - Accent2 20 2 2" xfId="12677" xr:uid="{00000000-0005-0000-0000-00004B0A0000}"/>
    <cellStyle name="20% - Accent2 20 2 2 2" xfId="26389" xr:uid="{00000000-0005-0000-0000-00004C0A0000}"/>
    <cellStyle name="20% - Accent2 20 2 3" xfId="18034" xr:uid="{00000000-0005-0000-0000-00004D0A0000}"/>
    <cellStyle name="20% - Accent2 20 3" xfId="712" xr:uid="{00000000-0005-0000-0000-00004E0A0000}"/>
    <cellStyle name="20% - Accent2 20 3 2" xfId="14685" xr:uid="{00000000-0005-0000-0000-00004F0A0000}"/>
    <cellStyle name="20% - Accent2 20 3 2 2" xfId="28234" xr:uid="{00000000-0005-0000-0000-0000500A0000}"/>
    <cellStyle name="20% - Accent2 20 3 3" xfId="18035" xr:uid="{00000000-0005-0000-0000-0000510A0000}"/>
    <cellStyle name="20% - Accent2 20 4" xfId="10504" xr:uid="{00000000-0005-0000-0000-0000520A0000}"/>
    <cellStyle name="20% - Accent2 20 4 2" xfId="24452" xr:uid="{00000000-0005-0000-0000-0000530A0000}"/>
    <cellStyle name="20% - Accent2 20 5" xfId="18033" xr:uid="{00000000-0005-0000-0000-0000540A0000}"/>
    <cellStyle name="20% - Accent2 21" xfId="713" xr:uid="{00000000-0005-0000-0000-0000550A0000}"/>
    <cellStyle name="20% - Accent2 21 2" xfId="714" xr:uid="{00000000-0005-0000-0000-0000560A0000}"/>
    <cellStyle name="20% - Accent2 21 2 2" xfId="12539" xr:uid="{00000000-0005-0000-0000-0000570A0000}"/>
    <cellStyle name="20% - Accent2 21 2 2 2" xfId="26251" xr:uid="{00000000-0005-0000-0000-0000580A0000}"/>
    <cellStyle name="20% - Accent2 21 2 3" xfId="18037" xr:uid="{00000000-0005-0000-0000-0000590A0000}"/>
    <cellStyle name="20% - Accent2 21 3" xfId="715" xr:uid="{00000000-0005-0000-0000-00005A0A0000}"/>
    <cellStyle name="20% - Accent2 21 3 2" xfId="14686" xr:uid="{00000000-0005-0000-0000-00005B0A0000}"/>
    <cellStyle name="20% - Accent2 21 3 2 2" xfId="28235" xr:uid="{00000000-0005-0000-0000-00005C0A0000}"/>
    <cellStyle name="20% - Accent2 21 3 3" xfId="18038" xr:uid="{00000000-0005-0000-0000-00005D0A0000}"/>
    <cellStyle name="20% - Accent2 21 4" xfId="10615" xr:uid="{00000000-0005-0000-0000-00005E0A0000}"/>
    <cellStyle name="20% - Accent2 21 4 2" xfId="24557" xr:uid="{00000000-0005-0000-0000-00005F0A0000}"/>
    <cellStyle name="20% - Accent2 21 5" xfId="18036" xr:uid="{00000000-0005-0000-0000-0000600A0000}"/>
    <cellStyle name="20% - Accent2 22" xfId="716" xr:uid="{00000000-0005-0000-0000-0000610A0000}"/>
    <cellStyle name="20% - Accent2 22 2" xfId="11740" xr:uid="{00000000-0005-0000-0000-0000620A0000}"/>
    <cellStyle name="20% - Accent2 22 2 2" xfId="25455" xr:uid="{00000000-0005-0000-0000-0000630A0000}"/>
    <cellStyle name="20% - Accent2 22 3" xfId="18039" xr:uid="{00000000-0005-0000-0000-0000640A0000}"/>
    <cellStyle name="20% - Accent2 23" xfId="717" xr:uid="{00000000-0005-0000-0000-0000650A0000}"/>
    <cellStyle name="20% - Accent2 23 2" xfId="12778" xr:uid="{00000000-0005-0000-0000-0000660A0000}"/>
    <cellStyle name="20% - Accent2 23 2 2" xfId="26490" xr:uid="{00000000-0005-0000-0000-0000670A0000}"/>
    <cellStyle name="20% - Accent2 23 3" xfId="18040" xr:uid="{00000000-0005-0000-0000-0000680A0000}"/>
    <cellStyle name="20% - Accent2 24" xfId="718" xr:uid="{00000000-0005-0000-0000-0000690A0000}"/>
    <cellStyle name="20% - Accent2 24 2" xfId="13379" xr:uid="{00000000-0005-0000-0000-00006A0A0000}"/>
    <cellStyle name="20% - Accent2 24 2 2" xfId="26928" xr:uid="{00000000-0005-0000-0000-00006B0A0000}"/>
    <cellStyle name="20% - Accent2 24 3" xfId="18041" xr:uid="{00000000-0005-0000-0000-00006C0A0000}"/>
    <cellStyle name="20% - Accent2 25" xfId="719" xr:uid="{00000000-0005-0000-0000-00006D0A0000}"/>
    <cellStyle name="20% - Accent2 25 2" xfId="13960" xr:uid="{00000000-0005-0000-0000-00006E0A0000}"/>
    <cellStyle name="20% - Accent2 25 2 2" xfId="27509" xr:uid="{00000000-0005-0000-0000-00006F0A0000}"/>
    <cellStyle name="20% - Accent2 25 3" xfId="18042" xr:uid="{00000000-0005-0000-0000-0000700A0000}"/>
    <cellStyle name="20% - Accent2 26" xfId="720" xr:uid="{00000000-0005-0000-0000-0000710A0000}"/>
    <cellStyle name="20% - Accent2 26 2" xfId="14643" xr:uid="{00000000-0005-0000-0000-0000720A0000}"/>
    <cellStyle name="20% - Accent2 26 2 2" xfId="28192" xr:uid="{00000000-0005-0000-0000-0000730A0000}"/>
    <cellStyle name="20% - Accent2 26 3" xfId="18043" xr:uid="{00000000-0005-0000-0000-0000740A0000}"/>
    <cellStyle name="20% - Accent2 27" xfId="721" xr:uid="{00000000-0005-0000-0000-0000750A0000}"/>
    <cellStyle name="20% - Accent2 27 2" xfId="15839" xr:uid="{00000000-0005-0000-0000-0000760A0000}"/>
    <cellStyle name="20% - Accent2 27 2 2" xfId="29246" xr:uid="{00000000-0005-0000-0000-0000770A0000}"/>
    <cellStyle name="20% - Accent2 27 3" xfId="18044" xr:uid="{00000000-0005-0000-0000-0000780A0000}"/>
    <cellStyle name="20% - Accent2 28" xfId="722" xr:uid="{00000000-0005-0000-0000-0000790A0000}"/>
    <cellStyle name="20% - Accent2 28 2" xfId="15846" xr:uid="{00000000-0005-0000-0000-00007A0A0000}"/>
    <cellStyle name="20% - Accent2 28 2 2" xfId="29253" xr:uid="{00000000-0005-0000-0000-00007B0A0000}"/>
    <cellStyle name="20% - Accent2 28 3" xfId="18045" xr:uid="{00000000-0005-0000-0000-00007C0A0000}"/>
    <cellStyle name="20% - Accent2 29" xfId="723" xr:uid="{00000000-0005-0000-0000-00007D0A0000}"/>
    <cellStyle name="20% - Accent2 29 2" xfId="8890" xr:uid="{00000000-0005-0000-0000-00007E0A0000}"/>
    <cellStyle name="20% - Accent2 29 2 2" xfId="23365" xr:uid="{00000000-0005-0000-0000-00007F0A0000}"/>
    <cellStyle name="20% - Accent2 29 3" xfId="18046" xr:uid="{00000000-0005-0000-0000-0000800A0000}"/>
    <cellStyle name="20% - Accent2 3" xfId="724" xr:uid="{00000000-0005-0000-0000-0000810A0000}"/>
    <cellStyle name="20% - Accent2 3 10" xfId="725" xr:uid="{00000000-0005-0000-0000-0000820A0000}"/>
    <cellStyle name="20% - Accent2 3 10 2" xfId="14041" xr:uid="{00000000-0005-0000-0000-0000830A0000}"/>
    <cellStyle name="20% - Accent2 3 10 2 2" xfId="27590" xr:uid="{00000000-0005-0000-0000-0000840A0000}"/>
    <cellStyle name="20% - Accent2 3 10 3" xfId="18048" xr:uid="{00000000-0005-0000-0000-0000850A0000}"/>
    <cellStyle name="20% - Accent2 3 11" xfId="726" xr:uid="{00000000-0005-0000-0000-0000860A0000}"/>
    <cellStyle name="20% - Accent2 3 11 2" xfId="14687" xr:uid="{00000000-0005-0000-0000-0000870A0000}"/>
    <cellStyle name="20% - Accent2 3 11 2 2" xfId="28236" xr:uid="{00000000-0005-0000-0000-0000880A0000}"/>
    <cellStyle name="20% - Accent2 3 11 3" xfId="18049" xr:uid="{00000000-0005-0000-0000-0000890A0000}"/>
    <cellStyle name="20% - Accent2 3 12" xfId="727" xr:uid="{00000000-0005-0000-0000-00008A0A0000}"/>
    <cellStyle name="20% - Accent2 3 12 2" xfId="15927" xr:uid="{00000000-0005-0000-0000-00008B0A0000}"/>
    <cellStyle name="20% - Accent2 3 12 2 2" xfId="29334" xr:uid="{00000000-0005-0000-0000-00008C0A0000}"/>
    <cellStyle name="20% - Accent2 3 12 3" xfId="18050" xr:uid="{00000000-0005-0000-0000-00008D0A0000}"/>
    <cellStyle name="20% - Accent2 3 13" xfId="8920" xr:uid="{00000000-0005-0000-0000-00008E0A0000}"/>
    <cellStyle name="20% - Accent2 3 13 2" xfId="23395" xr:uid="{00000000-0005-0000-0000-00008F0A0000}"/>
    <cellStyle name="20% - Accent2 3 14" xfId="18047" xr:uid="{00000000-0005-0000-0000-0000900A0000}"/>
    <cellStyle name="20% - Accent2 3 2" xfId="728" xr:uid="{00000000-0005-0000-0000-0000910A0000}"/>
    <cellStyle name="20% - Accent2 3 2 10" xfId="729" xr:uid="{00000000-0005-0000-0000-0000920A0000}"/>
    <cellStyle name="20% - Accent2 3 2 10 2" xfId="16070" xr:uid="{00000000-0005-0000-0000-0000930A0000}"/>
    <cellStyle name="20% - Accent2 3 2 10 2 2" xfId="29477" xr:uid="{00000000-0005-0000-0000-0000940A0000}"/>
    <cellStyle name="20% - Accent2 3 2 10 3" xfId="18052" xr:uid="{00000000-0005-0000-0000-0000950A0000}"/>
    <cellStyle name="20% - Accent2 3 2 11" xfId="8921" xr:uid="{00000000-0005-0000-0000-0000960A0000}"/>
    <cellStyle name="20% - Accent2 3 2 11 2" xfId="23396" xr:uid="{00000000-0005-0000-0000-0000970A0000}"/>
    <cellStyle name="20% - Accent2 3 2 12" xfId="18051" xr:uid="{00000000-0005-0000-0000-0000980A0000}"/>
    <cellStyle name="20% - Accent2 3 2 2" xfId="730" xr:uid="{00000000-0005-0000-0000-0000990A0000}"/>
    <cellStyle name="20% - Accent2 3 2 2 10" xfId="8922" xr:uid="{00000000-0005-0000-0000-00009A0A0000}"/>
    <cellStyle name="20% - Accent2 3 2 2 10 2" xfId="23397" xr:uid="{00000000-0005-0000-0000-00009B0A0000}"/>
    <cellStyle name="20% - Accent2 3 2 2 11" xfId="18053" xr:uid="{00000000-0005-0000-0000-00009C0A0000}"/>
    <cellStyle name="20% - Accent2 3 2 2 2" xfId="731" xr:uid="{00000000-0005-0000-0000-00009D0A0000}"/>
    <cellStyle name="20% - Accent2 3 2 2 2 2" xfId="732" xr:uid="{00000000-0005-0000-0000-00009E0A0000}"/>
    <cellStyle name="20% - Accent2 3 2 2 2 2 2" xfId="10648" xr:uid="{00000000-0005-0000-0000-00009F0A0000}"/>
    <cellStyle name="20% - Accent2 3 2 2 2 2 2 2" xfId="24590" xr:uid="{00000000-0005-0000-0000-0000A00A0000}"/>
    <cellStyle name="20% - Accent2 3 2 2 2 2 3" xfId="18055" xr:uid="{00000000-0005-0000-0000-0000A10A0000}"/>
    <cellStyle name="20% - Accent2 3 2 2 2 3" xfId="733" xr:uid="{00000000-0005-0000-0000-0000A20A0000}"/>
    <cellStyle name="20% - Accent2 3 2 2 2 3 2" xfId="12730" xr:uid="{00000000-0005-0000-0000-0000A30A0000}"/>
    <cellStyle name="20% - Accent2 3 2 2 2 3 2 2" xfId="26442" xr:uid="{00000000-0005-0000-0000-0000A40A0000}"/>
    <cellStyle name="20% - Accent2 3 2 2 2 3 3" xfId="18056" xr:uid="{00000000-0005-0000-0000-0000A50A0000}"/>
    <cellStyle name="20% - Accent2 3 2 2 2 4" xfId="734" xr:uid="{00000000-0005-0000-0000-0000A60A0000}"/>
    <cellStyle name="20% - Accent2 3 2 2 2 4 2" xfId="14690" xr:uid="{00000000-0005-0000-0000-0000A70A0000}"/>
    <cellStyle name="20% - Accent2 3 2 2 2 4 2 2" xfId="28239" xr:uid="{00000000-0005-0000-0000-0000A80A0000}"/>
    <cellStyle name="20% - Accent2 3 2 2 2 4 3" xfId="18057" xr:uid="{00000000-0005-0000-0000-0000A90A0000}"/>
    <cellStyle name="20% - Accent2 3 2 2 2 5" xfId="735" xr:uid="{00000000-0005-0000-0000-0000AA0A0000}"/>
    <cellStyle name="20% - Accent2 3 2 2 2 5 2" xfId="16940" xr:uid="{00000000-0005-0000-0000-0000AB0A0000}"/>
    <cellStyle name="20% - Accent2 3 2 2 2 5 2 2" xfId="30347" xr:uid="{00000000-0005-0000-0000-0000AC0A0000}"/>
    <cellStyle name="20% - Accent2 3 2 2 2 5 3" xfId="18058" xr:uid="{00000000-0005-0000-0000-0000AD0A0000}"/>
    <cellStyle name="20% - Accent2 3 2 2 2 6" xfId="8923" xr:uid="{00000000-0005-0000-0000-0000AE0A0000}"/>
    <cellStyle name="20% - Accent2 3 2 2 2 6 2" xfId="23398" xr:uid="{00000000-0005-0000-0000-0000AF0A0000}"/>
    <cellStyle name="20% - Accent2 3 2 2 2 7" xfId="18054" xr:uid="{00000000-0005-0000-0000-0000B00A0000}"/>
    <cellStyle name="20% - Accent2 3 2 2 3" xfId="736" xr:uid="{00000000-0005-0000-0000-0000B10A0000}"/>
    <cellStyle name="20% - Accent2 3 2 2 3 2" xfId="737" xr:uid="{00000000-0005-0000-0000-0000B20A0000}"/>
    <cellStyle name="20% - Accent2 3 2 2 3 2 2" xfId="14691" xr:uid="{00000000-0005-0000-0000-0000B30A0000}"/>
    <cellStyle name="20% - Accent2 3 2 2 3 2 2 2" xfId="28240" xr:uid="{00000000-0005-0000-0000-0000B40A0000}"/>
    <cellStyle name="20% - Accent2 3 2 2 3 2 3" xfId="18060" xr:uid="{00000000-0005-0000-0000-0000B50A0000}"/>
    <cellStyle name="20% - Accent2 3 2 2 3 3" xfId="10647" xr:uid="{00000000-0005-0000-0000-0000B60A0000}"/>
    <cellStyle name="20% - Accent2 3 2 2 3 3 2" xfId="24589" xr:uid="{00000000-0005-0000-0000-0000B70A0000}"/>
    <cellStyle name="20% - Accent2 3 2 2 3 4" xfId="18059" xr:uid="{00000000-0005-0000-0000-0000B80A0000}"/>
    <cellStyle name="20% - Accent2 3 2 2 4" xfId="738" xr:uid="{00000000-0005-0000-0000-0000B90A0000}"/>
    <cellStyle name="20% - Accent2 3 2 2 4 2" xfId="12328" xr:uid="{00000000-0005-0000-0000-0000BA0A0000}"/>
    <cellStyle name="20% - Accent2 3 2 2 4 2 2" xfId="26040" xr:uid="{00000000-0005-0000-0000-0000BB0A0000}"/>
    <cellStyle name="20% - Accent2 3 2 2 4 3" xfId="18061" xr:uid="{00000000-0005-0000-0000-0000BC0A0000}"/>
    <cellStyle name="20% - Accent2 3 2 2 5" xfId="739" xr:uid="{00000000-0005-0000-0000-0000BD0A0000}"/>
    <cellStyle name="20% - Accent2 3 2 2 5 2" xfId="12756" xr:uid="{00000000-0005-0000-0000-0000BE0A0000}"/>
    <cellStyle name="20% - Accent2 3 2 2 5 2 2" xfId="26468" xr:uid="{00000000-0005-0000-0000-0000BF0A0000}"/>
    <cellStyle name="20% - Accent2 3 2 2 5 3" xfId="18062" xr:uid="{00000000-0005-0000-0000-0000C00A0000}"/>
    <cellStyle name="20% - Accent2 3 2 2 6" xfId="740" xr:uid="{00000000-0005-0000-0000-0000C10A0000}"/>
    <cellStyle name="20% - Accent2 3 2 2 6 2" xfId="13892" xr:uid="{00000000-0005-0000-0000-0000C20A0000}"/>
    <cellStyle name="20% - Accent2 3 2 2 6 2 2" xfId="27441" xr:uid="{00000000-0005-0000-0000-0000C30A0000}"/>
    <cellStyle name="20% - Accent2 3 2 2 6 3" xfId="18063" xr:uid="{00000000-0005-0000-0000-0000C40A0000}"/>
    <cellStyle name="20% - Accent2 3 2 2 7" xfId="741" xr:uid="{00000000-0005-0000-0000-0000C50A0000}"/>
    <cellStyle name="20% - Accent2 3 2 2 7 2" xfId="14473" xr:uid="{00000000-0005-0000-0000-0000C60A0000}"/>
    <cellStyle name="20% - Accent2 3 2 2 7 2 2" xfId="28022" xr:uid="{00000000-0005-0000-0000-0000C70A0000}"/>
    <cellStyle name="20% - Accent2 3 2 2 7 3" xfId="18064" xr:uid="{00000000-0005-0000-0000-0000C80A0000}"/>
    <cellStyle name="20% - Accent2 3 2 2 8" xfId="742" xr:uid="{00000000-0005-0000-0000-0000C90A0000}"/>
    <cellStyle name="20% - Accent2 3 2 2 8 2" xfId="14689" xr:uid="{00000000-0005-0000-0000-0000CA0A0000}"/>
    <cellStyle name="20% - Accent2 3 2 2 8 2 2" xfId="28238" xr:uid="{00000000-0005-0000-0000-0000CB0A0000}"/>
    <cellStyle name="20% - Accent2 3 2 2 8 3" xfId="18065" xr:uid="{00000000-0005-0000-0000-0000CC0A0000}"/>
    <cellStyle name="20% - Accent2 3 2 2 9" xfId="743" xr:uid="{00000000-0005-0000-0000-0000CD0A0000}"/>
    <cellStyle name="20% - Accent2 3 2 2 9 2" xfId="16359" xr:uid="{00000000-0005-0000-0000-0000CE0A0000}"/>
    <cellStyle name="20% - Accent2 3 2 2 9 2 2" xfId="29766" xr:uid="{00000000-0005-0000-0000-0000CF0A0000}"/>
    <cellStyle name="20% - Accent2 3 2 2 9 3" xfId="18066" xr:uid="{00000000-0005-0000-0000-0000D00A0000}"/>
    <cellStyle name="20% - Accent2 3 2 3" xfId="744" xr:uid="{00000000-0005-0000-0000-0000D10A0000}"/>
    <cellStyle name="20% - Accent2 3 2 3 2" xfId="745" xr:uid="{00000000-0005-0000-0000-0000D20A0000}"/>
    <cellStyle name="20% - Accent2 3 2 3 2 2" xfId="10649" xr:uid="{00000000-0005-0000-0000-0000D30A0000}"/>
    <cellStyle name="20% - Accent2 3 2 3 2 2 2" xfId="24591" xr:uid="{00000000-0005-0000-0000-0000D40A0000}"/>
    <cellStyle name="20% - Accent2 3 2 3 2 3" xfId="18068" xr:uid="{00000000-0005-0000-0000-0000D50A0000}"/>
    <cellStyle name="20% - Accent2 3 2 3 3" xfId="746" xr:uid="{00000000-0005-0000-0000-0000D60A0000}"/>
    <cellStyle name="20% - Accent2 3 2 3 3 2" xfId="12652" xr:uid="{00000000-0005-0000-0000-0000D70A0000}"/>
    <cellStyle name="20% - Accent2 3 2 3 3 2 2" xfId="26364" xr:uid="{00000000-0005-0000-0000-0000D80A0000}"/>
    <cellStyle name="20% - Accent2 3 2 3 3 3" xfId="18069" xr:uid="{00000000-0005-0000-0000-0000D90A0000}"/>
    <cellStyle name="20% - Accent2 3 2 3 4" xfId="747" xr:uid="{00000000-0005-0000-0000-0000DA0A0000}"/>
    <cellStyle name="20% - Accent2 3 2 3 4 2" xfId="14692" xr:uid="{00000000-0005-0000-0000-0000DB0A0000}"/>
    <cellStyle name="20% - Accent2 3 2 3 4 2 2" xfId="28241" xr:uid="{00000000-0005-0000-0000-0000DC0A0000}"/>
    <cellStyle name="20% - Accent2 3 2 3 4 3" xfId="18070" xr:uid="{00000000-0005-0000-0000-0000DD0A0000}"/>
    <cellStyle name="20% - Accent2 3 2 3 5" xfId="748" xr:uid="{00000000-0005-0000-0000-0000DE0A0000}"/>
    <cellStyle name="20% - Accent2 3 2 3 5 2" xfId="16651" xr:uid="{00000000-0005-0000-0000-0000DF0A0000}"/>
    <cellStyle name="20% - Accent2 3 2 3 5 2 2" xfId="30058" xr:uid="{00000000-0005-0000-0000-0000E00A0000}"/>
    <cellStyle name="20% - Accent2 3 2 3 5 3" xfId="18071" xr:uid="{00000000-0005-0000-0000-0000E10A0000}"/>
    <cellStyle name="20% - Accent2 3 2 3 6" xfId="8924" xr:uid="{00000000-0005-0000-0000-0000E20A0000}"/>
    <cellStyle name="20% - Accent2 3 2 3 6 2" xfId="23399" xr:uid="{00000000-0005-0000-0000-0000E30A0000}"/>
    <cellStyle name="20% - Accent2 3 2 3 7" xfId="18067" xr:uid="{00000000-0005-0000-0000-0000E40A0000}"/>
    <cellStyle name="20% - Accent2 3 2 4" xfId="749" xr:uid="{00000000-0005-0000-0000-0000E50A0000}"/>
    <cellStyle name="20% - Accent2 3 2 4 2" xfId="750" xr:uid="{00000000-0005-0000-0000-0000E60A0000}"/>
    <cellStyle name="20% - Accent2 3 2 4 2 2" xfId="14693" xr:uid="{00000000-0005-0000-0000-0000E70A0000}"/>
    <cellStyle name="20% - Accent2 3 2 4 2 2 2" xfId="28242" xr:uid="{00000000-0005-0000-0000-0000E80A0000}"/>
    <cellStyle name="20% - Accent2 3 2 4 2 3" xfId="18073" xr:uid="{00000000-0005-0000-0000-0000E90A0000}"/>
    <cellStyle name="20% - Accent2 3 2 4 3" xfId="10646" xr:uid="{00000000-0005-0000-0000-0000EA0A0000}"/>
    <cellStyle name="20% - Accent2 3 2 4 3 2" xfId="24588" xr:uid="{00000000-0005-0000-0000-0000EB0A0000}"/>
    <cellStyle name="20% - Accent2 3 2 4 4" xfId="18072" xr:uid="{00000000-0005-0000-0000-0000EC0A0000}"/>
    <cellStyle name="20% - Accent2 3 2 5" xfId="751" xr:uid="{00000000-0005-0000-0000-0000ED0A0000}"/>
    <cellStyle name="20% - Accent2 3 2 5 2" xfId="12028" xr:uid="{00000000-0005-0000-0000-0000EE0A0000}"/>
    <cellStyle name="20% - Accent2 3 2 5 2 2" xfId="25743" xr:uid="{00000000-0005-0000-0000-0000EF0A0000}"/>
    <cellStyle name="20% - Accent2 3 2 5 3" xfId="18074" xr:uid="{00000000-0005-0000-0000-0000F00A0000}"/>
    <cellStyle name="20% - Accent2 3 2 6" xfId="752" xr:uid="{00000000-0005-0000-0000-0000F10A0000}"/>
    <cellStyle name="20% - Accent2 3 2 6 2" xfId="12642" xr:uid="{00000000-0005-0000-0000-0000F20A0000}"/>
    <cellStyle name="20% - Accent2 3 2 6 2 2" xfId="26354" xr:uid="{00000000-0005-0000-0000-0000F30A0000}"/>
    <cellStyle name="20% - Accent2 3 2 6 3" xfId="18075" xr:uid="{00000000-0005-0000-0000-0000F40A0000}"/>
    <cellStyle name="20% - Accent2 3 2 7" xfId="753" xr:uid="{00000000-0005-0000-0000-0000F50A0000}"/>
    <cellStyle name="20% - Accent2 3 2 7 2" xfId="13603" xr:uid="{00000000-0005-0000-0000-0000F60A0000}"/>
    <cellStyle name="20% - Accent2 3 2 7 2 2" xfId="27152" xr:uid="{00000000-0005-0000-0000-0000F70A0000}"/>
    <cellStyle name="20% - Accent2 3 2 7 3" xfId="18076" xr:uid="{00000000-0005-0000-0000-0000F80A0000}"/>
    <cellStyle name="20% - Accent2 3 2 8" xfId="754" xr:uid="{00000000-0005-0000-0000-0000F90A0000}"/>
    <cellStyle name="20% - Accent2 3 2 8 2" xfId="14184" xr:uid="{00000000-0005-0000-0000-0000FA0A0000}"/>
    <cellStyle name="20% - Accent2 3 2 8 2 2" xfId="27733" xr:uid="{00000000-0005-0000-0000-0000FB0A0000}"/>
    <cellStyle name="20% - Accent2 3 2 8 3" xfId="18077" xr:uid="{00000000-0005-0000-0000-0000FC0A0000}"/>
    <cellStyle name="20% - Accent2 3 2 9" xfId="755" xr:uid="{00000000-0005-0000-0000-0000FD0A0000}"/>
    <cellStyle name="20% - Accent2 3 2 9 2" xfId="14688" xr:uid="{00000000-0005-0000-0000-0000FE0A0000}"/>
    <cellStyle name="20% - Accent2 3 2 9 2 2" xfId="28237" xr:uid="{00000000-0005-0000-0000-0000FF0A0000}"/>
    <cellStyle name="20% - Accent2 3 2 9 3" xfId="18078" xr:uid="{00000000-0005-0000-0000-0000000B0000}"/>
    <cellStyle name="20% - Accent2 3 3" xfId="756" xr:uid="{00000000-0005-0000-0000-0000010B0000}"/>
    <cellStyle name="20% - Accent2 3 3 10" xfId="8925" xr:uid="{00000000-0005-0000-0000-0000020B0000}"/>
    <cellStyle name="20% - Accent2 3 3 10 2" xfId="23400" xr:uid="{00000000-0005-0000-0000-0000030B0000}"/>
    <cellStyle name="20% - Accent2 3 3 11" xfId="18079" xr:uid="{00000000-0005-0000-0000-0000040B0000}"/>
    <cellStyle name="20% - Accent2 3 3 2" xfId="757" xr:uid="{00000000-0005-0000-0000-0000050B0000}"/>
    <cellStyle name="20% - Accent2 3 3 2 2" xfId="758" xr:uid="{00000000-0005-0000-0000-0000060B0000}"/>
    <cellStyle name="20% - Accent2 3 3 2 2 2" xfId="10651" xr:uid="{00000000-0005-0000-0000-0000070B0000}"/>
    <cellStyle name="20% - Accent2 3 3 2 2 2 2" xfId="24593" xr:uid="{00000000-0005-0000-0000-0000080B0000}"/>
    <cellStyle name="20% - Accent2 3 3 2 2 3" xfId="18081" xr:uid="{00000000-0005-0000-0000-0000090B0000}"/>
    <cellStyle name="20% - Accent2 3 3 2 3" xfId="759" xr:uid="{00000000-0005-0000-0000-00000A0B0000}"/>
    <cellStyle name="20% - Accent2 3 3 2 3 2" xfId="12791" xr:uid="{00000000-0005-0000-0000-00000B0B0000}"/>
    <cellStyle name="20% - Accent2 3 3 2 3 2 2" xfId="26503" xr:uid="{00000000-0005-0000-0000-00000C0B0000}"/>
    <cellStyle name="20% - Accent2 3 3 2 3 3" xfId="18082" xr:uid="{00000000-0005-0000-0000-00000D0B0000}"/>
    <cellStyle name="20% - Accent2 3 3 2 4" xfId="760" xr:uid="{00000000-0005-0000-0000-00000E0B0000}"/>
    <cellStyle name="20% - Accent2 3 3 2 4 2" xfId="14695" xr:uid="{00000000-0005-0000-0000-00000F0B0000}"/>
    <cellStyle name="20% - Accent2 3 3 2 4 2 2" xfId="28244" xr:uid="{00000000-0005-0000-0000-0000100B0000}"/>
    <cellStyle name="20% - Accent2 3 3 2 4 3" xfId="18083" xr:uid="{00000000-0005-0000-0000-0000110B0000}"/>
    <cellStyle name="20% - Accent2 3 3 2 5" xfId="761" xr:uid="{00000000-0005-0000-0000-0000120B0000}"/>
    <cellStyle name="20% - Accent2 3 3 2 5 2" xfId="16797" xr:uid="{00000000-0005-0000-0000-0000130B0000}"/>
    <cellStyle name="20% - Accent2 3 3 2 5 2 2" xfId="30204" xr:uid="{00000000-0005-0000-0000-0000140B0000}"/>
    <cellStyle name="20% - Accent2 3 3 2 5 3" xfId="18084" xr:uid="{00000000-0005-0000-0000-0000150B0000}"/>
    <cellStyle name="20% - Accent2 3 3 2 6" xfId="8926" xr:uid="{00000000-0005-0000-0000-0000160B0000}"/>
    <cellStyle name="20% - Accent2 3 3 2 6 2" xfId="23401" xr:uid="{00000000-0005-0000-0000-0000170B0000}"/>
    <cellStyle name="20% - Accent2 3 3 2 7" xfId="18080" xr:uid="{00000000-0005-0000-0000-0000180B0000}"/>
    <cellStyle name="20% - Accent2 3 3 3" xfId="762" xr:uid="{00000000-0005-0000-0000-0000190B0000}"/>
    <cellStyle name="20% - Accent2 3 3 3 2" xfId="763" xr:uid="{00000000-0005-0000-0000-00001A0B0000}"/>
    <cellStyle name="20% - Accent2 3 3 3 2 2" xfId="14696" xr:uid="{00000000-0005-0000-0000-00001B0B0000}"/>
    <cellStyle name="20% - Accent2 3 3 3 2 2 2" xfId="28245" xr:uid="{00000000-0005-0000-0000-00001C0B0000}"/>
    <cellStyle name="20% - Accent2 3 3 3 2 3" xfId="18086" xr:uid="{00000000-0005-0000-0000-00001D0B0000}"/>
    <cellStyle name="20% - Accent2 3 3 3 3" xfId="10650" xr:uid="{00000000-0005-0000-0000-00001E0B0000}"/>
    <cellStyle name="20% - Accent2 3 3 3 3 2" xfId="24592" xr:uid="{00000000-0005-0000-0000-00001F0B0000}"/>
    <cellStyle name="20% - Accent2 3 3 3 4" xfId="18085" xr:uid="{00000000-0005-0000-0000-0000200B0000}"/>
    <cellStyle name="20% - Accent2 3 3 4" xfId="764" xr:uid="{00000000-0005-0000-0000-0000210B0000}"/>
    <cellStyle name="20% - Accent2 3 3 4 2" xfId="12185" xr:uid="{00000000-0005-0000-0000-0000220B0000}"/>
    <cellStyle name="20% - Accent2 3 3 4 2 2" xfId="25897" xr:uid="{00000000-0005-0000-0000-0000230B0000}"/>
    <cellStyle name="20% - Accent2 3 3 4 3" xfId="18087" xr:uid="{00000000-0005-0000-0000-0000240B0000}"/>
    <cellStyle name="20% - Accent2 3 3 5" xfId="765" xr:uid="{00000000-0005-0000-0000-0000250B0000}"/>
    <cellStyle name="20% - Accent2 3 3 5 2" xfId="12734" xr:uid="{00000000-0005-0000-0000-0000260B0000}"/>
    <cellStyle name="20% - Accent2 3 3 5 2 2" xfId="26446" xr:uid="{00000000-0005-0000-0000-0000270B0000}"/>
    <cellStyle name="20% - Accent2 3 3 5 3" xfId="18088" xr:uid="{00000000-0005-0000-0000-0000280B0000}"/>
    <cellStyle name="20% - Accent2 3 3 6" xfId="766" xr:uid="{00000000-0005-0000-0000-0000290B0000}"/>
    <cellStyle name="20% - Accent2 3 3 6 2" xfId="13749" xr:uid="{00000000-0005-0000-0000-00002A0B0000}"/>
    <cellStyle name="20% - Accent2 3 3 6 2 2" xfId="27298" xr:uid="{00000000-0005-0000-0000-00002B0B0000}"/>
    <cellStyle name="20% - Accent2 3 3 6 3" xfId="18089" xr:uid="{00000000-0005-0000-0000-00002C0B0000}"/>
    <cellStyle name="20% - Accent2 3 3 7" xfId="767" xr:uid="{00000000-0005-0000-0000-00002D0B0000}"/>
    <cellStyle name="20% - Accent2 3 3 7 2" xfId="14330" xr:uid="{00000000-0005-0000-0000-00002E0B0000}"/>
    <cellStyle name="20% - Accent2 3 3 7 2 2" xfId="27879" xr:uid="{00000000-0005-0000-0000-00002F0B0000}"/>
    <cellStyle name="20% - Accent2 3 3 7 3" xfId="18090" xr:uid="{00000000-0005-0000-0000-0000300B0000}"/>
    <cellStyle name="20% - Accent2 3 3 8" xfId="768" xr:uid="{00000000-0005-0000-0000-0000310B0000}"/>
    <cellStyle name="20% - Accent2 3 3 8 2" xfId="14694" xr:uid="{00000000-0005-0000-0000-0000320B0000}"/>
    <cellStyle name="20% - Accent2 3 3 8 2 2" xfId="28243" xr:uid="{00000000-0005-0000-0000-0000330B0000}"/>
    <cellStyle name="20% - Accent2 3 3 8 3" xfId="18091" xr:uid="{00000000-0005-0000-0000-0000340B0000}"/>
    <cellStyle name="20% - Accent2 3 3 9" xfId="769" xr:uid="{00000000-0005-0000-0000-0000350B0000}"/>
    <cellStyle name="20% - Accent2 3 3 9 2" xfId="16216" xr:uid="{00000000-0005-0000-0000-0000360B0000}"/>
    <cellStyle name="20% - Accent2 3 3 9 2 2" xfId="29623" xr:uid="{00000000-0005-0000-0000-0000370B0000}"/>
    <cellStyle name="20% - Accent2 3 3 9 3" xfId="18092" xr:uid="{00000000-0005-0000-0000-0000380B0000}"/>
    <cellStyle name="20% - Accent2 3 4" xfId="770" xr:uid="{00000000-0005-0000-0000-0000390B0000}"/>
    <cellStyle name="20% - Accent2 3 4 2" xfId="771" xr:uid="{00000000-0005-0000-0000-00003A0B0000}"/>
    <cellStyle name="20% - Accent2 3 4 2 2" xfId="10652" xr:uid="{00000000-0005-0000-0000-00003B0B0000}"/>
    <cellStyle name="20% - Accent2 3 4 2 2 2" xfId="24594" xr:uid="{00000000-0005-0000-0000-00003C0B0000}"/>
    <cellStyle name="20% - Accent2 3 4 2 3" xfId="18094" xr:uid="{00000000-0005-0000-0000-00003D0B0000}"/>
    <cellStyle name="20% - Accent2 3 4 3" xfId="772" xr:uid="{00000000-0005-0000-0000-00003E0B0000}"/>
    <cellStyle name="20% - Accent2 3 4 3 2" xfId="12758" xr:uid="{00000000-0005-0000-0000-00003F0B0000}"/>
    <cellStyle name="20% - Accent2 3 4 3 2 2" xfId="26470" xr:uid="{00000000-0005-0000-0000-0000400B0000}"/>
    <cellStyle name="20% - Accent2 3 4 3 3" xfId="18095" xr:uid="{00000000-0005-0000-0000-0000410B0000}"/>
    <cellStyle name="20% - Accent2 3 4 4" xfId="773" xr:uid="{00000000-0005-0000-0000-0000420B0000}"/>
    <cellStyle name="20% - Accent2 3 4 4 2" xfId="14697" xr:uid="{00000000-0005-0000-0000-0000430B0000}"/>
    <cellStyle name="20% - Accent2 3 4 4 2 2" xfId="28246" xr:uid="{00000000-0005-0000-0000-0000440B0000}"/>
    <cellStyle name="20% - Accent2 3 4 4 3" xfId="18096" xr:uid="{00000000-0005-0000-0000-0000450B0000}"/>
    <cellStyle name="20% - Accent2 3 4 5" xfId="774" xr:uid="{00000000-0005-0000-0000-0000460B0000}"/>
    <cellStyle name="20% - Accent2 3 4 5 2" xfId="17144" xr:uid="{00000000-0005-0000-0000-0000470B0000}"/>
    <cellStyle name="20% - Accent2 3 4 5 2 2" xfId="30503" xr:uid="{00000000-0005-0000-0000-0000480B0000}"/>
    <cellStyle name="20% - Accent2 3 4 5 3" xfId="18097" xr:uid="{00000000-0005-0000-0000-0000490B0000}"/>
    <cellStyle name="20% - Accent2 3 4 6" xfId="8927" xr:uid="{00000000-0005-0000-0000-00004A0B0000}"/>
    <cellStyle name="20% - Accent2 3 4 6 2" xfId="23402" xr:uid="{00000000-0005-0000-0000-00004B0B0000}"/>
    <cellStyle name="20% - Accent2 3 4 7" xfId="18093" xr:uid="{00000000-0005-0000-0000-00004C0B0000}"/>
    <cellStyle name="20% - Accent2 3 5" xfId="775" xr:uid="{00000000-0005-0000-0000-00004D0B0000}"/>
    <cellStyle name="20% - Accent2 3 5 2" xfId="776" xr:uid="{00000000-0005-0000-0000-00004E0B0000}"/>
    <cellStyle name="20% - Accent2 3 5 2 2" xfId="10653" xr:uid="{00000000-0005-0000-0000-00004F0B0000}"/>
    <cellStyle name="20% - Accent2 3 5 2 2 2" xfId="24595" xr:uid="{00000000-0005-0000-0000-0000500B0000}"/>
    <cellStyle name="20% - Accent2 3 5 2 3" xfId="18099" xr:uid="{00000000-0005-0000-0000-0000510B0000}"/>
    <cellStyle name="20% - Accent2 3 5 3" xfId="777" xr:uid="{00000000-0005-0000-0000-0000520B0000}"/>
    <cellStyle name="20% - Accent2 3 5 3 2" xfId="12424" xr:uid="{00000000-0005-0000-0000-0000530B0000}"/>
    <cellStyle name="20% - Accent2 3 5 3 2 2" xfId="26136" xr:uid="{00000000-0005-0000-0000-0000540B0000}"/>
    <cellStyle name="20% - Accent2 3 5 3 3" xfId="18100" xr:uid="{00000000-0005-0000-0000-0000550B0000}"/>
    <cellStyle name="20% - Accent2 3 5 4" xfId="778" xr:uid="{00000000-0005-0000-0000-0000560B0000}"/>
    <cellStyle name="20% - Accent2 3 5 4 2" xfId="14698" xr:uid="{00000000-0005-0000-0000-0000570B0000}"/>
    <cellStyle name="20% - Accent2 3 5 4 2 2" xfId="28247" xr:uid="{00000000-0005-0000-0000-0000580B0000}"/>
    <cellStyle name="20% - Accent2 3 5 4 3" xfId="18101" xr:uid="{00000000-0005-0000-0000-0000590B0000}"/>
    <cellStyle name="20% - Accent2 3 5 5" xfId="779" xr:uid="{00000000-0005-0000-0000-00005A0B0000}"/>
    <cellStyle name="20% - Accent2 3 5 5 2" xfId="17233" xr:uid="{00000000-0005-0000-0000-00005B0B0000}"/>
    <cellStyle name="20% - Accent2 3 5 5 2 2" xfId="30592" xr:uid="{00000000-0005-0000-0000-00005C0B0000}"/>
    <cellStyle name="20% - Accent2 3 5 5 3" xfId="18102" xr:uid="{00000000-0005-0000-0000-00005D0B0000}"/>
    <cellStyle name="20% - Accent2 3 5 6" xfId="8928" xr:uid="{00000000-0005-0000-0000-00005E0B0000}"/>
    <cellStyle name="20% - Accent2 3 5 6 2" xfId="23403" xr:uid="{00000000-0005-0000-0000-00005F0B0000}"/>
    <cellStyle name="20% - Accent2 3 5 7" xfId="18098" xr:uid="{00000000-0005-0000-0000-0000600B0000}"/>
    <cellStyle name="20% - Accent2 3 6" xfId="780" xr:uid="{00000000-0005-0000-0000-0000610B0000}"/>
    <cellStyle name="20% - Accent2 3 6 2" xfId="781" xr:uid="{00000000-0005-0000-0000-0000620B0000}"/>
    <cellStyle name="20% - Accent2 3 6 2 2" xfId="14699" xr:uid="{00000000-0005-0000-0000-0000630B0000}"/>
    <cellStyle name="20% - Accent2 3 6 2 2 2" xfId="28248" xr:uid="{00000000-0005-0000-0000-0000640B0000}"/>
    <cellStyle name="20% - Accent2 3 6 2 3" xfId="18104" xr:uid="{00000000-0005-0000-0000-0000650B0000}"/>
    <cellStyle name="20% - Accent2 3 6 3" xfId="782" xr:uid="{00000000-0005-0000-0000-0000660B0000}"/>
    <cellStyle name="20% - Accent2 3 6 3 2" xfId="16508" xr:uid="{00000000-0005-0000-0000-0000670B0000}"/>
    <cellStyle name="20% - Accent2 3 6 3 2 2" xfId="29915" xr:uid="{00000000-0005-0000-0000-0000680B0000}"/>
    <cellStyle name="20% - Accent2 3 6 3 3" xfId="18105" xr:uid="{00000000-0005-0000-0000-0000690B0000}"/>
    <cellStyle name="20% - Accent2 3 6 4" xfId="10645" xr:uid="{00000000-0005-0000-0000-00006A0B0000}"/>
    <cellStyle name="20% - Accent2 3 6 4 2" xfId="24587" xr:uid="{00000000-0005-0000-0000-00006B0B0000}"/>
    <cellStyle name="20% - Accent2 3 6 5" xfId="18103" xr:uid="{00000000-0005-0000-0000-00006C0B0000}"/>
    <cellStyle name="20% - Accent2 3 7" xfId="783" xr:uid="{00000000-0005-0000-0000-00006D0B0000}"/>
    <cellStyle name="20% - Accent2 3 7 2" xfId="11880" xr:uid="{00000000-0005-0000-0000-00006E0B0000}"/>
    <cellStyle name="20% - Accent2 3 7 2 2" xfId="25595" xr:uid="{00000000-0005-0000-0000-00006F0B0000}"/>
    <cellStyle name="20% - Accent2 3 7 3" xfId="18106" xr:uid="{00000000-0005-0000-0000-0000700B0000}"/>
    <cellStyle name="20% - Accent2 3 8" xfId="784" xr:uid="{00000000-0005-0000-0000-0000710B0000}"/>
    <cellStyle name="20% - Accent2 3 8 2" xfId="12755" xr:uid="{00000000-0005-0000-0000-0000720B0000}"/>
    <cellStyle name="20% - Accent2 3 8 2 2" xfId="26467" xr:uid="{00000000-0005-0000-0000-0000730B0000}"/>
    <cellStyle name="20% - Accent2 3 8 3" xfId="18107" xr:uid="{00000000-0005-0000-0000-0000740B0000}"/>
    <cellStyle name="20% - Accent2 3 9" xfId="785" xr:uid="{00000000-0005-0000-0000-0000750B0000}"/>
    <cellStyle name="20% - Accent2 3 9 2" xfId="13460" xr:uid="{00000000-0005-0000-0000-0000760B0000}"/>
    <cellStyle name="20% - Accent2 3 9 2 2" xfId="27009" xr:uid="{00000000-0005-0000-0000-0000770B0000}"/>
    <cellStyle name="20% - Accent2 3 9 3" xfId="18108" xr:uid="{00000000-0005-0000-0000-0000780B0000}"/>
    <cellStyle name="20% - Accent2 30" xfId="23250" xr:uid="{00000000-0005-0000-0000-0000790B0000}"/>
    <cellStyle name="20% - Accent2 4" xfId="786" xr:uid="{00000000-0005-0000-0000-00007A0B0000}"/>
    <cellStyle name="20% - Accent2 4 10" xfId="787" xr:uid="{00000000-0005-0000-0000-00007B0B0000}"/>
    <cellStyle name="20% - Accent2 4 10 2" xfId="14700" xr:uid="{00000000-0005-0000-0000-00007C0B0000}"/>
    <cellStyle name="20% - Accent2 4 10 2 2" xfId="28249" xr:uid="{00000000-0005-0000-0000-00007D0B0000}"/>
    <cellStyle name="20% - Accent2 4 10 3" xfId="18110" xr:uid="{00000000-0005-0000-0000-00007E0B0000}"/>
    <cellStyle name="20% - Accent2 4 11" xfId="788" xr:uid="{00000000-0005-0000-0000-00007F0B0000}"/>
    <cellStyle name="20% - Accent2 4 11 2" xfId="15880" xr:uid="{00000000-0005-0000-0000-0000800B0000}"/>
    <cellStyle name="20% - Accent2 4 11 2 2" xfId="29287" xr:uid="{00000000-0005-0000-0000-0000810B0000}"/>
    <cellStyle name="20% - Accent2 4 11 3" xfId="18111" xr:uid="{00000000-0005-0000-0000-0000820B0000}"/>
    <cellStyle name="20% - Accent2 4 12" xfId="8929" xr:uid="{00000000-0005-0000-0000-0000830B0000}"/>
    <cellStyle name="20% - Accent2 4 12 2" xfId="23404" xr:uid="{00000000-0005-0000-0000-0000840B0000}"/>
    <cellStyle name="20% - Accent2 4 13" xfId="18109" xr:uid="{00000000-0005-0000-0000-0000850B0000}"/>
    <cellStyle name="20% - Accent2 4 2" xfId="789" xr:uid="{00000000-0005-0000-0000-0000860B0000}"/>
    <cellStyle name="20% - Accent2 4 2 10" xfId="790" xr:uid="{00000000-0005-0000-0000-0000870B0000}"/>
    <cellStyle name="20% - Accent2 4 2 10 2" xfId="16023" xr:uid="{00000000-0005-0000-0000-0000880B0000}"/>
    <cellStyle name="20% - Accent2 4 2 10 2 2" xfId="29430" xr:uid="{00000000-0005-0000-0000-0000890B0000}"/>
    <cellStyle name="20% - Accent2 4 2 10 3" xfId="18113" xr:uid="{00000000-0005-0000-0000-00008A0B0000}"/>
    <cellStyle name="20% - Accent2 4 2 11" xfId="8930" xr:uid="{00000000-0005-0000-0000-00008B0B0000}"/>
    <cellStyle name="20% - Accent2 4 2 11 2" xfId="23405" xr:uid="{00000000-0005-0000-0000-00008C0B0000}"/>
    <cellStyle name="20% - Accent2 4 2 12" xfId="18112" xr:uid="{00000000-0005-0000-0000-00008D0B0000}"/>
    <cellStyle name="20% - Accent2 4 2 2" xfId="791" xr:uid="{00000000-0005-0000-0000-00008E0B0000}"/>
    <cellStyle name="20% - Accent2 4 2 2 10" xfId="8931" xr:uid="{00000000-0005-0000-0000-00008F0B0000}"/>
    <cellStyle name="20% - Accent2 4 2 2 10 2" xfId="23406" xr:uid="{00000000-0005-0000-0000-0000900B0000}"/>
    <cellStyle name="20% - Accent2 4 2 2 11" xfId="18114" xr:uid="{00000000-0005-0000-0000-0000910B0000}"/>
    <cellStyle name="20% - Accent2 4 2 2 2" xfId="792" xr:uid="{00000000-0005-0000-0000-0000920B0000}"/>
    <cellStyle name="20% - Accent2 4 2 2 2 2" xfId="793" xr:uid="{00000000-0005-0000-0000-0000930B0000}"/>
    <cellStyle name="20% - Accent2 4 2 2 2 2 2" xfId="10657" xr:uid="{00000000-0005-0000-0000-0000940B0000}"/>
    <cellStyle name="20% - Accent2 4 2 2 2 2 2 2" xfId="24599" xr:uid="{00000000-0005-0000-0000-0000950B0000}"/>
    <cellStyle name="20% - Accent2 4 2 2 2 2 3" xfId="18116" xr:uid="{00000000-0005-0000-0000-0000960B0000}"/>
    <cellStyle name="20% - Accent2 4 2 2 2 3" xfId="794" xr:uid="{00000000-0005-0000-0000-0000970B0000}"/>
    <cellStyle name="20% - Accent2 4 2 2 2 3 2" xfId="12615" xr:uid="{00000000-0005-0000-0000-0000980B0000}"/>
    <cellStyle name="20% - Accent2 4 2 2 2 3 2 2" xfId="26327" xr:uid="{00000000-0005-0000-0000-0000990B0000}"/>
    <cellStyle name="20% - Accent2 4 2 2 2 3 3" xfId="18117" xr:uid="{00000000-0005-0000-0000-00009A0B0000}"/>
    <cellStyle name="20% - Accent2 4 2 2 2 4" xfId="795" xr:uid="{00000000-0005-0000-0000-00009B0B0000}"/>
    <cellStyle name="20% - Accent2 4 2 2 2 4 2" xfId="14703" xr:uid="{00000000-0005-0000-0000-00009C0B0000}"/>
    <cellStyle name="20% - Accent2 4 2 2 2 4 2 2" xfId="28252" xr:uid="{00000000-0005-0000-0000-00009D0B0000}"/>
    <cellStyle name="20% - Accent2 4 2 2 2 4 3" xfId="18118" xr:uid="{00000000-0005-0000-0000-00009E0B0000}"/>
    <cellStyle name="20% - Accent2 4 2 2 2 5" xfId="796" xr:uid="{00000000-0005-0000-0000-00009F0B0000}"/>
    <cellStyle name="20% - Accent2 4 2 2 2 5 2" xfId="16893" xr:uid="{00000000-0005-0000-0000-0000A00B0000}"/>
    <cellStyle name="20% - Accent2 4 2 2 2 5 2 2" xfId="30300" xr:uid="{00000000-0005-0000-0000-0000A10B0000}"/>
    <cellStyle name="20% - Accent2 4 2 2 2 5 3" xfId="18119" xr:uid="{00000000-0005-0000-0000-0000A20B0000}"/>
    <cellStyle name="20% - Accent2 4 2 2 2 6" xfId="8932" xr:uid="{00000000-0005-0000-0000-0000A30B0000}"/>
    <cellStyle name="20% - Accent2 4 2 2 2 6 2" xfId="23407" xr:uid="{00000000-0005-0000-0000-0000A40B0000}"/>
    <cellStyle name="20% - Accent2 4 2 2 2 7" xfId="18115" xr:uid="{00000000-0005-0000-0000-0000A50B0000}"/>
    <cellStyle name="20% - Accent2 4 2 2 3" xfId="797" xr:uid="{00000000-0005-0000-0000-0000A60B0000}"/>
    <cellStyle name="20% - Accent2 4 2 2 3 2" xfId="798" xr:uid="{00000000-0005-0000-0000-0000A70B0000}"/>
    <cellStyle name="20% - Accent2 4 2 2 3 2 2" xfId="14704" xr:uid="{00000000-0005-0000-0000-0000A80B0000}"/>
    <cellStyle name="20% - Accent2 4 2 2 3 2 2 2" xfId="28253" xr:uid="{00000000-0005-0000-0000-0000A90B0000}"/>
    <cellStyle name="20% - Accent2 4 2 2 3 2 3" xfId="18121" xr:uid="{00000000-0005-0000-0000-0000AA0B0000}"/>
    <cellStyle name="20% - Accent2 4 2 2 3 3" xfId="10656" xr:uid="{00000000-0005-0000-0000-0000AB0B0000}"/>
    <cellStyle name="20% - Accent2 4 2 2 3 3 2" xfId="24598" xr:uid="{00000000-0005-0000-0000-0000AC0B0000}"/>
    <cellStyle name="20% - Accent2 4 2 2 3 4" xfId="18120" xr:uid="{00000000-0005-0000-0000-0000AD0B0000}"/>
    <cellStyle name="20% - Accent2 4 2 2 4" xfId="799" xr:uid="{00000000-0005-0000-0000-0000AE0B0000}"/>
    <cellStyle name="20% - Accent2 4 2 2 4 2" xfId="12281" xr:uid="{00000000-0005-0000-0000-0000AF0B0000}"/>
    <cellStyle name="20% - Accent2 4 2 2 4 2 2" xfId="25993" xr:uid="{00000000-0005-0000-0000-0000B00B0000}"/>
    <cellStyle name="20% - Accent2 4 2 2 4 3" xfId="18122" xr:uid="{00000000-0005-0000-0000-0000B10B0000}"/>
    <cellStyle name="20% - Accent2 4 2 2 5" xfId="800" xr:uid="{00000000-0005-0000-0000-0000B20B0000}"/>
    <cellStyle name="20% - Accent2 4 2 2 5 2" xfId="11779" xr:uid="{00000000-0005-0000-0000-0000B30B0000}"/>
    <cellStyle name="20% - Accent2 4 2 2 5 2 2" xfId="25494" xr:uid="{00000000-0005-0000-0000-0000B40B0000}"/>
    <cellStyle name="20% - Accent2 4 2 2 5 3" xfId="18123" xr:uid="{00000000-0005-0000-0000-0000B50B0000}"/>
    <cellStyle name="20% - Accent2 4 2 2 6" xfId="801" xr:uid="{00000000-0005-0000-0000-0000B60B0000}"/>
    <cellStyle name="20% - Accent2 4 2 2 6 2" xfId="13845" xr:uid="{00000000-0005-0000-0000-0000B70B0000}"/>
    <cellStyle name="20% - Accent2 4 2 2 6 2 2" xfId="27394" xr:uid="{00000000-0005-0000-0000-0000B80B0000}"/>
    <cellStyle name="20% - Accent2 4 2 2 6 3" xfId="18124" xr:uid="{00000000-0005-0000-0000-0000B90B0000}"/>
    <cellStyle name="20% - Accent2 4 2 2 7" xfId="802" xr:uid="{00000000-0005-0000-0000-0000BA0B0000}"/>
    <cellStyle name="20% - Accent2 4 2 2 7 2" xfId="14426" xr:uid="{00000000-0005-0000-0000-0000BB0B0000}"/>
    <cellStyle name="20% - Accent2 4 2 2 7 2 2" xfId="27975" xr:uid="{00000000-0005-0000-0000-0000BC0B0000}"/>
    <cellStyle name="20% - Accent2 4 2 2 7 3" xfId="18125" xr:uid="{00000000-0005-0000-0000-0000BD0B0000}"/>
    <cellStyle name="20% - Accent2 4 2 2 8" xfId="803" xr:uid="{00000000-0005-0000-0000-0000BE0B0000}"/>
    <cellStyle name="20% - Accent2 4 2 2 8 2" xfId="14702" xr:uid="{00000000-0005-0000-0000-0000BF0B0000}"/>
    <cellStyle name="20% - Accent2 4 2 2 8 2 2" xfId="28251" xr:uid="{00000000-0005-0000-0000-0000C00B0000}"/>
    <cellStyle name="20% - Accent2 4 2 2 8 3" xfId="18126" xr:uid="{00000000-0005-0000-0000-0000C10B0000}"/>
    <cellStyle name="20% - Accent2 4 2 2 9" xfId="804" xr:uid="{00000000-0005-0000-0000-0000C20B0000}"/>
    <cellStyle name="20% - Accent2 4 2 2 9 2" xfId="16312" xr:uid="{00000000-0005-0000-0000-0000C30B0000}"/>
    <cellStyle name="20% - Accent2 4 2 2 9 2 2" xfId="29719" xr:uid="{00000000-0005-0000-0000-0000C40B0000}"/>
    <cellStyle name="20% - Accent2 4 2 2 9 3" xfId="18127" xr:uid="{00000000-0005-0000-0000-0000C50B0000}"/>
    <cellStyle name="20% - Accent2 4 2 3" xfId="805" xr:uid="{00000000-0005-0000-0000-0000C60B0000}"/>
    <cellStyle name="20% - Accent2 4 2 3 2" xfId="806" xr:uid="{00000000-0005-0000-0000-0000C70B0000}"/>
    <cellStyle name="20% - Accent2 4 2 3 2 2" xfId="10658" xr:uid="{00000000-0005-0000-0000-0000C80B0000}"/>
    <cellStyle name="20% - Accent2 4 2 3 2 2 2" xfId="24600" xr:uid="{00000000-0005-0000-0000-0000C90B0000}"/>
    <cellStyle name="20% - Accent2 4 2 3 2 3" xfId="18129" xr:uid="{00000000-0005-0000-0000-0000CA0B0000}"/>
    <cellStyle name="20% - Accent2 4 2 3 3" xfId="807" xr:uid="{00000000-0005-0000-0000-0000CB0B0000}"/>
    <cellStyle name="20% - Accent2 4 2 3 3 2" xfId="11762" xr:uid="{00000000-0005-0000-0000-0000CC0B0000}"/>
    <cellStyle name="20% - Accent2 4 2 3 3 2 2" xfId="25477" xr:uid="{00000000-0005-0000-0000-0000CD0B0000}"/>
    <cellStyle name="20% - Accent2 4 2 3 3 3" xfId="18130" xr:uid="{00000000-0005-0000-0000-0000CE0B0000}"/>
    <cellStyle name="20% - Accent2 4 2 3 4" xfId="808" xr:uid="{00000000-0005-0000-0000-0000CF0B0000}"/>
    <cellStyle name="20% - Accent2 4 2 3 4 2" xfId="14705" xr:uid="{00000000-0005-0000-0000-0000D00B0000}"/>
    <cellStyle name="20% - Accent2 4 2 3 4 2 2" xfId="28254" xr:uid="{00000000-0005-0000-0000-0000D10B0000}"/>
    <cellStyle name="20% - Accent2 4 2 3 4 3" xfId="18131" xr:uid="{00000000-0005-0000-0000-0000D20B0000}"/>
    <cellStyle name="20% - Accent2 4 2 3 5" xfId="809" xr:uid="{00000000-0005-0000-0000-0000D30B0000}"/>
    <cellStyle name="20% - Accent2 4 2 3 5 2" xfId="16604" xr:uid="{00000000-0005-0000-0000-0000D40B0000}"/>
    <cellStyle name="20% - Accent2 4 2 3 5 2 2" xfId="30011" xr:uid="{00000000-0005-0000-0000-0000D50B0000}"/>
    <cellStyle name="20% - Accent2 4 2 3 5 3" xfId="18132" xr:uid="{00000000-0005-0000-0000-0000D60B0000}"/>
    <cellStyle name="20% - Accent2 4 2 3 6" xfId="8933" xr:uid="{00000000-0005-0000-0000-0000D70B0000}"/>
    <cellStyle name="20% - Accent2 4 2 3 6 2" xfId="23408" xr:uid="{00000000-0005-0000-0000-0000D80B0000}"/>
    <cellStyle name="20% - Accent2 4 2 3 7" xfId="18128" xr:uid="{00000000-0005-0000-0000-0000D90B0000}"/>
    <cellStyle name="20% - Accent2 4 2 4" xfId="810" xr:uid="{00000000-0005-0000-0000-0000DA0B0000}"/>
    <cellStyle name="20% - Accent2 4 2 4 2" xfId="811" xr:uid="{00000000-0005-0000-0000-0000DB0B0000}"/>
    <cellStyle name="20% - Accent2 4 2 4 2 2" xfId="14706" xr:uid="{00000000-0005-0000-0000-0000DC0B0000}"/>
    <cellStyle name="20% - Accent2 4 2 4 2 2 2" xfId="28255" xr:uid="{00000000-0005-0000-0000-0000DD0B0000}"/>
    <cellStyle name="20% - Accent2 4 2 4 2 3" xfId="18134" xr:uid="{00000000-0005-0000-0000-0000DE0B0000}"/>
    <cellStyle name="20% - Accent2 4 2 4 3" xfId="10655" xr:uid="{00000000-0005-0000-0000-0000DF0B0000}"/>
    <cellStyle name="20% - Accent2 4 2 4 3 2" xfId="24597" xr:uid="{00000000-0005-0000-0000-0000E00B0000}"/>
    <cellStyle name="20% - Accent2 4 2 4 4" xfId="18133" xr:uid="{00000000-0005-0000-0000-0000E10B0000}"/>
    <cellStyle name="20% - Accent2 4 2 5" xfId="812" xr:uid="{00000000-0005-0000-0000-0000E20B0000}"/>
    <cellStyle name="20% - Accent2 4 2 5 2" xfId="11981" xr:uid="{00000000-0005-0000-0000-0000E30B0000}"/>
    <cellStyle name="20% - Accent2 4 2 5 2 2" xfId="25696" xr:uid="{00000000-0005-0000-0000-0000E40B0000}"/>
    <cellStyle name="20% - Accent2 4 2 5 3" xfId="18135" xr:uid="{00000000-0005-0000-0000-0000E50B0000}"/>
    <cellStyle name="20% - Accent2 4 2 6" xfId="813" xr:uid="{00000000-0005-0000-0000-0000E60B0000}"/>
    <cellStyle name="20% - Accent2 4 2 6 2" xfId="12746" xr:uid="{00000000-0005-0000-0000-0000E70B0000}"/>
    <cellStyle name="20% - Accent2 4 2 6 2 2" xfId="26458" xr:uid="{00000000-0005-0000-0000-0000E80B0000}"/>
    <cellStyle name="20% - Accent2 4 2 6 3" xfId="18136" xr:uid="{00000000-0005-0000-0000-0000E90B0000}"/>
    <cellStyle name="20% - Accent2 4 2 7" xfId="814" xr:uid="{00000000-0005-0000-0000-0000EA0B0000}"/>
    <cellStyle name="20% - Accent2 4 2 7 2" xfId="13556" xr:uid="{00000000-0005-0000-0000-0000EB0B0000}"/>
    <cellStyle name="20% - Accent2 4 2 7 2 2" xfId="27105" xr:uid="{00000000-0005-0000-0000-0000EC0B0000}"/>
    <cellStyle name="20% - Accent2 4 2 7 3" xfId="18137" xr:uid="{00000000-0005-0000-0000-0000ED0B0000}"/>
    <cellStyle name="20% - Accent2 4 2 8" xfId="815" xr:uid="{00000000-0005-0000-0000-0000EE0B0000}"/>
    <cellStyle name="20% - Accent2 4 2 8 2" xfId="14137" xr:uid="{00000000-0005-0000-0000-0000EF0B0000}"/>
    <cellStyle name="20% - Accent2 4 2 8 2 2" xfId="27686" xr:uid="{00000000-0005-0000-0000-0000F00B0000}"/>
    <cellStyle name="20% - Accent2 4 2 8 3" xfId="18138" xr:uid="{00000000-0005-0000-0000-0000F10B0000}"/>
    <cellStyle name="20% - Accent2 4 2 9" xfId="816" xr:uid="{00000000-0005-0000-0000-0000F20B0000}"/>
    <cellStyle name="20% - Accent2 4 2 9 2" xfId="14701" xr:uid="{00000000-0005-0000-0000-0000F30B0000}"/>
    <cellStyle name="20% - Accent2 4 2 9 2 2" xfId="28250" xr:uid="{00000000-0005-0000-0000-0000F40B0000}"/>
    <cellStyle name="20% - Accent2 4 2 9 3" xfId="18139" xr:uid="{00000000-0005-0000-0000-0000F50B0000}"/>
    <cellStyle name="20% - Accent2 4 3" xfId="817" xr:uid="{00000000-0005-0000-0000-0000F60B0000}"/>
    <cellStyle name="20% - Accent2 4 3 10" xfId="8934" xr:uid="{00000000-0005-0000-0000-0000F70B0000}"/>
    <cellStyle name="20% - Accent2 4 3 10 2" xfId="23409" xr:uid="{00000000-0005-0000-0000-0000F80B0000}"/>
    <cellStyle name="20% - Accent2 4 3 11" xfId="18140" xr:uid="{00000000-0005-0000-0000-0000F90B0000}"/>
    <cellStyle name="20% - Accent2 4 3 2" xfId="818" xr:uid="{00000000-0005-0000-0000-0000FA0B0000}"/>
    <cellStyle name="20% - Accent2 4 3 2 2" xfId="819" xr:uid="{00000000-0005-0000-0000-0000FB0B0000}"/>
    <cellStyle name="20% - Accent2 4 3 2 2 2" xfId="10660" xr:uid="{00000000-0005-0000-0000-0000FC0B0000}"/>
    <cellStyle name="20% - Accent2 4 3 2 2 2 2" xfId="24602" xr:uid="{00000000-0005-0000-0000-0000FD0B0000}"/>
    <cellStyle name="20% - Accent2 4 3 2 2 3" xfId="18142" xr:uid="{00000000-0005-0000-0000-0000FE0B0000}"/>
    <cellStyle name="20% - Accent2 4 3 2 3" xfId="820" xr:uid="{00000000-0005-0000-0000-0000FF0B0000}"/>
    <cellStyle name="20% - Accent2 4 3 2 3 2" xfId="12584" xr:uid="{00000000-0005-0000-0000-0000000C0000}"/>
    <cellStyle name="20% - Accent2 4 3 2 3 2 2" xfId="26296" xr:uid="{00000000-0005-0000-0000-0000010C0000}"/>
    <cellStyle name="20% - Accent2 4 3 2 3 3" xfId="18143" xr:uid="{00000000-0005-0000-0000-0000020C0000}"/>
    <cellStyle name="20% - Accent2 4 3 2 4" xfId="821" xr:uid="{00000000-0005-0000-0000-0000030C0000}"/>
    <cellStyle name="20% - Accent2 4 3 2 4 2" xfId="14708" xr:uid="{00000000-0005-0000-0000-0000040C0000}"/>
    <cellStyle name="20% - Accent2 4 3 2 4 2 2" xfId="28257" xr:uid="{00000000-0005-0000-0000-0000050C0000}"/>
    <cellStyle name="20% - Accent2 4 3 2 4 3" xfId="18144" xr:uid="{00000000-0005-0000-0000-0000060C0000}"/>
    <cellStyle name="20% - Accent2 4 3 2 5" xfId="822" xr:uid="{00000000-0005-0000-0000-0000070C0000}"/>
    <cellStyle name="20% - Accent2 4 3 2 5 2" xfId="16753" xr:uid="{00000000-0005-0000-0000-0000080C0000}"/>
    <cellStyle name="20% - Accent2 4 3 2 5 2 2" xfId="30160" xr:uid="{00000000-0005-0000-0000-0000090C0000}"/>
    <cellStyle name="20% - Accent2 4 3 2 5 3" xfId="18145" xr:uid="{00000000-0005-0000-0000-00000A0C0000}"/>
    <cellStyle name="20% - Accent2 4 3 2 6" xfId="8935" xr:uid="{00000000-0005-0000-0000-00000B0C0000}"/>
    <cellStyle name="20% - Accent2 4 3 2 6 2" xfId="23410" xr:uid="{00000000-0005-0000-0000-00000C0C0000}"/>
    <cellStyle name="20% - Accent2 4 3 2 7" xfId="18141" xr:uid="{00000000-0005-0000-0000-00000D0C0000}"/>
    <cellStyle name="20% - Accent2 4 3 3" xfId="823" xr:uid="{00000000-0005-0000-0000-00000E0C0000}"/>
    <cellStyle name="20% - Accent2 4 3 3 2" xfId="824" xr:uid="{00000000-0005-0000-0000-00000F0C0000}"/>
    <cellStyle name="20% - Accent2 4 3 3 2 2" xfId="14709" xr:uid="{00000000-0005-0000-0000-0000100C0000}"/>
    <cellStyle name="20% - Accent2 4 3 3 2 2 2" xfId="28258" xr:uid="{00000000-0005-0000-0000-0000110C0000}"/>
    <cellStyle name="20% - Accent2 4 3 3 2 3" xfId="18147" xr:uid="{00000000-0005-0000-0000-0000120C0000}"/>
    <cellStyle name="20% - Accent2 4 3 3 3" xfId="10659" xr:uid="{00000000-0005-0000-0000-0000130C0000}"/>
    <cellStyle name="20% - Accent2 4 3 3 3 2" xfId="24601" xr:uid="{00000000-0005-0000-0000-0000140C0000}"/>
    <cellStyle name="20% - Accent2 4 3 3 4" xfId="18146" xr:uid="{00000000-0005-0000-0000-0000150C0000}"/>
    <cellStyle name="20% - Accent2 4 3 4" xfId="825" xr:uid="{00000000-0005-0000-0000-0000160C0000}"/>
    <cellStyle name="20% - Accent2 4 3 4 2" xfId="12141" xr:uid="{00000000-0005-0000-0000-0000170C0000}"/>
    <cellStyle name="20% - Accent2 4 3 4 2 2" xfId="25853" xr:uid="{00000000-0005-0000-0000-0000180C0000}"/>
    <cellStyle name="20% - Accent2 4 3 4 3" xfId="18148" xr:uid="{00000000-0005-0000-0000-0000190C0000}"/>
    <cellStyle name="20% - Accent2 4 3 5" xfId="826" xr:uid="{00000000-0005-0000-0000-00001A0C0000}"/>
    <cellStyle name="20% - Accent2 4 3 5 2" xfId="11784" xr:uid="{00000000-0005-0000-0000-00001B0C0000}"/>
    <cellStyle name="20% - Accent2 4 3 5 2 2" xfId="25499" xr:uid="{00000000-0005-0000-0000-00001C0C0000}"/>
    <cellStyle name="20% - Accent2 4 3 5 3" xfId="18149" xr:uid="{00000000-0005-0000-0000-00001D0C0000}"/>
    <cellStyle name="20% - Accent2 4 3 6" xfId="827" xr:uid="{00000000-0005-0000-0000-00001E0C0000}"/>
    <cellStyle name="20% - Accent2 4 3 6 2" xfId="13705" xr:uid="{00000000-0005-0000-0000-00001F0C0000}"/>
    <cellStyle name="20% - Accent2 4 3 6 2 2" xfId="27254" xr:uid="{00000000-0005-0000-0000-0000200C0000}"/>
    <cellStyle name="20% - Accent2 4 3 6 3" xfId="18150" xr:uid="{00000000-0005-0000-0000-0000210C0000}"/>
    <cellStyle name="20% - Accent2 4 3 7" xfId="828" xr:uid="{00000000-0005-0000-0000-0000220C0000}"/>
    <cellStyle name="20% - Accent2 4 3 7 2" xfId="14286" xr:uid="{00000000-0005-0000-0000-0000230C0000}"/>
    <cellStyle name="20% - Accent2 4 3 7 2 2" xfId="27835" xr:uid="{00000000-0005-0000-0000-0000240C0000}"/>
    <cellStyle name="20% - Accent2 4 3 7 3" xfId="18151" xr:uid="{00000000-0005-0000-0000-0000250C0000}"/>
    <cellStyle name="20% - Accent2 4 3 8" xfId="829" xr:uid="{00000000-0005-0000-0000-0000260C0000}"/>
    <cellStyle name="20% - Accent2 4 3 8 2" xfId="14707" xr:uid="{00000000-0005-0000-0000-0000270C0000}"/>
    <cellStyle name="20% - Accent2 4 3 8 2 2" xfId="28256" xr:uid="{00000000-0005-0000-0000-0000280C0000}"/>
    <cellStyle name="20% - Accent2 4 3 8 3" xfId="18152" xr:uid="{00000000-0005-0000-0000-0000290C0000}"/>
    <cellStyle name="20% - Accent2 4 3 9" xfId="830" xr:uid="{00000000-0005-0000-0000-00002A0C0000}"/>
    <cellStyle name="20% - Accent2 4 3 9 2" xfId="16172" xr:uid="{00000000-0005-0000-0000-00002B0C0000}"/>
    <cellStyle name="20% - Accent2 4 3 9 2 2" xfId="29579" xr:uid="{00000000-0005-0000-0000-00002C0C0000}"/>
    <cellStyle name="20% - Accent2 4 3 9 3" xfId="18153" xr:uid="{00000000-0005-0000-0000-00002D0C0000}"/>
    <cellStyle name="20% - Accent2 4 4" xfId="831" xr:uid="{00000000-0005-0000-0000-00002E0C0000}"/>
    <cellStyle name="20% - Accent2 4 4 2" xfId="832" xr:uid="{00000000-0005-0000-0000-00002F0C0000}"/>
    <cellStyle name="20% - Accent2 4 4 2 2" xfId="10661" xr:uid="{00000000-0005-0000-0000-0000300C0000}"/>
    <cellStyle name="20% - Accent2 4 4 2 2 2" xfId="24603" xr:uid="{00000000-0005-0000-0000-0000310C0000}"/>
    <cellStyle name="20% - Accent2 4 4 2 3" xfId="18155" xr:uid="{00000000-0005-0000-0000-0000320C0000}"/>
    <cellStyle name="20% - Accent2 4 4 3" xfId="833" xr:uid="{00000000-0005-0000-0000-0000330C0000}"/>
    <cellStyle name="20% - Accent2 4 4 3 2" xfId="12541" xr:uid="{00000000-0005-0000-0000-0000340C0000}"/>
    <cellStyle name="20% - Accent2 4 4 3 2 2" xfId="26253" xr:uid="{00000000-0005-0000-0000-0000350C0000}"/>
    <cellStyle name="20% - Accent2 4 4 3 3" xfId="18156" xr:uid="{00000000-0005-0000-0000-0000360C0000}"/>
    <cellStyle name="20% - Accent2 4 4 4" xfId="834" xr:uid="{00000000-0005-0000-0000-0000370C0000}"/>
    <cellStyle name="20% - Accent2 4 4 4 2" xfId="14710" xr:uid="{00000000-0005-0000-0000-0000380C0000}"/>
    <cellStyle name="20% - Accent2 4 4 4 2 2" xfId="28259" xr:uid="{00000000-0005-0000-0000-0000390C0000}"/>
    <cellStyle name="20% - Accent2 4 4 4 3" xfId="18157" xr:uid="{00000000-0005-0000-0000-00003A0C0000}"/>
    <cellStyle name="20% - Accent2 4 4 5" xfId="835" xr:uid="{00000000-0005-0000-0000-00003B0C0000}"/>
    <cellStyle name="20% - Accent2 4 4 5 2" xfId="16461" xr:uid="{00000000-0005-0000-0000-00003C0C0000}"/>
    <cellStyle name="20% - Accent2 4 4 5 2 2" xfId="29868" xr:uid="{00000000-0005-0000-0000-00003D0C0000}"/>
    <cellStyle name="20% - Accent2 4 4 5 3" xfId="18158" xr:uid="{00000000-0005-0000-0000-00003E0C0000}"/>
    <cellStyle name="20% - Accent2 4 4 6" xfId="8936" xr:uid="{00000000-0005-0000-0000-00003F0C0000}"/>
    <cellStyle name="20% - Accent2 4 4 6 2" xfId="23411" xr:uid="{00000000-0005-0000-0000-0000400C0000}"/>
    <cellStyle name="20% - Accent2 4 4 7" xfId="18154" xr:uid="{00000000-0005-0000-0000-0000410C0000}"/>
    <cellStyle name="20% - Accent2 4 5" xfId="836" xr:uid="{00000000-0005-0000-0000-0000420C0000}"/>
    <cellStyle name="20% - Accent2 4 5 2" xfId="837" xr:uid="{00000000-0005-0000-0000-0000430C0000}"/>
    <cellStyle name="20% - Accent2 4 5 2 2" xfId="14711" xr:uid="{00000000-0005-0000-0000-0000440C0000}"/>
    <cellStyle name="20% - Accent2 4 5 2 2 2" xfId="28260" xr:uid="{00000000-0005-0000-0000-0000450C0000}"/>
    <cellStyle name="20% - Accent2 4 5 2 3" xfId="18160" xr:uid="{00000000-0005-0000-0000-0000460C0000}"/>
    <cellStyle name="20% - Accent2 4 5 3" xfId="10654" xr:uid="{00000000-0005-0000-0000-0000470C0000}"/>
    <cellStyle name="20% - Accent2 4 5 3 2" xfId="24596" xr:uid="{00000000-0005-0000-0000-0000480C0000}"/>
    <cellStyle name="20% - Accent2 4 5 4" xfId="18159" xr:uid="{00000000-0005-0000-0000-0000490C0000}"/>
    <cellStyle name="20% - Accent2 4 6" xfId="838" xr:uid="{00000000-0005-0000-0000-00004A0C0000}"/>
    <cellStyle name="20% - Accent2 4 6 2" xfId="11812" xr:uid="{00000000-0005-0000-0000-00004B0C0000}"/>
    <cellStyle name="20% - Accent2 4 6 2 2" xfId="25527" xr:uid="{00000000-0005-0000-0000-00004C0C0000}"/>
    <cellStyle name="20% - Accent2 4 6 3" xfId="18161" xr:uid="{00000000-0005-0000-0000-00004D0C0000}"/>
    <cellStyle name="20% - Accent2 4 7" xfId="839" xr:uid="{00000000-0005-0000-0000-00004E0C0000}"/>
    <cellStyle name="20% - Accent2 4 7 2" xfId="12549" xr:uid="{00000000-0005-0000-0000-00004F0C0000}"/>
    <cellStyle name="20% - Accent2 4 7 2 2" xfId="26261" xr:uid="{00000000-0005-0000-0000-0000500C0000}"/>
    <cellStyle name="20% - Accent2 4 7 3" xfId="18162" xr:uid="{00000000-0005-0000-0000-0000510C0000}"/>
    <cellStyle name="20% - Accent2 4 8" xfId="840" xr:uid="{00000000-0005-0000-0000-0000520C0000}"/>
    <cellStyle name="20% - Accent2 4 8 2" xfId="13413" xr:uid="{00000000-0005-0000-0000-0000530C0000}"/>
    <cellStyle name="20% - Accent2 4 8 2 2" xfId="26962" xr:uid="{00000000-0005-0000-0000-0000540C0000}"/>
    <cellStyle name="20% - Accent2 4 8 3" xfId="18163" xr:uid="{00000000-0005-0000-0000-0000550C0000}"/>
    <cellStyle name="20% - Accent2 4 9" xfId="841" xr:uid="{00000000-0005-0000-0000-0000560C0000}"/>
    <cellStyle name="20% - Accent2 4 9 2" xfId="13994" xr:uid="{00000000-0005-0000-0000-0000570C0000}"/>
    <cellStyle name="20% - Accent2 4 9 2 2" xfId="27543" xr:uid="{00000000-0005-0000-0000-0000580C0000}"/>
    <cellStyle name="20% - Accent2 4 9 3" xfId="18164" xr:uid="{00000000-0005-0000-0000-0000590C0000}"/>
    <cellStyle name="20% - Accent2 5" xfId="842" xr:uid="{00000000-0005-0000-0000-00005A0C0000}"/>
    <cellStyle name="20% - Accent2 5 10" xfId="843" xr:uid="{00000000-0005-0000-0000-00005B0C0000}"/>
    <cellStyle name="20% - Accent2 5 10 2" xfId="14712" xr:uid="{00000000-0005-0000-0000-00005C0C0000}"/>
    <cellStyle name="20% - Accent2 5 10 2 2" xfId="28261" xr:uid="{00000000-0005-0000-0000-00005D0C0000}"/>
    <cellStyle name="20% - Accent2 5 10 3" xfId="18166" xr:uid="{00000000-0005-0000-0000-00005E0C0000}"/>
    <cellStyle name="20% - Accent2 5 11" xfId="844" xr:uid="{00000000-0005-0000-0000-00005F0C0000}"/>
    <cellStyle name="20% - Accent2 5 11 2" xfId="15863" xr:uid="{00000000-0005-0000-0000-0000600C0000}"/>
    <cellStyle name="20% - Accent2 5 11 2 2" xfId="29270" xr:uid="{00000000-0005-0000-0000-0000610C0000}"/>
    <cellStyle name="20% - Accent2 5 11 3" xfId="18167" xr:uid="{00000000-0005-0000-0000-0000620C0000}"/>
    <cellStyle name="20% - Accent2 5 12" xfId="8937" xr:uid="{00000000-0005-0000-0000-0000630C0000}"/>
    <cellStyle name="20% - Accent2 5 12 2" xfId="23412" xr:uid="{00000000-0005-0000-0000-0000640C0000}"/>
    <cellStyle name="20% - Accent2 5 13" xfId="18165" xr:uid="{00000000-0005-0000-0000-0000650C0000}"/>
    <cellStyle name="20% - Accent2 5 2" xfId="845" xr:uid="{00000000-0005-0000-0000-0000660C0000}"/>
    <cellStyle name="20% - Accent2 5 2 10" xfId="846" xr:uid="{00000000-0005-0000-0000-0000670C0000}"/>
    <cellStyle name="20% - Accent2 5 2 10 2" xfId="16006" xr:uid="{00000000-0005-0000-0000-0000680C0000}"/>
    <cellStyle name="20% - Accent2 5 2 10 2 2" xfId="29413" xr:uid="{00000000-0005-0000-0000-0000690C0000}"/>
    <cellStyle name="20% - Accent2 5 2 10 3" xfId="18169" xr:uid="{00000000-0005-0000-0000-00006A0C0000}"/>
    <cellStyle name="20% - Accent2 5 2 11" xfId="8938" xr:uid="{00000000-0005-0000-0000-00006B0C0000}"/>
    <cellStyle name="20% - Accent2 5 2 11 2" xfId="23413" xr:uid="{00000000-0005-0000-0000-00006C0C0000}"/>
    <cellStyle name="20% - Accent2 5 2 12" xfId="18168" xr:uid="{00000000-0005-0000-0000-00006D0C0000}"/>
    <cellStyle name="20% - Accent2 5 2 2" xfId="847" xr:uid="{00000000-0005-0000-0000-00006E0C0000}"/>
    <cellStyle name="20% - Accent2 5 2 2 10" xfId="8939" xr:uid="{00000000-0005-0000-0000-00006F0C0000}"/>
    <cellStyle name="20% - Accent2 5 2 2 10 2" xfId="23414" xr:uid="{00000000-0005-0000-0000-0000700C0000}"/>
    <cellStyle name="20% - Accent2 5 2 2 11" xfId="18170" xr:uid="{00000000-0005-0000-0000-0000710C0000}"/>
    <cellStyle name="20% - Accent2 5 2 2 2" xfId="848" xr:uid="{00000000-0005-0000-0000-0000720C0000}"/>
    <cellStyle name="20% - Accent2 5 2 2 2 2" xfId="849" xr:uid="{00000000-0005-0000-0000-0000730C0000}"/>
    <cellStyle name="20% - Accent2 5 2 2 2 2 2" xfId="10665" xr:uid="{00000000-0005-0000-0000-0000740C0000}"/>
    <cellStyle name="20% - Accent2 5 2 2 2 2 2 2" xfId="24607" xr:uid="{00000000-0005-0000-0000-0000750C0000}"/>
    <cellStyle name="20% - Accent2 5 2 2 2 2 3" xfId="18172" xr:uid="{00000000-0005-0000-0000-0000760C0000}"/>
    <cellStyle name="20% - Accent2 5 2 2 2 3" xfId="850" xr:uid="{00000000-0005-0000-0000-0000770C0000}"/>
    <cellStyle name="20% - Accent2 5 2 2 2 3 2" xfId="12473" xr:uid="{00000000-0005-0000-0000-0000780C0000}"/>
    <cellStyle name="20% - Accent2 5 2 2 2 3 2 2" xfId="26185" xr:uid="{00000000-0005-0000-0000-0000790C0000}"/>
    <cellStyle name="20% - Accent2 5 2 2 2 3 3" xfId="18173" xr:uid="{00000000-0005-0000-0000-00007A0C0000}"/>
    <cellStyle name="20% - Accent2 5 2 2 2 4" xfId="851" xr:uid="{00000000-0005-0000-0000-00007B0C0000}"/>
    <cellStyle name="20% - Accent2 5 2 2 2 4 2" xfId="14715" xr:uid="{00000000-0005-0000-0000-00007C0C0000}"/>
    <cellStyle name="20% - Accent2 5 2 2 2 4 2 2" xfId="28264" xr:uid="{00000000-0005-0000-0000-00007D0C0000}"/>
    <cellStyle name="20% - Accent2 5 2 2 2 4 3" xfId="18174" xr:uid="{00000000-0005-0000-0000-00007E0C0000}"/>
    <cellStyle name="20% - Accent2 5 2 2 2 5" xfId="852" xr:uid="{00000000-0005-0000-0000-00007F0C0000}"/>
    <cellStyle name="20% - Accent2 5 2 2 2 5 2" xfId="16876" xr:uid="{00000000-0005-0000-0000-0000800C0000}"/>
    <cellStyle name="20% - Accent2 5 2 2 2 5 2 2" xfId="30283" xr:uid="{00000000-0005-0000-0000-0000810C0000}"/>
    <cellStyle name="20% - Accent2 5 2 2 2 5 3" xfId="18175" xr:uid="{00000000-0005-0000-0000-0000820C0000}"/>
    <cellStyle name="20% - Accent2 5 2 2 2 6" xfId="8940" xr:uid="{00000000-0005-0000-0000-0000830C0000}"/>
    <cellStyle name="20% - Accent2 5 2 2 2 6 2" xfId="23415" xr:uid="{00000000-0005-0000-0000-0000840C0000}"/>
    <cellStyle name="20% - Accent2 5 2 2 2 7" xfId="18171" xr:uid="{00000000-0005-0000-0000-0000850C0000}"/>
    <cellStyle name="20% - Accent2 5 2 2 3" xfId="853" xr:uid="{00000000-0005-0000-0000-0000860C0000}"/>
    <cellStyle name="20% - Accent2 5 2 2 3 2" xfId="854" xr:uid="{00000000-0005-0000-0000-0000870C0000}"/>
    <cellStyle name="20% - Accent2 5 2 2 3 2 2" xfId="14716" xr:uid="{00000000-0005-0000-0000-0000880C0000}"/>
    <cellStyle name="20% - Accent2 5 2 2 3 2 2 2" xfId="28265" xr:uid="{00000000-0005-0000-0000-0000890C0000}"/>
    <cellStyle name="20% - Accent2 5 2 2 3 2 3" xfId="18177" xr:uid="{00000000-0005-0000-0000-00008A0C0000}"/>
    <cellStyle name="20% - Accent2 5 2 2 3 3" xfId="10664" xr:uid="{00000000-0005-0000-0000-00008B0C0000}"/>
    <cellStyle name="20% - Accent2 5 2 2 3 3 2" xfId="24606" xr:uid="{00000000-0005-0000-0000-00008C0C0000}"/>
    <cellStyle name="20% - Accent2 5 2 2 3 4" xfId="18176" xr:uid="{00000000-0005-0000-0000-00008D0C0000}"/>
    <cellStyle name="20% - Accent2 5 2 2 4" xfId="855" xr:uid="{00000000-0005-0000-0000-00008E0C0000}"/>
    <cellStyle name="20% - Accent2 5 2 2 4 2" xfId="12264" xr:uid="{00000000-0005-0000-0000-00008F0C0000}"/>
    <cellStyle name="20% - Accent2 5 2 2 4 2 2" xfId="25976" xr:uid="{00000000-0005-0000-0000-0000900C0000}"/>
    <cellStyle name="20% - Accent2 5 2 2 4 3" xfId="18178" xr:uid="{00000000-0005-0000-0000-0000910C0000}"/>
    <cellStyle name="20% - Accent2 5 2 2 5" xfId="856" xr:uid="{00000000-0005-0000-0000-0000920C0000}"/>
    <cellStyle name="20% - Accent2 5 2 2 5 2" xfId="12566" xr:uid="{00000000-0005-0000-0000-0000930C0000}"/>
    <cellStyle name="20% - Accent2 5 2 2 5 2 2" xfId="26278" xr:uid="{00000000-0005-0000-0000-0000940C0000}"/>
    <cellStyle name="20% - Accent2 5 2 2 5 3" xfId="18179" xr:uid="{00000000-0005-0000-0000-0000950C0000}"/>
    <cellStyle name="20% - Accent2 5 2 2 6" xfId="857" xr:uid="{00000000-0005-0000-0000-0000960C0000}"/>
    <cellStyle name="20% - Accent2 5 2 2 6 2" xfId="13828" xr:uid="{00000000-0005-0000-0000-0000970C0000}"/>
    <cellStyle name="20% - Accent2 5 2 2 6 2 2" xfId="27377" xr:uid="{00000000-0005-0000-0000-0000980C0000}"/>
    <cellStyle name="20% - Accent2 5 2 2 6 3" xfId="18180" xr:uid="{00000000-0005-0000-0000-0000990C0000}"/>
    <cellStyle name="20% - Accent2 5 2 2 7" xfId="858" xr:uid="{00000000-0005-0000-0000-00009A0C0000}"/>
    <cellStyle name="20% - Accent2 5 2 2 7 2" xfId="14409" xr:uid="{00000000-0005-0000-0000-00009B0C0000}"/>
    <cellStyle name="20% - Accent2 5 2 2 7 2 2" xfId="27958" xr:uid="{00000000-0005-0000-0000-00009C0C0000}"/>
    <cellStyle name="20% - Accent2 5 2 2 7 3" xfId="18181" xr:uid="{00000000-0005-0000-0000-00009D0C0000}"/>
    <cellStyle name="20% - Accent2 5 2 2 8" xfId="859" xr:uid="{00000000-0005-0000-0000-00009E0C0000}"/>
    <cellStyle name="20% - Accent2 5 2 2 8 2" xfId="14714" xr:uid="{00000000-0005-0000-0000-00009F0C0000}"/>
    <cellStyle name="20% - Accent2 5 2 2 8 2 2" xfId="28263" xr:uid="{00000000-0005-0000-0000-0000A00C0000}"/>
    <cellStyle name="20% - Accent2 5 2 2 8 3" xfId="18182" xr:uid="{00000000-0005-0000-0000-0000A10C0000}"/>
    <cellStyle name="20% - Accent2 5 2 2 9" xfId="860" xr:uid="{00000000-0005-0000-0000-0000A20C0000}"/>
    <cellStyle name="20% - Accent2 5 2 2 9 2" xfId="16295" xr:uid="{00000000-0005-0000-0000-0000A30C0000}"/>
    <cellStyle name="20% - Accent2 5 2 2 9 2 2" xfId="29702" xr:uid="{00000000-0005-0000-0000-0000A40C0000}"/>
    <cellStyle name="20% - Accent2 5 2 2 9 3" xfId="18183" xr:uid="{00000000-0005-0000-0000-0000A50C0000}"/>
    <cellStyle name="20% - Accent2 5 2 3" xfId="861" xr:uid="{00000000-0005-0000-0000-0000A60C0000}"/>
    <cellStyle name="20% - Accent2 5 2 3 2" xfId="862" xr:uid="{00000000-0005-0000-0000-0000A70C0000}"/>
    <cellStyle name="20% - Accent2 5 2 3 2 2" xfId="10666" xr:uid="{00000000-0005-0000-0000-0000A80C0000}"/>
    <cellStyle name="20% - Accent2 5 2 3 2 2 2" xfId="24608" xr:uid="{00000000-0005-0000-0000-0000A90C0000}"/>
    <cellStyle name="20% - Accent2 5 2 3 2 3" xfId="18185" xr:uid="{00000000-0005-0000-0000-0000AA0C0000}"/>
    <cellStyle name="20% - Accent2 5 2 3 3" xfId="863" xr:uid="{00000000-0005-0000-0000-0000AB0C0000}"/>
    <cellStyle name="20% - Accent2 5 2 3 3 2" xfId="12446" xr:uid="{00000000-0005-0000-0000-0000AC0C0000}"/>
    <cellStyle name="20% - Accent2 5 2 3 3 2 2" xfId="26158" xr:uid="{00000000-0005-0000-0000-0000AD0C0000}"/>
    <cellStyle name="20% - Accent2 5 2 3 3 3" xfId="18186" xr:uid="{00000000-0005-0000-0000-0000AE0C0000}"/>
    <cellStyle name="20% - Accent2 5 2 3 4" xfId="864" xr:uid="{00000000-0005-0000-0000-0000AF0C0000}"/>
    <cellStyle name="20% - Accent2 5 2 3 4 2" xfId="14717" xr:uid="{00000000-0005-0000-0000-0000B00C0000}"/>
    <cellStyle name="20% - Accent2 5 2 3 4 2 2" xfId="28266" xr:uid="{00000000-0005-0000-0000-0000B10C0000}"/>
    <cellStyle name="20% - Accent2 5 2 3 4 3" xfId="18187" xr:uid="{00000000-0005-0000-0000-0000B20C0000}"/>
    <cellStyle name="20% - Accent2 5 2 3 5" xfId="865" xr:uid="{00000000-0005-0000-0000-0000B30C0000}"/>
    <cellStyle name="20% - Accent2 5 2 3 5 2" xfId="16587" xr:uid="{00000000-0005-0000-0000-0000B40C0000}"/>
    <cellStyle name="20% - Accent2 5 2 3 5 2 2" xfId="29994" xr:uid="{00000000-0005-0000-0000-0000B50C0000}"/>
    <cellStyle name="20% - Accent2 5 2 3 5 3" xfId="18188" xr:uid="{00000000-0005-0000-0000-0000B60C0000}"/>
    <cellStyle name="20% - Accent2 5 2 3 6" xfId="8941" xr:uid="{00000000-0005-0000-0000-0000B70C0000}"/>
    <cellStyle name="20% - Accent2 5 2 3 6 2" xfId="23416" xr:uid="{00000000-0005-0000-0000-0000B80C0000}"/>
    <cellStyle name="20% - Accent2 5 2 3 7" xfId="18184" xr:uid="{00000000-0005-0000-0000-0000B90C0000}"/>
    <cellStyle name="20% - Accent2 5 2 4" xfId="866" xr:uid="{00000000-0005-0000-0000-0000BA0C0000}"/>
    <cellStyle name="20% - Accent2 5 2 4 2" xfId="867" xr:uid="{00000000-0005-0000-0000-0000BB0C0000}"/>
    <cellStyle name="20% - Accent2 5 2 4 2 2" xfId="14718" xr:uid="{00000000-0005-0000-0000-0000BC0C0000}"/>
    <cellStyle name="20% - Accent2 5 2 4 2 2 2" xfId="28267" xr:uid="{00000000-0005-0000-0000-0000BD0C0000}"/>
    <cellStyle name="20% - Accent2 5 2 4 2 3" xfId="18190" xr:uid="{00000000-0005-0000-0000-0000BE0C0000}"/>
    <cellStyle name="20% - Accent2 5 2 4 3" xfId="10663" xr:uid="{00000000-0005-0000-0000-0000BF0C0000}"/>
    <cellStyle name="20% - Accent2 5 2 4 3 2" xfId="24605" xr:uid="{00000000-0005-0000-0000-0000C00C0000}"/>
    <cellStyle name="20% - Accent2 5 2 4 4" xfId="18189" xr:uid="{00000000-0005-0000-0000-0000C10C0000}"/>
    <cellStyle name="20% - Accent2 5 2 5" xfId="868" xr:uid="{00000000-0005-0000-0000-0000C20C0000}"/>
    <cellStyle name="20% - Accent2 5 2 5 2" xfId="11964" xr:uid="{00000000-0005-0000-0000-0000C30C0000}"/>
    <cellStyle name="20% - Accent2 5 2 5 2 2" xfId="25679" xr:uid="{00000000-0005-0000-0000-0000C40C0000}"/>
    <cellStyle name="20% - Accent2 5 2 5 3" xfId="18191" xr:uid="{00000000-0005-0000-0000-0000C50C0000}"/>
    <cellStyle name="20% - Accent2 5 2 6" xfId="869" xr:uid="{00000000-0005-0000-0000-0000C60C0000}"/>
    <cellStyle name="20% - Accent2 5 2 6 2" xfId="12503" xr:uid="{00000000-0005-0000-0000-0000C70C0000}"/>
    <cellStyle name="20% - Accent2 5 2 6 2 2" xfId="26215" xr:uid="{00000000-0005-0000-0000-0000C80C0000}"/>
    <cellStyle name="20% - Accent2 5 2 6 3" xfId="18192" xr:uid="{00000000-0005-0000-0000-0000C90C0000}"/>
    <cellStyle name="20% - Accent2 5 2 7" xfId="870" xr:uid="{00000000-0005-0000-0000-0000CA0C0000}"/>
    <cellStyle name="20% - Accent2 5 2 7 2" xfId="13539" xr:uid="{00000000-0005-0000-0000-0000CB0C0000}"/>
    <cellStyle name="20% - Accent2 5 2 7 2 2" xfId="27088" xr:uid="{00000000-0005-0000-0000-0000CC0C0000}"/>
    <cellStyle name="20% - Accent2 5 2 7 3" xfId="18193" xr:uid="{00000000-0005-0000-0000-0000CD0C0000}"/>
    <cellStyle name="20% - Accent2 5 2 8" xfId="871" xr:uid="{00000000-0005-0000-0000-0000CE0C0000}"/>
    <cellStyle name="20% - Accent2 5 2 8 2" xfId="14120" xr:uid="{00000000-0005-0000-0000-0000CF0C0000}"/>
    <cellStyle name="20% - Accent2 5 2 8 2 2" xfId="27669" xr:uid="{00000000-0005-0000-0000-0000D00C0000}"/>
    <cellStyle name="20% - Accent2 5 2 8 3" xfId="18194" xr:uid="{00000000-0005-0000-0000-0000D10C0000}"/>
    <cellStyle name="20% - Accent2 5 2 9" xfId="872" xr:uid="{00000000-0005-0000-0000-0000D20C0000}"/>
    <cellStyle name="20% - Accent2 5 2 9 2" xfId="14713" xr:uid="{00000000-0005-0000-0000-0000D30C0000}"/>
    <cellStyle name="20% - Accent2 5 2 9 2 2" xfId="28262" xr:uid="{00000000-0005-0000-0000-0000D40C0000}"/>
    <cellStyle name="20% - Accent2 5 2 9 3" xfId="18195" xr:uid="{00000000-0005-0000-0000-0000D50C0000}"/>
    <cellStyle name="20% - Accent2 5 3" xfId="873" xr:uid="{00000000-0005-0000-0000-0000D60C0000}"/>
    <cellStyle name="20% - Accent2 5 3 10" xfId="8942" xr:uid="{00000000-0005-0000-0000-0000D70C0000}"/>
    <cellStyle name="20% - Accent2 5 3 10 2" xfId="23417" xr:uid="{00000000-0005-0000-0000-0000D80C0000}"/>
    <cellStyle name="20% - Accent2 5 3 11" xfId="18196" xr:uid="{00000000-0005-0000-0000-0000D90C0000}"/>
    <cellStyle name="20% - Accent2 5 3 2" xfId="874" xr:uid="{00000000-0005-0000-0000-0000DA0C0000}"/>
    <cellStyle name="20% - Accent2 5 3 2 2" xfId="875" xr:uid="{00000000-0005-0000-0000-0000DB0C0000}"/>
    <cellStyle name="20% - Accent2 5 3 2 2 2" xfId="10668" xr:uid="{00000000-0005-0000-0000-0000DC0C0000}"/>
    <cellStyle name="20% - Accent2 5 3 2 2 2 2" xfId="24610" xr:uid="{00000000-0005-0000-0000-0000DD0C0000}"/>
    <cellStyle name="20% - Accent2 5 3 2 2 3" xfId="18198" xr:uid="{00000000-0005-0000-0000-0000DE0C0000}"/>
    <cellStyle name="20% - Accent2 5 3 2 3" xfId="876" xr:uid="{00000000-0005-0000-0000-0000DF0C0000}"/>
    <cellStyle name="20% - Accent2 5 3 2 3 2" xfId="12546" xr:uid="{00000000-0005-0000-0000-0000E00C0000}"/>
    <cellStyle name="20% - Accent2 5 3 2 3 2 2" xfId="26258" xr:uid="{00000000-0005-0000-0000-0000E10C0000}"/>
    <cellStyle name="20% - Accent2 5 3 2 3 3" xfId="18199" xr:uid="{00000000-0005-0000-0000-0000E20C0000}"/>
    <cellStyle name="20% - Accent2 5 3 2 4" xfId="877" xr:uid="{00000000-0005-0000-0000-0000E30C0000}"/>
    <cellStyle name="20% - Accent2 5 3 2 4 2" xfId="14720" xr:uid="{00000000-0005-0000-0000-0000E40C0000}"/>
    <cellStyle name="20% - Accent2 5 3 2 4 2 2" xfId="28269" xr:uid="{00000000-0005-0000-0000-0000E50C0000}"/>
    <cellStyle name="20% - Accent2 5 3 2 4 3" xfId="18200" xr:uid="{00000000-0005-0000-0000-0000E60C0000}"/>
    <cellStyle name="20% - Accent2 5 3 2 5" xfId="878" xr:uid="{00000000-0005-0000-0000-0000E70C0000}"/>
    <cellStyle name="20% - Accent2 5 3 2 5 2" xfId="16730" xr:uid="{00000000-0005-0000-0000-0000E80C0000}"/>
    <cellStyle name="20% - Accent2 5 3 2 5 2 2" xfId="30137" xr:uid="{00000000-0005-0000-0000-0000E90C0000}"/>
    <cellStyle name="20% - Accent2 5 3 2 5 3" xfId="18201" xr:uid="{00000000-0005-0000-0000-0000EA0C0000}"/>
    <cellStyle name="20% - Accent2 5 3 2 6" xfId="8943" xr:uid="{00000000-0005-0000-0000-0000EB0C0000}"/>
    <cellStyle name="20% - Accent2 5 3 2 6 2" xfId="23418" xr:uid="{00000000-0005-0000-0000-0000EC0C0000}"/>
    <cellStyle name="20% - Accent2 5 3 2 7" xfId="18197" xr:uid="{00000000-0005-0000-0000-0000ED0C0000}"/>
    <cellStyle name="20% - Accent2 5 3 3" xfId="879" xr:uid="{00000000-0005-0000-0000-0000EE0C0000}"/>
    <cellStyle name="20% - Accent2 5 3 3 2" xfId="880" xr:uid="{00000000-0005-0000-0000-0000EF0C0000}"/>
    <cellStyle name="20% - Accent2 5 3 3 2 2" xfId="14721" xr:uid="{00000000-0005-0000-0000-0000F00C0000}"/>
    <cellStyle name="20% - Accent2 5 3 3 2 2 2" xfId="28270" xr:uid="{00000000-0005-0000-0000-0000F10C0000}"/>
    <cellStyle name="20% - Accent2 5 3 3 2 3" xfId="18203" xr:uid="{00000000-0005-0000-0000-0000F20C0000}"/>
    <cellStyle name="20% - Accent2 5 3 3 3" xfId="10667" xr:uid="{00000000-0005-0000-0000-0000F30C0000}"/>
    <cellStyle name="20% - Accent2 5 3 3 3 2" xfId="24609" xr:uid="{00000000-0005-0000-0000-0000F40C0000}"/>
    <cellStyle name="20% - Accent2 5 3 3 4" xfId="18202" xr:uid="{00000000-0005-0000-0000-0000F50C0000}"/>
    <cellStyle name="20% - Accent2 5 3 4" xfId="881" xr:uid="{00000000-0005-0000-0000-0000F60C0000}"/>
    <cellStyle name="20% - Accent2 5 3 4 2" xfId="12118" xr:uid="{00000000-0005-0000-0000-0000F70C0000}"/>
    <cellStyle name="20% - Accent2 5 3 4 2 2" xfId="25830" xr:uid="{00000000-0005-0000-0000-0000F80C0000}"/>
    <cellStyle name="20% - Accent2 5 3 4 3" xfId="18204" xr:uid="{00000000-0005-0000-0000-0000F90C0000}"/>
    <cellStyle name="20% - Accent2 5 3 5" xfId="882" xr:uid="{00000000-0005-0000-0000-0000FA0C0000}"/>
    <cellStyle name="20% - Accent2 5 3 5 2" xfId="11752" xr:uid="{00000000-0005-0000-0000-0000FB0C0000}"/>
    <cellStyle name="20% - Accent2 5 3 5 2 2" xfId="25467" xr:uid="{00000000-0005-0000-0000-0000FC0C0000}"/>
    <cellStyle name="20% - Accent2 5 3 5 3" xfId="18205" xr:uid="{00000000-0005-0000-0000-0000FD0C0000}"/>
    <cellStyle name="20% - Accent2 5 3 6" xfId="883" xr:uid="{00000000-0005-0000-0000-0000FE0C0000}"/>
    <cellStyle name="20% - Accent2 5 3 6 2" xfId="13682" xr:uid="{00000000-0005-0000-0000-0000FF0C0000}"/>
    <cellStyle name="20% - Accent2 5 3 6 2 2" xfId="27231" xr:uid="{00000000-0005-0000-0000-0000000D0000}"/>
    <cellStyle name="20% - Accent2 5 3 6 3" xfId="18206" xr:uid="{00000000-0005-0000-0000-0000010D0000}"/>
    <cellStyle name="20% - Accent2 5 3 7" xfId="884" xr:uid="{00000000-0005-0000-0000-0000020D0000}"/>
    <cellStyle name="20% - Accent2 5 3 7 2" xfId="14263" xr:uid="{00000000-0005-0000-0000-0000030D0000}"/>
    <cellStyle name="20% - Accent2 5 3 7 2 2" xfId="27812" xr:uid="{00000000-0005-0000-0000-0000040D0000}"/>
    <cellStyle name="20% - Accent2 5 3 7 3" xfId="18207" xr:uid="{00000000-0005-0000-0000-0000050D0000}"/>
    <cellStyle name="20% - Accent2 5 3 8" xfId="885" xr:uid="{00000000-0005-0000-0000-0000060D0000}"/>
    <cellStyle name="20% - Accent2 5 3 8 2" xfId="14719" xr:uid="{00000000-0005-0000-0000-0000070D0000}"/>
    <cellStyle name="20% - Accent2 5 3 8 2 2" xfId="28268" xr:uid="{00000000-0005-0000-0000-0000080D0000}"/>
    <cellStyle name="20% - Accent2 5 3 8 3" xfId="18208" xr:uid="{00000000-0005-0000-0000-0000090D0000}"/>
    <cellStyle name="20% - Accent2 5 3 9" xfId="886" xr:uid="{00000000-0005-0000-0000-00000A0D0000}"/>
    <cellStyle name="20% - Accent2 5 3 9 2" xfId="16149" xr:uid="{00000000-0005-0000-0000-00000B0D0000}"/>
    <cellStyle name="20% - Accent2 5 3 9 2 2" xfId="29556" xr:uid="{00000000-0005-0000-0000-00000C0D0000}"/>
    <cellStyle name="20% - Accent2 5 3 9 3" xfId="18209" xr:uid="{00000000-0005-0000-0000-00000D0D0000}"/>
    <cellStyle name="20% - Accent2 5 4" xfId="887" xr:uid="{00000000-0005-0000-0000-00000E0D0000}"/>
    <cellStyle name="20% - Accent2 5 4 2" xfId="888" xr:uid="{00000000-0005-0000-0000-00000F0D0000}"/>
    <cellStyle name="20% - Accent2 5 4 2 2" xfId="10669" xr:uid="{00000000-0005-0000-0000-0000100D0000}"/>
    <cellStyle name="20% - Accent2 5 4 2 2 2" xfId="24611" xr:uid="{00000000-0005-0000-0000-0000110D0000}"/>
    <cellStyle name="20% - Accent2 5 4 2 3" xfId="18211" xr:uid="{00000000-0005-0000-0000-0000120D0000}"/>
    <cellStyle name="20% - Accent2 5 4 3" xfId="889" xr:uid="{00000000-0005-0000-0000-0000130D0000}"/>
    <cellStyle name="20% - Accent2 5 4 3 2" xfId="12567" xr:uid="{00000000-0005-0000-0000-0000140D0000}"/>
    <cellStyle name="20% - Accent2 5 4 3 2 2" xfId="26279" xr:uid="{00000000-0005-0000-0000-0000150D0000}"/>
    <cellStyle name="20% - Accent2 5 4 3 3" xfId="18212" xr:uid="{00000000-0005-0000-0000-0000160D0000}"/>
    <cellStyle name="20% - Accent2 5 4 4" xfId="890" xr:uid="{00000000-0005-0000-0000-0000170D0000}"/>
    <cellStyle name="20% - Accent2 5 4 4 2" xfId="14722" xr:uid="{00000000-0005-0000-0000-0000180D0000}"/>
    <cellStyle name="20% - Accent2 5 4 4 2 2" xfId="28271" xr:uid="{00000000-0005-0000-0000-0000190D0000}"/>
    <cellStyle name="20% - Accent2 5 4 4 3" xfId="18213" xr:uid="{00000000-0005-0000-0000-00001A0D0000}"/>
    <cellStyle name="20% - Accent2 5 4 5" xfId="891" xr:uid="{00000000-0005-0000-0000-00001B0D0000}"/>
    <cellStyle name="20% - Accent2 5 4 5 2" xfId="16444" xr:uid="{00000000-0005-0000-0000-00001C0D0000}"/>
    <cellStyle name="20% - Accent2 5 4 5 2 2" xfId="29851" xr:uid="{00000000-0005-0000-0000-00001D0D0000}"/>
    <cellStyle name="20% - Accent2 5 4 5 3" xfId="18214" xr:uid="{00000000-0005-0000-0000-00001E0D0000}"/>
    <cellStyle name="20% - Accent2 5 4 6" xfId="8944" xr:uid="{00000000-0005-0000-0000-00001F0D0000}"/>
    <cellStyle name="20% - Accent2 5 4 6 2" xfId="23419" xr:uid="{00000000-0005-0000-0000-0000200D0000}"/>
    <cellStyle name="20% - Accent2 5 4 7" xfId="18210" xr:uid="{00000000-0005-0000-0000-0000210D0000}"/>
    <cellStyle name="20% - Accent2 5 5" xfId="892" xr:uid="{00000000-0005-0000-0000-0000220D0000}"/>
    <cellStyle name="20% - Accent2 5 5 2" xfId="893" xr:uid="{00000000-0005-0000-0000-0000230D0000}"/>
    <cellStyle name="20% - Accent2 5 5 2 2" xfId="14723" xr:uid="{00000000-0005-0000-0000-0000240D0000}"/>
    <cellStyle name="20% - Accent2 5 5 2 2 2" xfId="28272" xr:uid="{00000000-0005-0000-0000-0000250D0000}"/>
    <cellStyle name="20% - Accent2 5 5 2 3" xfId="18216" xr:uid="{00000000-0005-0000-0000-0000260D0000}"/>
    <cellStyle name="20% - Accent2 5 5 3" xfId="10662" xr:uid="{00000000-0005-0000-0000-0000270D0000}"/>
    <cellStyle name="20% - Accent2 5 5 3 2" xfId="24604" xr:uid="{00000000-0005-0000-0000-0000280D0000}"/>
    <cellStyle name="20% - Accent2 5 5 4" xfId="18215" xr:uid="{00000000-0005-0000-0000-0000290D0000}"/>
    <cellStyle name="20% - Accent2 5 6" xfId="894" xr:uid="{00000000-0005-0000-0000-00002A0D0000}"/>
    <cellStyle name="20% - Accent2 5 6 2" xfId="11795" xr:uid="{00000000-0005-0000-0000-00002B0D0000}"/>
    <cellStyle name="20% - Accent2 5 6 2 2" xfId="25510" xr:uid="{00000000-0005-0000-0000-00002C0D0000}"/>
    <cellStyle name="20% - Accent2 5 6 3" xfId="18217" xr:uid="{00000000-0005-0000-0000-00002D0D0000}"/>
    <cellStyle name="20% - Accent2 5 7" xfId="895" xr:uid="{00000000-0005-0000-0000-00002E0D0000}"/>
    <cellStyle name="20% - Accent2 5 7 2" xfId="12412" xr:uid="{00000000-0005-0000-0000-00002F0D0000}"/>
    <cellStyle name="20% - Accent2 5 7 2 2" xfId="26124" xr:uid="{00000000-0005-0000-0000-0000300D0000}"/>
    <cellStyle name="20% - Accent2 5 7 3" xfId="18218" xr:uid="{00000000-0005-0000-0000-0000310D0000}"/>
    <cellStyle name="20% - Accent2 5 8" xfId="896" xr:uid="{00000000-0005-0000-0000-0000320D0000}"/>
    <cellStyle name="20% - Accent2 5 8 2" xfId="13396" xr:uid="{00000000-0005-0000-0000-0000330D0000}"/>
    <cellStyle name="20% - Accent2 5 8 2 2" xfId="26945" xr:uid="{00000000-0005-0000-0000-0000340D0000}"/>
    <cellStyle name="20% - Accent2 5 8 3" xfId="18219" xr:uid="{00000000-0005-0000-0000-0000350D0000}"/>
    <cellStyle name="20% - Accent2 5 9" xfId="897" xr:uid="{00000000-0005-0000-0000-0000360D0000}"/>
    <cellStyle name="20% - Accent2 5 9 2" xfId="13977" xr:uid="{00000000-0005-0000-0000-0000370D0000}"/>
    <cellStyle name="20% - Accent2 5 9 2 2" xfId="27526" xr:uid="{00000000-0005-0000-0000-0000380D0000}"/>
    <cellStyle name="20% - Accent2 5 9 3" xfId="18220" xr:uid="{00000000-0005-0000-0000-0000390D0000}"/>
    <cellStyle name="20% - Accent2 6" xfId="898" xr:uid="{00000000-0005-0000-0000-00003A0D0000}"/>
    <cellStyle name="20% - Accent2 6 10" xfId="899" xr:uid="{00000000-0005-0000-0000-00003B0D0000}"/>
    <cellStyle name="20% - Accent2 6 10 2" xfId="14724" xr:uid="{00000000-0005-0000-0000-00003C0D0000}"/>
    <cellStyle name="20% - Accent2 6 10 2 2" xfId="28273" xr:uid="{00000000-0005-0000-0000-00003D0D0000}"/>
    <cellStyle name="20% - Accent2 6 10 3" xfId="18222" xr:uid="{00000000-0005-0000-0000-00003E0D0000}"/>
    <cellStyle name="20% - Accent2 6 11" xfId="900" xr:uid="{00000000-0005-0000-0000-00003F0D0000}"/>
    <cellStyle name="20% - Accent2 6 11 2" xfId="15969" xr:uid="{00000000-0005-0000-0000-0000400D0000}"/>
    <cellStyle name="20% - Accent2 6 11 2 2" xfId="29376" xr:uid="{00000000-0005-0000-0000-0000410D0000}"/>
    <cellStyle name="20% - Accent2 6 11 3" xfId="18223" xr:uid="{00000000-0005-0000-0000-0000420D0000}"/>
    <cellStyle name="20% - Accent2 6 12" xfId="8945" xr:uid="{00000000-0005-0000-0000-0000430D0000}"/>
    <cellStyle name="20% - Accent2 6 12 2" xfId="23420" xr:uid="{00000000-0005-0000-0000-0000440D0000}"/>
    <cellStyle name="20% - Accent2 6 13" xfId="18221" xr:uid="{00000000-0005-0000-0000-0000450D0000}"/>
    <cellStyle name="20% - Accent2 6 2" xfId="901" xr:uid="{00000000-0005-0000-0000-0000460D0000}"/>
    <cellStyle name="20% - Accent2 6 2 10" xfId="902" xr:uid="{00000000-0005-0000-0000-0000470D0000}"/>
    <cellStyle name="20% - Accent2 6 2 10 2" xfId="16112" xr:uid="{00000000-0005-0000-0000-0000480D0000}"/>
    <cellStyle name="20% - Accent2 6 2 10 2 2" xfId="29519" xr:uid="{00000000-0005-0000-0000-0000490D0000}"/>
    <cellStyle name="20% - Accent2 6 2 10 3" xfId="18225" xr:uid="{00000000-0005-0000-0000-00004A0D0000}"/>
    <cellStyle name="20% - Accent2 6 2 11" xfId="8946" xr:uid="{00000000-0005-0000-0000-00004B0D0000}"/>
    <cellStyle name="20% - Accent2 6 2 11 2" xfId="23421" xr:uid="{00000000-0005-0000-0000-00004C0D0000}"/>
    <cellStyle name="20% - Accent2 6 2 12" xfId="18224" xr:uid="{00000000-0005-0000-0000-00004D0D0000}"/>
    <cellStyle name="20% - Accent2 6 2 2" xfId="903" xr:uid="{00000000-0005-0000-0000-00004E0D0000}"/>
    <cellStyle name="20% - Accent2 6 2 2 10" xfId="8947" xr:uid="{00000000-0005-0000-0000-00004F0D0000}"/>
    <cellStyle name="20% - Accent2 6 2 2 10 2" xfId="23422" xr:uid="{00000000-0005-0000-0000-0000500D0000}"/>
    <cellStyle name="20% - Accent2 6 2 2 11" xfId="18226" xr:uid="{00000000-0005-0000-0000-0000510D0000}"/>
    <cellStyle name="20% - Accent2 6 2 2 2" xfId="904" xr:uid="{00000000-0005-0000-0000-0000520D0000}"/>
    <cellStyle name="20% - Accent2 6 2 2 2 2" xfId="905" xr:uid="{00000000-0005-0000-0000-0000530D0000}"/>
    <cellStyle name="20% - Accent2 6 2 2 2 2 2" xfId="10673" xr:uid="{00000000-0005-0000-0000-0000540D0000}"/>
    <cellStyle name="20% - Accent2 6 2 2 2 2 2 2" xfId="24615" xr:uid="{00000000-0005-0000-0000-0000550D0000}"/>
    <cellStyle name="20% - Accent2 6 2 2 2 2 3" xfId="18228" xr:uid="{00000000-0005-0000-0000-0000560D0000}"/>
    <cellStyle name="20% - Accent2 6 2 2 2 3" xfId="906" xr:uid="{00000000-0005-0000-0000-0000570D0000}"/>
    <cellStyle name="20% - Accent2 6 2 2 2 3 2" xfId="12693" xr:uid="{00000000-0005-0000-0000-0000580D0000}"/>
    <cellStyle name="20% - Accent2 6 2 2 2 3 2 2" xfId="26405" xr:uid="{00000000-0005-0000-0000-0000590D0000}"/>
    <cellStyle name="20% - Accent2 6 2 2 2 3 3" xfId="18229" xr:uid="{00000000-0005-0000-0000-00005A0D0000}"/>
    <cellStyle name="20% - Accent2 6 2 2 2 4" xfId="907" xr:uid="{00000000-0005-0000-0000-00005B0D0000}"/>
    <cellStyle name="20% - Accent2 6 2 2 2 4 2" xfId="14727" xr:uid="{00000000-0005-0000-0000-00005C0D0000}"/>
    <cellStyle name="20% - Accent2 6 2 2 2 4 2 2" xfId="28276" xr:uid="{00000000-0005-0000-0000-00005D0D0000}"/>
    <cellStyle name="20% - Accent2 6 2 2 2 4 3" xfId="18230" xr:uid="{00000000-0005-0000-0000-00005E0D0000}"/>
    <cellStyle name="20% - Accent2 6 2 2 2 5" xfId="908" xr:uid="{00000000-0005-0000-0000-00005F0D0000}"/>
    <cellStyle name="20% - Accent2 6 2 2 2 5 2" xfId="16982" xr:uid="{00000000-0005-0000-0000-0000600D0000}"/>
    <cellStyle name="20% - Accent2 6 2 2 2 5 2 2" xfId="30389" xr:uid="{00000000-0005-0000-0000-0000610D0000}"/>
    <cellStyle name="20% - Accent2 6 2 2 2 5 3" xfId="18231" xr:uid="{00000000-0005-0000-0000-0000620D0000}"/>
    <cellStyle name="20% - Accent2 6 2 2 2 6" xfId="8948" xr:uid="{00000000-0005-0000-0000-0000630D0000}"/>
    <cellStyle name="20% - Accent2 6 2 2 2 6 2" xfId="23423" xr:uid="{00000000-0005-0000-0000-0000640D0000}"/>
    <cellStyle name="20% - Accent2 6 2 2 2 7" xfId="18227" xr:uid="{00000000-0005-0000-0000-0000650D0000}"/>
    <cellStyle name="20% - Accent2 6 2 2 3" xfId="909" xr:uid="{00000000-0005-0000-0000-0000660D0000}"/>
    <cellStyle name="20% - Accent2 6 2 2 3 2" xfId="910" xr:uid="{00000000-0005-0000-0000-0000670D0000}"/>
    <cellStyle name="20% - Accent2 6 2 2 3 2 2" xfId="14728" xr:uid="{00000000-0005-0000-0000-0000680D0000}"/>
    <cellStyle name="20% - Accent2 6 2 2 3 2 2 2" xfId="28277" xr:uid="{00000000-0005-0000-0000-0000690D0000}"/>
    <cellStyle name="20% - Accent2 6 2 2 3 2 3" xfId="18233" xr:uid="{00000000-0005-0000-0000-00006A0D0000}"/>
    <cellStyle name="20% - Accent2 6 2 2 3 3" xfId="10672" xr:uid="{00000000-0005-0000-0000-00006B0D0000}"/>
    <cellStyle name="20% - Accent2 6 2 2 3 3 2" xfId="24614" xr:uid="{00000000-0005-0000-0000-00006C0D0000}"/>
    <cellStyle name="20% - Accent2 6 2 2 3 4" xfId="18232" xr:uid="{00000000-0005-0000-0000-00006D0D0000}"/>
    <cellStyle name="20% - Accent2 6 2 2 4" xfId="911" xr:uid="{00000000-0005-0000-0000-00006E0D0000}"/>
    <cellStyle name="20% - Accent2 6 2 2 4 2" xfId="12370" xr:uid="{00000000-0005-0000-0000-00006F0D0000}"/>
    <cellStyle name="20% - Accent2 6 2 2 4 2 2" xfId="26082" xr:uid="{00000000-0005-0000-0000-0000700D0000}"/>
    <cellStyle name="20% - Accent2 6 2 2 4 3" xfId="18234" xr:uid="{00000000-0005-0000-0000-0000710D0000}"/>
    <cellStyle name="20% - Accent2 6 2 2 5" xfId="912" xr:uid="{00000000-0005-0000-0000-0000720D0000}"/>
    <cellStyle name="20% - Accent2 6 2 2 5 2" xfId="12785" xr:uid="{00000000-0005-0000-0000-0000730D0000}"/>
    <cellStyle name="20% - Accent2 6 2 2 5 2 2" xfId="26497" xr:uid="{00000000-0005-0000-0000-0000740D0000}"/>
    <cellStyle name="20% - Accent2 6 2 2 5 3" xfId="18235" xr:uid="{00000000-0005-0000-0000-0000750D0000}"/>
    <cellStyle name="20% - Accent2 6 2 2 6" xfId="913" xr:uid="{00000000-0005-0000-0000-0000760D0000}"/>
    <cellStyle name="20% - Accent2 6 2 2 6 2" xfId="13934" xr:uid="{00000000-0005-0000-0000-0000770D0000}"/>
    <cellStyle name="20% - Accent2 6 2 2 6 2 2" xfId="27483" xr:uid="{00000000-0005-0000-0000-0000780D0000}"/>
    <cellStyle name="20% - Accent2 6 2 2 6 3" xfId="18236" xr:uid="{00000000-0005-0000-0000-0000790D0000}"/>
    <cellStyle name="20% - Accent2 6 2 2 7" xfId="914" xr:uid="{00000000-0005-0000-0000-00007A0D0000}"/>
    <cellStyle name="20% - Accent2 6 2 2 7 2" xfId="14515" xr:uid="{00000000-0005-0000-0000-00007B0D0000}"/>
    <cellStyle name="20% - Accent2 6 2 2 7 2 2" xfId="28064" xr:uid="{00000000-0005-0000-0000-00007C0D0000}"/>
    <cellStyle name="20% - Accent2 6 2 2 7 3" xfId="18237" xr:uid="{00000000-0005-0000-0000-00007D0D0000}"/>
    <cellStyle name="20% - Accent2 6 2 2 8" xfId="915" xr:uid="{00000000-0005-0000-0000-00007E0D0000}"/>
    <cellStyle name="20% - Accent2 6 2 2 8 2" xfId="14726" xr:uid="{00000000-0005-0000-0000-00007F0D0000}"/>
    <cellStyle name="20% - Accent2 6 2 2 8 2 2" xfId="28275" xr:uid="{00000000-0005-0000-0000-0000800D0000}"/>
    <cellStyle name="20% - Accent2 6 2 2 8 3" xfId="18238" xr:uid="{00000000-0005-0000-0000-0000810D0000}"/>
    <cellStyle name="20% - Accent2 6 2 2 9" xfId="916" xr:uid="{00000000-0005-0000-0000-0000820D0000}"/>
    <cellStyle name="20% - Accent2 6 2 2 9 2" xfId="16401" xr:uid="{00000000-0005-0000-0000-0000830D0000}"/>
    <cellStyle name="20% - Accent2 6 2 2 9 2 2" xfId="29808" xr:uid="{00000000-0005-0000-0000-0000840D0000}"/>
    <cellStyle name="20% - Accent2 6 2 2 9 3" xfId="18239" xr:uid="{00000000-0005-0000-0000-0000850D0000}"/>
    <cellStyle name="20% - Accent2 6 2 3" xfId="917" xr:uid="{00000000-0005-0000-0000-0000860D0000}"/>
    <cellStyle name="20% - Accent2 6 2 3 2" xfId="918" xr:uid="{00000000-0005-0000-0000-0000870D0000}"/>
    <cellStyle name="20% - Accent2 6 2 3 2 2" xfId="10674" xr:uid="{00000000-0005-0000-0000-0000880D0000}"/>
    <cellStyle name="20% - Accent2 6 2 3 2 2 2" xfId="24616" xr:uid="{00000000-0005-0000-0000-0000890D0000}"/>
    <cellStyle name="20% - Accent2 6 2 3 2 3" xfId="18241" xr:uid="{00000000-0005-0000-0000-00008A0D0000}"/>
    <cellStyle name="20% - Accent2 6 2 3 3" xfId="919" xr:uid="{00000000-0005-0000-0000-00008B0D0000}"/>
    <cellStyle name="20% - Accent2 6 2 3 3 2" xfId="11857" xr:uid="{00000000-0005-0000-0000-00008C0D0000}"/>
    <cellStyle name="20% - Accent2 6 2 3 3 2 2" xfId="25572" xr:uid="{00000000-0005-0000-0000-00008D0D0000}"/>
    <cellStyle name="20% - Accent2 6 2 3 3 3" xfId="18242" xr:uid="{00000000-0005-0000-0000-00008E0D0000}"/>
    <cellStyle name="20% - Accent2 6 2 3 4" xfId="920" xr:uid="{00000000-0005-0000-0000-00008F0D0000}"/>
    <cellStyle name="20% - Accent2 6 2 3 4 2" xfId="14729" xr:uid="{00000000-0005-0000-0000-0000900D0000}"/>
    <cellStyle name="20% - Accent2 6 2 3 4 2 2" xfId="28278" xr:uid="{00000000-0005-0000-0000-0000910D0000}"/>
    <cellStyle name="20% - Accent2 6 2 3 4 3" xfId="18243" xr:uid="{00000000-0005-0000-0000-0000920D0000}"/>
    <cellStyle name="20% - Accent2 6 2 3 5" xfId="921" xr:uid="{00000000-0005-0000-0000-0000930D0000}"/>
    <cellStyle name="20% - Accent2 6 2 3 5 2" xfId="16693" xr:uid="{00000000-0005-0000-0000-0000940D0000}"/>
    <cellStyle name="20% - Accent2 6 2 3 5 2 2" xfId="30100" xr:uid="{00000000-0005-0000-0000-0000950D0000}"/>
    <cellStyle name="20% - Accent2 6 2 3 5 3" xfId="18244" xr:uid="{00000000-0005-0000-0000-0000960D0000}"/>
    <cellStyle name="20% - Accent2 6 2 3 6" xfId="8949" xr:uid="{00000000-0005-0000-0000-0000970D0000}"/>
    <cellStyle name="20% - Accent2 6 2 3 6 2" xfId="23424" xr:uid="{00000000-0005-0000-0000-0000980D0000}"/>
    <cellStyle name="20% - Accent2 6 2 3 7" xfId="18240" xr:uid="{00000000-0005-0000-0000-0000990D0000}"/>
    <cellStyle name="20% - Accent2 6 2 4" xfId="922" xr:uid="{00000000-0005-0000-0000-00009A0D0000}"/>
    <cellStyle name="20% - Accent2 6 2 4 2" xfId="923" xr:uid="{00000000-0005-0000-0000-00009B0D0000}"/>
    <cellStyle name="20% - Accent2 6 2 4 2 2" xfId="14730" xr:uid="{00000000-0005-0000-0000-00009C0D0000}"/>
    <cellStyle name="20% - Accent2 6 2 4 2 2 2" xfId="28279" xr:uid="{00000000-0005-0000-0000-00009D0D0000}"/>
    <cellStyle name="20% - Accent2 6 2 4 2 3" xfId="18246" xr:uid="{00000000-0005-0000-0000-00009E0D0000}"/>
    <cellStyle name="20% - Accent2 6 2 4 3" xfId="10671" xr:uid="{00000000-0005-0000-0000-00009F0D0000}"/>
    <cellStyle name="20% - Accent2 6 2 4 3 2" xfId="24613" xr:uid="{00000000-0005-0000-0000-0000A00D0000}"/>
    <cellStyle name="20% - Accent2 6 2 4 4" xfId="18245" xr:uid="{00000000-0005-0000-0000-0000A10D0000}"/>
    <cellStyle name="20% - Accent2 6 2 5" xfId="924" xr:uid="{00000000-0005-0000-0000-0000A20D0000}"/>
    <cellStyle name="20% - Accent2 6 2 5 2" xfId="12070" xr:uid="{00000000-0005-0000-0000-0000A30D0000}"/>
    <cellStyle name="20% - Accent2 6 2 5 2 2" xfId="25785" xr:uid="{00000000-0005-0000-0000-0000A40D0000}"/>
    <cellStyle name="20% - Accent2 6 2 5 3" xfId="18247" xr:uid="{00000000-0005-0000-0000-0000A50D0000}"/>
    <cellStyle name="20% - Accent2 6 2 6" xfId="925" xr:uid="{00000000-0005-0000-0000-0000A60D0000}"/>
    <cellStyle name="20% - Accent2 6 2 6 2" xfId="12784" xr:uid="{00000000-0005-0000-0000-0000A70D0000}"/>
    <cellStyle name="20% - Accent2 6 2 6 2 2" xfId="26496" xr:uid="{00000000-0005-0000-0000-0000A80D0000}"/>
    <cellStyle name="20% - Accent2 6 2 6 3" xfId="18248" xr:uid="{00000000-0005-0000-0000-0000A90D0000}"/>
    <cellStyle name="20% - Accent2 6 2 7" xfId="926" xr:uid="{00000000-0005-0000-0000-0000AA0D0000}"/>
    <cellStyle name="20% - Accent2 6 2 7 2" xfId="13645" xr:uid="{00000000-0005-0000-0000-0000AB0D0000}"/>
    <cellStyle name="20% - Accent2 6 2 7 2 2" xfId="27194" xr:uid="{00000000-0005-0000-0000-0000AC0D0000}"/>
    <cellStyle name="20% - Accent2 6 2 7 3" xfId="18249" xr:uid="{00000000-0005-0000-0000-0000AD0D0000}"/>
    <cellStyle name="20% - Accent2 6 2 8" xfId="927" xr:uid="{00000000-0005-0000-0000-0000AE0D0000}"/>
    <cellStyle name="20% - Accent2 6 2 8 2" xfId="14226" xr:uid="{00000000-0005-0000-0000-0000AF0D0000}"/>
    <cellStyle name="20% - Accent2 6 2 8 2 2" xfId="27775" xr:uid="{00000000-0005-0000-0000-0000B00D0000}"/>
    <cellStyle name="20% - Accent2 6 2 8 3" xfId="18250" xr:uid="{00000000-0005-0000-0000-0000B10D0000}"/>
    <cellStyle name="20% - Accent2 6 2 9" xfId="928" xr:uid="{00000000-0005-0000-0000-0000B20D0000}"/>
    <cellStyle name="20% - Accent2 6 2 9 2" xfId="14725" xr:uid="{00000000-0005-0000-0000-0000B30D0000}"/>
    <cellStyle name="20% - Accent2 6 2 9 2 2" xfId="28274" xr:uid="{00000000-0005-0000-0000-0000B40D0000}"/>
    <cellStyle name="20% - Accent2 6 2 9 3" xfId="18251" xr:uid="{00000000-0005-0000-0000-0000B50D0000}"/>
    <cellStyle name="20% - Accent2 6 3" xfId="929" xr:uid="{00000000-0005-0000-0000-0000B60D0000}"/>
    <cellStyle name="20% - Accent2 6 3 10" xfId="8950" xr:uid="{00000000-0005-0000-0000-0000B70D0000}"/>
    <cellStyle name="20% - Accent2 6 3 10 2" xfId="23425" xr:uid="{00000000-0005-0000-0000-0000B80D0000}"/>
    <cellStyle name="20% - Accent2 6 3 11" xfId="18252" xr:uid="{00000000-0005-0000-0000-0000B90D0000}"/>
    <cellStyle name="20% - Accent2 6 3 2" xfId="930" xr:uid="{00000000-0005-0000-0000-0000BA0D0000}"/>
    <cellStyle name="20% - Accent2 6 3 2 2" xfId="931" xr:uid="{00000000-0005-0000-0000-0000BB0D0000}"/>
    <cellStyle name="20% - Accent2 6 3 2 2 2" xfId="10676" xr:uid="{00000000-0005-0000-0000-0000BC0D0000}"/>
    <cellStyle name="20% - Accent2 6 3 2 2 2 2" xfId="24618" xr:uid="{00000000-0005-0000-0000-0000BD0D0000}"/>
    <cellStyle name="20% - Accent2 6 3 2 2 3" xfId="18254" xr:uid="{00000000-0005-0000-0000-0000BE0D0000}"/>
    <cellStyle name="20% - Accent2 6 3 2 3" xfId="932" xr:uid="{00000000-0005-0000-0000-0000BF0D0000}"/>
    <cellStyle name="20% - Accent2 6 3 2 3 2" xfId="12726" xr:uid="{00000000-0005-0000-0000-0000C00D0000}"/>
    <cellStyle name="20% - Accent2 6 3 2 3 2 2" xfId="26438" xr:uid="{00000000-0005-0000-0000-0000C10D0000}"/>
    <cellStyle name="20% - Accent2 6 3 2 3 3" xfId="18255" xr:uid="{00000000-0005-0000-0000-0000C20D0000}"/>
    <cellStyle name="20% - Accent2 6 3 2 4" xfId="933" xr:uid="{00000000-0005-0000-0000-0000C30D0000}"/>
    <cellStyle name="20% - Accent2 6 3 2 4 2" xfId="14732" xr:uid="{00000000-0005-0000-0000-0000C40D0000}"/>
    <cellStyle name="20% - Accent2 6 3 2 4 2 2" xfId="28281" xr:uid="{00000000-0005-0000-0000-0000C50D0000}"/>
    <cellStyle name="20% - Accent2 6 3 2 4 3" xfId="18256" xr:uid="{00000000-0005-0000-0000-0000C60D0000}"/>
    <cellStyle name="20% - Accent2 6 3 2 5" xfId="934" xr:uid="{00000000-0005-0000-0000-0000C70D0000}"/>
    <cellStyle name="20% - Accent2 6 3 2 5 2" xfId="16839" xr:uid="{00000000-0005-0000-0000-0000C80D0000}"/>
    <cellStyle name="20% - Accent2 6 3 2 5 2 2" xfId="30246" xr:uid="{00000000-0005-0000-0000-0000C90D0000}"/>
    <cellStyle name="20% - Accent2 6 3 2 5 3" xfId="18257" xr:uid="{00000000-0005-0000-0000-0000CA0D0000}"/>
    <cellStyle name="20% - Accent2 6 3 2 6" xfId="8951" xr:uid="{00000000-0005-0000-0000-0000CB0D0000}"/>
    <cellStyle name="20% - Accent2 6 3 2 6 2" xfId="23426" xr:uid="{00000000-0005-0000-0000-0000CC0D0000}"/>
    <cellStyle name="20% - Accent2 6 3 2 7" xfId="18253" xr:uid="{00000000-0005-0000-0000-0000CD0D0000}"/>
    <cellStyle name="20% - Accent2 6 3 3" xfId="935" xr:uid="{00000000-0005-0000-0000-0000CE0D0000}"/>
    <cellStyle name="20% - Accent2 6 3 3 2" xfId="936" xr:uid="{00000000-0005-0000-0000-0000CF0D0000}"/>
    <cellStyle name="20% - Accent2 6 3 3 2 2" xfId="14733" xr:uid="{00000000-0005-0000-0000-0000D00D0000}"/>
    <cellStyle name="20% - Accent2 6 3 3 2 2 2" xfId="28282" xr:uid="{00000000-0005-0000-0000-0000D10D0000}"/>
    <cellStyle name="20% - Accent2 6 3 3 2 3" xfId="18259" xr:uid="{00000000-0005-0000-0000-0000D20D0000}"/>
    <cellStyle name="20% - Accent2 6 3 3 3" xfId="10675" xr:uid="{00000000-0005-0000-0000-0000D30D0000}"/>
    <cellStyle name="20% - Accent2 6 3 3 3 2" xfId="24617" xr:uid="{00000000-0005-0000-0000-0000D40D0000}"/>
    <cellStyle name="20% - Accent2 6 3 3 4" xfId="18258" xr:uid="{00000000-0005-0000-0000-0000D50D0000}"/>
    <cellStyle name="20% - Accent2 6 3 4" xfId="937" xr:uid="{00000000-0005-0000-0000-0000D60D0000}"/>
    <cellStyle name="20% - Accent2 6 3 4 2" xfId="12227" xr:uid="{00000000-0005-0000-0000-0000D70D0000}"/>
    <cellStyle name="20% - Accent2 6 3 4 2 2" xfId="25939" xr:uid="{00000000-0005-0000-0000-0000D80D0000}"/>
    <cellStyle name="20% - Accent2 6 3 4 3" xfId="18260" xr:uid="{00000000-0005-0000-0000-0000D90D0000}"/>
    <cellStyle name="20% - Accent2 6 3 5" xfId="938" xr:uid="{00000000-0005-0000-0000-0000DA0D0000}"/>
    <cellStyle name="20% - Accent2 6 3 5 2" xfId="12731" xr:uid="{00000000-0005-0000-0000-0000DB0D0000}"/>
    <cellStyle name="20% - Accent2 6 3 5 2 2" xfId="26443" xr:uid="{00000000-0005-0000-0000-0000DC0D0000}"/>
    <cellStyle name="20% - Accent2 6 3 5 3" xfId="18261" xr:uid="{00000000-0005-0000-0000-0000DD0D0000}"/>
    <cellStyle name="20% - Accent2 6 3 6" xfId="939" xr:uid="{00000000-0005-0000-0000-0000DE0D0000}"/>
    <cellStyle name="20% - Accent2 6 3 6 2" xfId="13791" xr:uid="{00000000-0005-0000-0000-0000DF0D0000}"/>
    <cellStyle name="20% - Accent2 6 3 6 2 2" xfId="27340" xr:uid="{00000000-0005-0000-0000-0000E00D0000}"/>
    <cellStyle name="20% - Accent2 6 3 6 3" xfId="18262" xr:uid="{00000000-0005-0000-0000-0000E10D0000}"/>
    <cellStyle name="20% - Accent2 6 3 7" xfId="940" xr:uid="{00000000-0005-0000-0000-0000E20D0000}"/>
    <cellStyle name="20% - Accent2 6 3 7 2" xfId="14372" xr:uid="{00000000-0005-0000-0000-0000E30D0000}"/>
    <cellStyle name="20% - Accent2 6 3 7 2 2" xfId="27921" xr:uid="{00000000-0005-0000-0000-0000E40D0000}"/>
    <cellStyle name="20% - Accent2 6 3 7 3" xfId="18263" xr:uid="{00000000-0005-0000-0000-0000E50D0000}"/>
    <cellStyle name="20% - Accent2 6 3 8" xfId="941" xr:uid="{00000000-0005-0000-0000-0000E60D0000}"/>
    <cellStyle name="20% - Accent2 6 3 8 2" xfId="14731" xr:uid="{00000000-0005-0000-0000-0000E70D0000}"/>
    <cellStyle name="20% - Accent2 6 3 8 2 2" xfId="28280" xr:uid="{00000000-0005-0000-0000-0000E80D0000}"/>
    <cellStyle name="20% - Accent2 6 3 8 3" xfId="18264" xr:uid="{00000000-0005-0000-0000-0000E90D0000}"/>
    <cellStyle name="20% - Accent2 6 3 9" xfId="942" xr:uid="{00000000-0005-0000-0000-0000EA0D0000}"/>
    <cellStyle name="20% - Accent2 6 3 9 2" xfId="16258" xr:uid="{00000000-0005-0000-0000-0000EB0D0000}"/>
    <cellStyle name="20% - Accent2 6 3 9 2 2" xfId="29665" xr:uid="{00000000-0005-0000-0000-0000EC0D0000}"/>
    <cellStyle name="20% - Accent2 6 3 9 3" xfId="18265" xr:uid="{00000000-0005-0000-0000-0000ED0D0000}"/>
    <cellStyle name="20% - Accent2 6 4" xfId="943" xr:uid="{00000000-0005-0000-0000-0000EE0D0000}"/>
    <cellStyle name="20% - Accent2 6 4 2" xfId="944" xr:uid="{00000000-0005-0000-0000-0000EF0D0000}"/>
    <cellStyle name="20% - Accent2 6 4 2 2" xfId="10677" xr:uid="{00000000-0005-0000-0000-0000F00D0000}"/>
    <cellStyle name="20% - Accent2 6 4 2 2 2" xfId="24619" xr:uid="{00000000-0005-0000-0000-0000F10D0000}"/>
    <cellStyle name="20% - Accent2 6 4 2 3" xfId="18267" xr:uid="{00000000-0005-0000-0000-0000F20D0000}"/>
    <cellStyle name="20% - Accent2 6 4 3" xfId="945" xr:uid="{00000000-0005-0000-0000-0000F30D0000}"/>
    <cellStyle name="20% - Accent2 6 4 3 2" xfId="12753" xr:uid="{00000000-0005-0000-0000-0000F40D0000}"/>
    <cellStyle name="20% - Accent2 6 4 3 2 2" xfId="26465" xr:uid="{00000000-0005-0000-0000-0000F50D0000}"/>
    <cellStyle name="20% - Accent2 6 4 3 3" xfId="18268" xr:uid="{00000000-0005-0000-0000-0000F60D0000}"/>
    <cellStyle name="20% - Accent2 6 4 4" xfId="946" xr:uid="{00000000-0005-0000-0000-0000F70D0000}"/>
    <cellStyle name="20% - Accent2 6 4 4 2" xfId="14734" xr:uid="{00000000-0005-0000-0000-0000F80D0000}"/>
    <cellStyle name="20% - Accent2 6 4 4 2 2" xfId="28283" xr:uid="{00000000-0005-0000-0000-0000F90D0000}"/>
    <cellStyle name="20% - Accent2 6 4 4 3" xfId="18269" xr:uid="{00000000-0005-0000-0000-0000FA0D0000}"/>
    <cellStyle name="20% - Accent2 6 4 5" xfId="947" xr:uid="{00000000-0005-0000-0000-0000FB0D0000}"/>
    <cellStyle name="20% - Accent2 6 4 5 2" xfId="16550" xr:uid="{00000000-0005-0000-0000-0000FC0D0000}"/>
    <cellStyle name="20% - Accent2 6 4 5 2 2" xfId="29957" xr:uid="{00000000-0005-0000-0000-0000FD0D0000}"/>
    <cellStyle name="20% - Accent2 6 4 5 3" xfId="18270" xr:uid="{00000000-0005-0000-0000-0000FE0D0000}"/>
    <cellStyle name="20% - Accent2 6 4 6" xfId="8952" xr:uid="{00000000-0005-0000-0000-0000FF0D0000}"/>
    <cellStyle name="20% - Accent2 6 4 6 2" xfId="23427" xr:uid="{00000000-0005-0000-0000-0000000E0000}"/>
    <cellStyle name="20% - Accent2 6 4 7" xfId="18266" xr:uid="{00000000-0005-0000-0000-0000010E0000}"/>
    <cellStyle name="20% - Accent2 6 5" xfId="948" xr:uid="{00000000-0005-0000-0000-0000020E0000}"/>
    <cellStyle name="20% - Accent2 6 5 2" xfId="949" xr:uid="{00000000-0005-0000-0000-0000030E0000}"/>
    <cellStyle name="20% - Accent2 6 5 2 2" xfId="14735" xr:uid="{00000000-0005-0000-0000-0000040E0000}"/>
    <cellStyle name="20% - Accent2 6 5 2 2 2" xfId="28284" xr:uid="{00000000-0005-0000-0000-0000050E0000}"/>
    <cellStyle name="20% - Accent2 6 5 2 3" xfId="18272" xr:uid="{00000000-0005-0000-0000-0000060E0000}"/>
    <cellStyle name="20% - Accent2 6 5 3" xfId="10670" xr:uid="{00000000-0005-0000-0000-0000070E0000}"/>
    <cellStyle name="20% - Accent2 6 5 3 2" xfId="24612" xr:uid="{00000000-0005-0000-0000-0000080E0000}"/>
    <cellStyle name="20% - Accent2 6 5 4" xfId="18271" xr:uid="{00000000-0005-0000-0000-0000090E0000}"/>
    <cellStyle name="20% - Accent2 6 6" xfId="950" xr:uid="{00000000-0005-0000-0000-00000A0E0000}"/>
    <cellStyle name="20% - Accent2 6 6 2" xfId="11925" xr:uid="{00000000-0005-0000-0000-00000B0E0000}"/>
    <cellStyle name="20% - Accent2 6 6 2 2" xfId="25640" xr:uid="{00000000-0005-0000-0000-00000C0E0000}"/>
    <cellStyle name="20% - Accent2 6 6 3" xfId="18273" xr:uid="{00000000-0005-0000-0000-00000D0E0000}"/>
    <cellStyle name="20% - Accent2 6 7" xfId="951" xr:uid="{00000000-0005-0000-0000-00000E0E0000}"/>
    <cellStyle name="20% - Accent2 6 7 2" xfId="12427" xr:uid="{00000000-0005-0000-0000-00000F0E0000}"/>
    <cellStyle name="20% - Accent2 6 7 2 2" xfId="26139" xr:uid="{00000000-0005-0000-0000-0000100E0000}"/>
    <cellStyle name="20% - Accent2 6 7 3" xfId="18274" xr:uid="{00000000-0005-0000-0000-0000110E0000}"/>
    <cellStyle name="20% - Accent2 6 8" xfId="952" xr:uid="{00000000-0005-0000-0000-0000120E0000}"/>
    <cellStyle name="20% - Accent2 6 8 2" xfId="13502" xr:uid="{00000000-0005-0000-0000-0000130E0000}"/>
    <cellStyle name="20% - Accent2 6 8 2 2" xfId="27051" xr:uid="{00000000-0005-0000-0000-0000140E0000}"/>
    <cellStyle name="20% - Accent2 6 8 3" xfId="18275" xr:uid="{00000000-0005-0000-0000-0000150E0000}"/>
    <cellStyle name="20% - Accent2 6 9" xfId="953" xr:uid="{00000000-0005-0000-0000-0000160E0000}"/>
    <cellStyle name="20% - Accent2 6 9 2" xfId="14083" xr:uid="{00000000-0005-0000-0000-0000170E0000}"/>
    <cellStyle name="20% - Accent2 6 9 2 2" xfId="27632" xr:uid="{00000000-0005-0000-0000-0000180E0000}"/>
    <cellStyle name="20% - Accent2 6 9 3" xfId="18276" xr:uid="{00000000-0005-0000-0000-0000190E0000}"/>
    <cellStyle name="20% - Accent2 7" xfId="954" xr:uid="{00000000-0005-0000-0000-00001A0E0000}"/>
    <cellStyle name="20% - Accent2 7 10" xfId="955" xr:uid="{00000000-0005-0000-0000-00001B0E0000}"/>
    <cellStyle name="20% - Accent2 7 10 2" xfId="15990" xr:uid="{00000000-0005-0000-0000-00001C0E0000}"/>
    <cellStyle name="20% - Accent2 7 10 2 2" xfId="29397" xr:uid="{00000000-0005-0000-0000-00001D0E0000}"/>
    <cellStyle name="20% - Accent2 7 10 3" xfId="18278" xr:uid="{00000000-0005-0000-0000-00001E0E0000}"/>
    <cellStyle name="20% - Accent2 7 11" xfId="8953" xr:uid="{00000000-0005-0000-0000-00001F0E0000}"/>
    <cellStyle name="20% - Accent2 7 11 2" xfId="23428" xr:uid="{00000000-0005-0000-0000-0000200E0000}"/>
    <cellStyle name="20% - Accent2 7 12" xfId="18277" xr:uid="{00000000-0005-0000-0000-0000210E0000}"/>
    <cellStyle name="20% - Accent2 7 2" xfId="956" xr:uid="{00000000-0005-0000-0000-0000220E0000}"/>
    <cellStyle name="20% - Accent2 7 2 10" xfId="8954" xr:uid="{00000000-0005-0000-0000-0000230E0000}"/>
    <cellStyle name="20% - Accent2 7 2 10 2" xfId="23429" xr:uid="{00000000-0005-0000-0000-0000240E0000}"/>
    <cellStyle name="20% - Accent2 7 2 11" xfId="18279" xr:uid="{00000000-0005-0000-0000-0000250E0000}"/>
    <cellStyle name="20% - Accent2 7 2 2" xfId="957" xr:uid="{00000000-0005-0000-0000-0000260E0000}"/>
    <cellStyle name="20% - Accent2 7 2 2 2" xfId="958" xr:uid="{00000000-0005-0000-0000-0000270E0000}"/>
    <cellStyle name="20% - Accent2 7 2 2 2 2" xfId="10680" xr:uid="{00000000-0005-0000-0000-0000280E0000}"/>
    <cellStyle name="20% - Accent2 7 2 2 2 2 2" xfId="24622" xr:uid="{00000000-0005-0000-0000-0000290E0000}"/>
    <cellStyle name="20% - Accent2 7 2 2 2 3" xfId="18281" xr:uid="{00000000-0005-0000-0000-00002A0E0000}"/>
    <cellStyle name="20% - Accent2 7 2 2 3" xfId="959" xr:uid="{00000000-0005-0000-0000-00002B0E0000}"/>
    <cellStyle name="20% - Accent2 7 2 2 3 2" xfId="12483" xr:uid="{00000000-0005-0000-0000-00002C0E0000}"/>
    <cellStyle name="20% - Accent2 7 2 2 3 2 2" xfId="26195" xr:uid="{00000000-0005-0000-0000-00002D0E0000}"/>
    <cellStyle name="20% - Accent2 7 2 2 3 3" xfId="18282" xr:uid="{00000000-0005-0000-0000-00002E0E0000}"/>
    <cellStyle name="20% - Accent2 7 2 2 4" xfId="960" xr:uid="{00000000-0005-0000-0000-00002F0E0000}"/>
    <cellStyle name="20% - Accent2 7 2 2 4 2" xfId="14738" xr:uid="{00000000-0005-0000-0000-0000300E0000}"/>
    <cellStyle name="20% - Accent2 7 2 2 4 2 2" xfId="28287" xr:uid="{00000000-0005-0000-0000-0000310E0000}"/>
    <cellStyle name="20% - Accent2 7 2 2 4 3" xfId="18283" xr:uid="{00000000-0005-0000-0000-0000320E0000}"/>
    <cellStyle name="20% - Accent2 7 2 2 5" xfId="961" xr:uid="{00000000-0005-0000-0000-0000330E0000}"/>
    <cellStyle name="20% - Accent2 7 2 2 5 2" xfId="16860" xr:uid="{00000000-0005-0000-0000-0000340E0000}"/>
    <cellStyle name="20% - Accent2 7 2 2 5 2 2" xfId="30267" xr:uid="{00000000-0005-0000-0000-0000350E0000}"/>
    <cellStyle name="20% - Accent2 7 2 2 5 3" xfId="18284" xr:uid="{00000000-0005-0000-0000-0000360E0000}"/>
    <cellStyle name="20% - Accent2 7 2 2 6" xfId="8955" xr:uid="{00000000-0005-0000-0000-0000370E0000}"/>
    <cellStyle name="20% - Accent2 7 2 2 6 2" xfId="23430" xr:uid="{00000000-0005-0000-0000-0000380E0000}"/>
    <cellStyle name="20% - Accent2 7 2 2 7" xfId="18280" xr:uid="{00000000-0005-0000-0000-0000390E0000}"/>
    <cellStyle name="20% - Accent2 7 2 3" xfId="962" xr:uid="{00000000-0005-0000-0000-00003A0E0000}"/>
    <cellStyle name="20% - Accent2 7 2 3 2" xfId="963" xr:uid="{00000000-0005-0000-0000-00003B0E0000}"/>
    <cellStyle name="20% - Accent2 7 2 3 2 2" xfId="14739" xr:uid="{00000000-0005-0000-0000-00003C0E0000}"/>
    <cellStyle name="20% - Accent2 7 2 3 2 2 2" xfId="28288" xr:uid="{00000000-0005-0000-0000-00003D0E0000}"/>
    <cellStyle name="20% - Accent2 7 2 3 2 3" xfId="18286" xr:uid="{00000000-0005-0000-0000-00003E0E0000}"/>
    <cellStyle name="20% - Accent2 7 2 3 3" xfId="10679" xr:uid="{00000000-0005-0000-0000-00003F0E0000}"/>
    <cellStyle name="20% - Accent2 7 2 3 3 2" xfId="24621" xr:uid="{00000000-0005-0000-0000-0000400E0000}"/>
    <cellStyle name="20% - Accent2 7 2 3 4" xfId="18285" xr:uid="{00000000-0005-0000-0000-0000410E0000}"/>
    <cellStyle name="20% - Accent2 7 2 4" xfId="964" xr:uid="{00000000-0005-0000-0000-0000420E0000}"/>
    <cellStyle name="20% - Accent2 7 2 4 2" xfId="12248" xr:uid="{00000000-0005-0000-0000-0000430E0000}"/>
    <cellStyle name="20% - Accent2 7 2 4 2 2" xfId="25960" xr:uid="{00000000-0005-0000-0000-0000440E0000}"/>
    <cellStyle name="20% - Accent2 7 2 4 3" xfId="18287" xr:uid="{00000000-0005-0000-0000-0000450E0000}"/>
    <cellStyle name="20% - Accent2 7 2 5" xfId="965" xr:uid="{00000000-0005-0000-0000-0000460E0000}"/>
    <cellStyle name="20% - Accent2 7 2 5 2" xfId="11844" xr:uid="{00000000-0005-0000-0000-0000470E0000}"/>
    <cellStyle name="20% - Accent2 7 2 5 2 2" xfId="25559" xr:uid="{00000000-0005-0000-0000-0000480E0000}"/>
    <cellStyle name="20% - Accent2 7 2 5 3" xfId="18288" xr:uid="{00000000-0005-0000-0000-0000490E0000}"/>
    <cellStyle name="20% - Accent2 7 2 6" xfId="966" xr:uid="{00000000-0005-0000-0000-00004A0E0000}"/>
    <cellStyle name="20% - Accent2 7 2 6 2" xfId="13812" xr:uid="{00000000-0005-0000-0000-00004B0E0000}"/>
    <cellStyle name="20% - Accent2 7 2 6 2 2" xfId="27361" xr:uid="{00000000-0005-0000-0000-00004C0E0000}"/>
    <cellStyle name="20% - Accent2 7 2 6 3" xfId="18289" xr:uid="{00000000-0005-0000-0000-00004D0E0000}"/>
    <cellStyle name="20% - Accent2 7 2 7" xfId="967" xr:uid="{00000000-0005-0000-0000-00004E0E0000}"/>
    <cellStyle name="20% - Accent2 7 2 7 2" xfId="14393" xr:uid="{00000000-0005-0000-0000-00004F0E0000}"/>
    <cellStyle name="20% - Accent2 7 2 7 2 2" xfId="27942" xr:uid="{00000000-0005-0000-0000-0000500E0000}"/>
    <cellStyle name="20% - Accent2 7 2 7 3" xfId="18290" xr:uid="{00000000-0005-0000-0000-0000510E0000}"/>
    <cellStyle name="20% - Accent2 7 2 8" xfId="968" xr:uid="{00000000-0005-0000-0000-0000520E0000}"/>
    <cellStyle name="20% - Accent2 7 2 8 2" xfId="14737" xr:uid="{00000000-0005-0000-0000-0000530E0000}"/>
    <cellStyle name="20% - Accent2 7 2 8 2 2" xfId="28286" xr:uid="{00000000-0005-0000-0000-0000540E0000}"/>
    <cellStyle name="20% - Accent2 7 2 8 3" xfId="18291" xr:uid="{00000000-0005-0000-0000-0000550E0000}"/>
    <cellStyle name="20% - Accent2 7 2 9" xfId="969" xr:uid="{00000000-0005-0000-0000-0000560E0000}"/>
    <cellStyle name="20% - Accent2 7 2 9 2" xfId="16279" xr:uid="{00000000-0005-0000-0000-0000570E0000}"/>
    <cellStyle name="20% - Accent2 7 2 9 2 2" xfId="29686" xr:uid="{00000000-0005-0000-0000-0000580E0000}"/>
    <cellStyle name="20% - Accent2 7 2 9 3" xfId="18292" xr:uid="{00000000-0005-0000-0000-0000590E0000}"/>
    <cellStyle name="20% - Accent2 7 3" xfId="970" xr:uid="{00000000-0005-0000-0000-00005A0E0000}"/>
    <cellStyle name="20% - Accent2 7 3 2" xfId="971" xr:uid="{00000000-0005-0000-0000-00005B0E0000}"/>
    <cellStyle name="20% - Accent2 7 3 2 2" xfId="10681" xr:uid="{00000000-0005-0000-0000-00005C0E0000}"/>
    <cellStyle name="20% - Accent2 7 3 2 2 2" xfId="24623" xr:uid="{00000000-0005-0000-0000-00005D0E0000}"/>
    <cellStyle name="20% - Accent2 7 3 2 3" xfId="18294" xr:uid="{00000000-0005-0000-0000-00005E0E0000}"/>
    <cellStyle name="20% - Accent2 7 3 3" xfId="972" xr:uid="{00000000-0005-0000-0000-00005F0E0000}"/>
    <cellStyle name="20% - Accent2 7 3 3 2" xfId="12604" xr:uid="{00000000-0005-0000-0000-0000600E0000}"/>
    <cellStyle name="20% - Accent2 7 3 3 2 2" xfId="26316" xr:uid="{00000000-0005-0000-0000-0000610E0000}"/>
    <cellStyle name="20% - Accent2 7 3 3 3" xfId="18295" xr:uid="{00000000-0005-0000-0000-0000620E0000}"/>
    <cellStyle name="20% - Accent2 7 3 4" xfId="973" xr:uid="{00000000-0005-0000-0000-0000630E0000}"/>
    <cellStyle name="20% - Accent2 7 3 4 2" xfId="14740" xr:uid="{00000000-0005-0000-0000-0000640E0000}"/>
    <cellStyle name="20% - Accent2 7 3 4 2 2" xfId="28289" xr:uid="{00000000-0005-0000-0000-0000650E0000}"/>
    <cellStyle name="20% - Accent2 7 3 4 3" xfId="18296" xr:uid="{00000000-0005-0000-0000-0000660E0000}"/>
    <cellStyle name="20% - Accent2 7 3 5" xfId="974" xr:uid="{00000000-0005-0000-0000-0000670E0000}"/>
    <cellStyle name="20% - Accent2 7 3 5 2" xfId="16571" xr:uid="{00000000-0005-0000-0000-0000680E0000}"/>
    <cellStyle name="20% - Accent2 7 3 5 2 2" xfId="29978" xr:uid="{00000000-0005-0000-0000-0000690E0000}"/>
    <cellStyle name="20% - Accent2 7 3 5 3" xfId="18297" xr:uid="{00000000-0005-0000-0000-00006A0E0000}"/>
    <cellStyle name="20% - Accent2 7 3 6" xfId="8956" xr:uid="{00000000-0005-0000-0000-00006B0E0000}"/>
    <cellStyle name="20% - Accent2 7 3 6 2" xfId="23431" xr:uid="{00000000-0005-0000-0000-00006C0E0000}"/>
    <cellStyle name="20% - Accent2 7 3 7" xfId="18293" xr:uid="{00000000-0005-0000-0000-00006D0E0000}"/>
    <cellStyle name="20% - Accent2 7 4" xfId="975" xr:uid="{00000000-0005-0000-0000-00006E0E0000}"/>
    <cellStyle name="20% - Accent2 7 4 2" xfId="976" xr:uid="{00000000-0005-0000-0000-00006F0E0000}"/>
    <cellStyle name="20% - Accent2 7 4 2 2" xfId="14741" xr:uid="{00000000-0005-0000-0000-0000700E0000}"/>
    <cellStyle name="20% - Accent2 7 4 2 2 2" xfId="28290" xr:uid="{00000000-0005-0000-0000-0000710E0000}"/>
    <cellStyle name="20% - Accent2 7 4 2 3" xfId="18299" xr:uid="{00000000-0005-0000-0000-0000720E0000}"/>
    <cellStyle name="20% - Accent2 7 4 3" xfId="10678" xr:uid="{00000000-0005-0000-0000-0000730E0000}"/>
    <cellStyle name="20% - Accent2 7 4 3 2" xfId="24620" xr:uid="{00000000-0005-0000-0000-0000740E0000}"/>
    <cellStyle name="20% - Accent2 7 4 4" xfId="18298" xr:uid="{00000000-0005-0000-0000-0000750E0000}"/>
    <cellStyle name="20% - Accent2 7 5" xfId="977" xr:uid="{00000000-0005-0000-0000-0000760E0000}"/>
    <cellStyle name="20% - Accent2 7 5 2" xfId="11946" xr:uid="{00000000-0005-0000-0000-0000770E0000}"/>
    <cellStyle name="20% - Accent2 7 5 2 2" xfId="25661" xr:uid="{00000000-0005-0000-0000-0000780E0000}"/>
    <cellStyle name="20% - Accent2 7 5 3" xfId="18300" xr:uid="{00000000-0005-0000-0000-0000790E0000}"/>
    <cellStyle name="20% - Accent2 7 6" xfId="978" xr:uid="{00000000-0005-0000-0000-00007A0E0000}"/>
    <cellStyle name="20% - Accent2 7 6 2" xfId="12586" xr:uid="{00000000-0005-0000-0000-00007B0E0000}"/>
    <cellStyle name="20% - Accent2 7 6 2 2" xfId="26298" xr:uid="{00000000-0005-0000-0000-00007C0E0000}"/>
    <cellStyle name="20% - Accent2 7 6 3" xfId="18301" xr:uid="{00000000-0005-0000-0000-00007D0E0000}"/>
    <cellStyle name="20% - Accent2 7 7" xfId="979" xr:uid="{00000000-0005-0000-0000-00007E0E0000}"/>
    <cellStyle name="20% - Accent2 7 7 2" xfId="13523" xr:uid="{00000000-0005-0000-0000-00007F0E0000}"/>
    <cellStyle name="20% - Accent2 7 7 2 2" xfId="27072" xr:uid="{00000000-0005-0000-0000-0000800E0000}"/>
    <cellStyle name="20% - Accent2 7 7 3" xfId="18302" xr:uid="{00000000-0005-0000-0000-0000810E0000}"/>
    <cellStyle name="20% - Accent2 7 8" xfId="980" xr:uid="{00000000-0005-0000-0000-0000820E0000}"/>
    <cellStyle name="20% - Accent2 7 8 2" xfId="14104" xr:uid="{00000000-0005-0000-0000-0000830E0000}"/>
    <cellStyle name="20% - Accent2 7 8 2 2" xfId="27653" xr:uid="{00000000-0005-0000-0000-0000840E0000}"/>
    <cellStyle name="20% - Accent2 7 8 3" xfId="18303" xr:uid="{00000000-0005-0000-0000-0000850E0000}"/>
    <cellStyle name="20% - Accent2 7 9" xfId="981" xr:uid="{00000000-0005-0000-0000-0000860E0000}"/>
    <cellStyle name="20% - Accent2 7 9 2" xfId="14736" xr:uid="{00000000-0005-0000-0000-0000870E0000}"/>
    <cellStyle name="20% - Accent2 7 9 2 2" xfId="28285" xr:uid="{00000000-0005-0000-0000-0000880E0000}"/>
    <cellStyle name="20% - Accent2 7 9 3" xfId="18304" xr:uid="{00000000-0005-0000-0000-0000890E0000}"/>
    <cellStyle name="20% - Accent2 8" xfId="982" xr:uid="{00000000-0005-0000-0000-00008A0E0000}"/>
    <cellStyle name="20% - Accent2 8 10" xfId="8957" xr:uid="{00000000-0005-0000-0000-00008B0E0000}"/>
    <cellStyle name="20% - Accent2 8 10 2" xfId="23432" xr:uid="{00000000-0005-0000-0000-00008C0E0000}"/>
    <cellStyle name="20% - Accent2 8 11" xfId="18305" xr:uid="{00000000-0005-0000-0000-00008D0E0000}"/>
    <cellStyle name="20% - Accent2 8 2" xfId="983" xr:uid="{00000000-0005-0000-0000-00008E0E0000}"/>
    <cellStyle name="20% - Accent2 8 2 2" xfId="984" xr:uid="{00000000-0005-0000-0000-00008F0E0000}"/>
    <cellStyle name="20% - Accent2 8 2 2 2" xfId="10683" xr:uid="{00000000-0005-0000-0000-0000900E0000}"/>
    <cellStyle name="20% - Accent2 8 2 2 2 2" xfId="24625" xr:uid="{00000000-0005-0000-0000-0000910E0000}"/>
    <cellStyle name="20% - Accent2 8 2 2 3" xfId="18307" xr:uid="{00000000-0005-0000-0000-0000920E0000}"/>
    <cellStyle name="20% - Accent2 8 2 3" xfId="985" xr:uid="{00000000-0005-0000-0000-0000930E0000}"/>
    <cellStyle name="20% - Accent2 8 2 3 2" xfId="12797" xr:uid="{00000000-0005-0000-0000-0000940E0000}"/>
    <cellStyle name="20% - Accent2 8 2 3 2 2" xfId="26509" xr:uid="{00000000-0005-0000-0000-0000950E0000}"/>
    <cellStyle name="20% - Accent2 8 2 3 3" xfId="18308" xr:uid="{00000000-0005-0000-0000-0000960E0000}"/>
    <cellStyle name="20% - Accent2 8 2 4" xfId="986" xr:uid="{00000000-0005-0000-0000-0000970E0000}"/>
    <cellStyle name="20% - Accent2 8 2 4 2" xfId="14743" xr:uid="{00000000-0005-0000-0000-0000980E0000}"/>
    <cellStyle name="20% - Accent2 8 2 4 2 2" xfId="28292" xr:uid="{00000000-0005-0000-0000-0000990E0000}"/>
    <cellStyle name="20% - Accent2 8 2 4 3" xfId="18309" xr:uid="{00000000-0005-0000-0000-00009A0E0000}"/>
    <cellStyle name="20% - Accent2 8 2 5" xfId="987" xr:uid="{00000000-0005-0000-0000-00009B0E0000}"/>
    <cellStyle name="20% - Accent2 8 2 5 2" xfId="16713" xr:uid="{00000000-0005-0000-0000-00009C0E0000}"/>
    <cellStyle name="20% - Accent2 8 2 5 2 2" xfId="30120" xr:uid="{00000000-0005-0000-0000-00009D0E0000}"/>
    <cellStyle name="20% - Accent2 8 2 5 3" xfId="18310" xr:uid="{00000000-0005-0000-0000-00009E0E0000}"/>
    <cellStyle name="20% - Accent2 8 2 6" xfId="8958" xr:uid="{00000000-0005-0000-0000-00009F0E0000}"/>
    <cellStyle name="20% - Accent2 8 2 6 2" xfId="23433" xr:uid="{00000000-0005-0000-0000-0000A00E0000}"/>
    <cellStyle name="20% - Accent2 8 2 7" xfId="18306" xr:uid="{00000000-0005-0000-0000-0000A10E0000}"/>
    <cellStyle name="20% - Accent2 8 3" xfId="988" xr:uid="{00000000-0005-0000-0000-0000A20E0000}"/>
    <cellStyle name="20% - Accent2 8 3 2" xfId="989" xr:uid="{00000000-0005-0000-0000-0000A30E0000}"/>
    <cellStyle name="20% - Accent2 8 3 2 2" xfId="14744" xr:uid="{00000000-0005-0000-0000-0000A40E0000}"/>
    <cellStyle name="20% - Accent2 8 3 2 2 2" xfId="28293" xr:uid="{00000000-0005-0000-0000-0000A50E0000}"/>
    <cellStyle name="20% - Accent2 8 3 2 3" xfId="18312" xr:uid="{00000000-0005-0000-0000-0000A60E0000}"/>
    <cellStyle name="20% - Accent2 8 3 3" xfId="10682" xr:uid="{00000000-0005-0000-0000-0000A70E0000}"/>
    <cellStyle name="20% - Accent2 8 3 3 2" xfId="24624" xr:uid="{00000000-0005-0000-0000-0000A80E0000}"/>
    <cellStyle name="20% - Accent2 8 3 4" xfId="18311" xr:uid="{00000000-0005-0000-0000-0000A90E0000}"/>
    <cellStyle name="20% - Accent2 8 4" xfId="990" xr:uid="{00000000-0005-0000-0000-0000AA0E0000}"/>
    <cellStyle name="20% - Accent2 8 4 2" xfId="12091" xr:uid="{00000000-0005-0000-0000-0000AB0E0000}"/>
    <cellStyle name="20% - Accent2 8 4 2 2" xfId="25805" xr:uid="{00000000-0005-0000-0000-0000AC0E0000}"/>
    <cellStyle name="20% - Accent2 8 4 3" xfId="18313" xr:uid="{00000000-0005-0000-0000-0000AD0E0000}"/>
    <cellStyle name="20% - Accent2 8 5" xfId="991" xr:uid="{00000000-0005-0000-0000-0000AE0E0000}"/>
    <cellStyle name="20% - Accent2 8 5 2" xfId="12540" xr:uid="{00000000-0005-0000-0000-0000AF0E0000}"/>
    <cellStyle name="20% - Accent2 8 5 2 2" xfId="26252" xr:uid="{00000000-0005-0000-0000-0000B00E0000}"/>
    <cellStyle name="20% - Accent2 8 5 3" xfId="18314" xr:uid="{00000000-0005-0000-0000-0000B10E0000}"/>
    <cellStyle name="20% - Accent2 8 6" xfId="992" xr:uid="{00000000-0005-0000-0000-0000B20E0000}"/>
    <cellStyle name="20% - Accent2 8 6 2" xfId="13665" xr:uid="{00000000-0005-0000-0000-0000B30E0000}"/>
    <cellStyle name="20% - Accent2 8 6 2 2" xfId="27214" xr:uid="{00000000-0005-0000-0000-0000B40E0000}"/>
    <cellStyle name="20% - Accent2 8 6 3" xfId="18315" xr:uid="{00000000-0005-0000-0000-0000B50E0000}"/>
    <cellStyle name="20% - Accent2 8 7" xfId="993" xr:uid="{00000000-0005-0000-0000-0000B60E0000}"/>
    <cellStyle name="20% - Accent2 8 7 2" xfId="14246" xr:uid="{00000000-0005-0000-0000-0000B70E0000}"/>
    <cellStyle name="20% - Accent2 8 7 2 2" xfId="27795" xr:uid="{00000000-0005-0000-0000-0000B80E0000}"/>
    <cellStyle name="20% - Accent2 8 7 3" xfId="18316" xr:uid="{00000000-0005-0000-0000-0000B90E0000}"/>
    <cellStyle name="20% - Accent2 8 8" xfId="994" xr:uid="{00000000-0005-0000-0000-0000BA0E0000}"/>
    <cellStyle name="20% - Accent2 8 8 2" xfId="14742" xr:uid="{00000000-0005-0000-0000-0000BB0E0000}"/>
    <cellStyle name="20% - Accent2 8 8 2 2" xfId="28291" xr:uid="{00000000-0005-0000-0000-0000BC0E0000}"/>
    <cellStyle name="20% - Accent2 8 8 3" xfId="18317" xr:uid="{00000000-0005-0000-0000-0000BD0E0000}"/>
    <cellStyle name="20% - Accent2 8 9" xfId="995" xr:uid="{00000000-0005-0000-0000-0000BE0E0000}"/>
    <cellStyle name="20% - Accent2 8 9 2" xfId="16132" xr:uid="{00000000-0005-0000-0000-0000BF0E0000}"/>
    <cellStyle name="20% - Accent2 8 9 2 2" xfId="29539" xr:uid="{00000000-0005-0000-0000-0000C00E0000}"/>
    <cellStyle name="20% - Accent2 8 9 3" xfId="18318" xr:uid="{00000000-0005-0000-0000-0000C10E0000}"/>
    <cellStyle name="20% - Accent2 9" xfId="996" xr:uid="{00000000-0005-0000-0000-0000C20E0000}"/>
    <cellStyle name="20% - Accent2 9 2" xfId="997" xr:uid="{00000000-0005-0000-0000-0000C30E0000}"/>
    <cellStyle name="20% - Accent2 9 2 2" xfId="10684" xr:uid="{00000000-0005-0000-0000-0000C40E0000}"/>
    <cellStyle name="20% - Accent2 9 2 2 2" xfId="24626" xr:uid="{00000000-0005-0000-0000-0000C50E0000}"/>
    <cellStyle name="20% - Accent2 9 2 3" xfId="18320" xr:uid="{00000000-0005-0000-0000-0000C60E0000}"/>
    <cellStyle name="20% - Accent2 9 3" xfId="998" xr:uid="{00000000-0005-0000-0000-0000C70E0000}"/>
    <cellStyle name="20% - Accent2 9 3 2" xfId="12612" xr:uid="{00000000-0005-0000-0000-0000C80E0000}"/>
    <cellStyle name="20% - Accent2 9 3 2 2" xfId="26324" xr:uid="{00000000-0005-0000-0000-0000C90E0000}"/>
    <cellStyle name="20% - Accent2 9 3 3" xfId="18321" xr:uid="{00000000-0005-0000-0000-0000CA0E0000}"/>
    <cellStyle name="20% - Accent2 9 4" xfId="999" xr:uid="{00000000-0005-0000-0000-0000CB0E0000}"/>
    <cellStyle name="20% - Accent2 9 4 2" xfId="14745" xr:uid="{00000000-0005-0000-0000-0000CC0E0000}"/>
    <cellStyle name="20% - Accent2 9 4 2 2" xfId="28294" xr:uid="{00000000-0005-0000-0000-0000CD0E0000}"/>
    <cellStyle name="20% - Accent2 9 4 3" xfId="18322" xr:uid="{00000000-0005-0000-0000-0000CE0E0000}"/>
    <cellStyle name="20% - Accent2 9 5" xfId="1000" xr:uid="{00000000-0005-0000-0000-0000CF0E0000}"/>
    <cellStyle name="20% - Accent2 9 5 2" xfId="17097" xr:uid="{00000000-0005-0000-0000-0000D00E0000}"/>
    <cellStyle name="20% - Accent2 9 5 2 2" xfId="30456" xr:uid="{00000000-0005-0000-0000-0000D10E0000}"/>
    <cellStyle name="20% - Accent2 9 5 3" xfId="18323" xr:uid="{00000000-0005-0000-0000-0000D20E0000}"/>
    <cellStyle name="20% - Accent2 9 6" xfId="8959" xr:uid="{00000000-0005-0000-0000-0000D30E0000}"/>
    <cellStyle name="20% - Accent2 9 6 2" xfId="23434" xr:uid="{00000000-0005-0000-0000-0000D40E0000}"/>
    <cellStyle name="20% - Accent2 9 7" xfId="18319" xr:uid="{00000000-0005-0000-0000-0000D50E0000}"/>
    <cellStyle name="20% - Accent3" xfId="36" builtinId="38" customBuiltin="1"/>
    <cellStyle name="20% - Accent3 10" xfId="1001" xr:uid="{00000000-0005-0000-0000-0000D70E0000}"/>
    <cellStyle name="20% - Accent3 10 2" xfId="1002" xr:uid="{00000000-0005-0000-0000-0000D80E0000}"/>
    <cellStyle name="20% - Accent3 10 2 2" xfId="1003" xr:uid="{00000000-0005-0000-0000-0000D90E0000}"/>
    <cellStyle name="20% - Accent3 10 2 2 2" xfId="12457" xr:uid="{00000000-0005-0000-0000-0000DA0E0000}"/>
    <cellStyle name="20% - Accent3 10 2 2 2 2" xfId="26169" xr:uid="{00000000-0005-0000-0000-0000DB0E0000}"/>
    <cellStyle name="20% - Accent3 10 2 2 3" xfId="18326" xr:uid="{00000000-0005-0000-0000-0000DC0E0000}"/>
    <cellStyle name="20% - Accent3 10 2 3" xfId="1004" xr:uid="{00000000-0005-0000-0000-0000DD0E0000}"/>
    <cellStyle name="20% - Accent3 10 2 3 2" xfId="14748" xr:uid="{00000000-0005-0000-0000-0000DE0E0000}"/>
    <cellStyle name="20% - Accent3 10 2 3 2 2" xfId="28297" xr:uid="{00000000-0005-0000-0000-0000DF0E0000}"/>
    <cellStyle name="20% - Accent3 10 2 3 3" xfId="18327" xr:uid="{00000000-0005-0000-0000-0000E00E0000}"/>
    <cellStyle name="20% - Accent3 10 2 4" xfId="10686" xr:uid="{00000000-0005-0000-0000-0000E10E0000}"/>
    <cellStyle name="20% - Accent3 10 2 4 2" xfId="24628" xr:uid="{00000000-0005-0000-0000-0000E20E0000}"/>
    <cellStyle name="20% - Accent3 10 2 5" xfId="18325" xr:uid="{00000000-0005-0000-0000-0000E30E0000}"/>
    <cellStyle name="20% - Accent3 10 3" xfId="1005" xr:uid="{00000000-0005-0000-0000-0000E40E0000}"/>
    <cellStyle name="20% - Accent3 10 3 2" xfId="12666" xr:uid="{00000000-0005-0000-0000-0000E50E0000}"/>
    <cellStyle name="20% - Accent3 10 3 2 2" xfId="26378" xr:uid="{00000000-0005-0000-0000-0000E60E0000}"/>
    <cellStyle name="20% - Accent3 10 3 3" xfId="18328" xr:uid="{00000000-0005-0000-0000-0000E70E0000}"/>
    <cellStyle name="20% - Accent3 10 4" xfId="1006" xr:uid="{00000000-0005-0000-0000-0000E80E0000}"/>
    <cellStyle name="20% - Accent3 10 4 2" xfId="14747" xr:uid="{00000000-0005-0000-0000-0000E90E0000}"/>
    <cellStyle name="20% - Accent3 10 4 2 2" xfId="28296" xr:uid="{00000000-0005-0000-0000-0000EA0E0000}"/>
    <cellStyle name="20% - Accent3 10 4 3" xfId="18329" xr:uid="{00000000-0005-0000-0000-0000EB0E0000}"/>
    <cellStyle name="20% - Accent3 10 5" xfId="1007" xr:uid="{00000000-0005-0000-0000-0000EC0E0000}"/>
    <cellStyle name="20% - Accent3 10 5 2" xfId="17187" xr:uid="{00000000-0005-0000-0000-0000ED0E0000}"/>
    <cellStyle name="20% - Accent3 10 5 2 2" xfId="30546" xr:uid="{00000000-0005-0000-0000-0000EE0E0000}"/>
    <cellStyle name="20% - Accent3 10 5 3" xfId="18330" xr:uid="{00000000-0005-0000-0000-0000EF0E0000}"/>
    <cellStyle name="20% - Accent3 10 6" xfId="8961" xr:uid="{00000000-0005-0000-0000-0000F00E0000}"/>
    <cellStyle name="20% - Accent3 10 6 2" xfId="23436" xr:uid="{00000000-0005-0000-0000-0000F10E0000}"/>
    <cellStyle name="20% - Accent3 10 7" xfId="18324" xr:uid="{00000000-0005-0000-0000-0000F20E0000}"/>
    <cellStyle name="20% - Accent3 11" xfId="1008" xr:uid="{00000000-0005-0000-0000-0000F30E0000}"/>
    <cellStyle name="20% - Accent3 11 2" xfId="1009" xr:uid="{00000000-0005-0000-0000-0000F40E0000}"/>
    <cellStyle name="20% - Accent3 11 2 2" xfId="10687" xr:uid="{00000000-0005-0000-0000-0000F50E0000}"/>
    <cellStyle name="20% - Accent3 11 2 2 2" xfId="24629" xr:uid="{00000000-0005-0000-0000-0000F60E0000}"/>
    <cellStyle name="20% - Accent3 11 2 3" xfId="18332" xr:uid="{00000000-0005-0000-0000-0000F70E0000}"/>
    <cellStyle name="20% - Accent3 11 3" xfId="1010" xr:uid="{00000000-0005-0000-0000-0000F80E0000}"/>
    <cellStyle name="20% - Accent3 11 3 2" xfId="12799" xr:uid="{00000000-0005-0000-0000-0000F90E0000}"/>
    <cellStyle name="20% - Accent3 11 3 2 2" xfId="26511" xr:uid="{00000000-0005-0000-0000-0000FA0E0000}"/>
    <cellStyle name="20% - Accent3 11 3 3" xfId="18333" xr:uid="{00000000-0005-0000-0000-0000FB0E0000}"/>
    <cellStyle name="20% - Accent3 11 4" xfId="1011" xr:uid="{00000000-0005-0000-0000-0000FC0E0000}"/>
    <cellStyle name="20% - Accent3 11 4 2" xfId="14749" xr:uid="{00000000-0005-0000-0000-0000FD0E0000}"/>
    <cellStyle name="20% - Accent3 11 4 2 2" xfId="28298" xr:uid="{00000000-0005-0000-0000-0000FE0E0000}"/>
    <cellStyle name="20% - Accent3 11 4 3" xfId="18334" xr:uid="{00000000-0005-0000-0000-0000FF0E0000}"/>
    <cellStyle name="20% - Accent3 11 5" xfId="1012" xr:uid="{00000000-0005-0000-0000-0000000F0000}"/>
    <cellStyle name="20% - Accent3 11 5 2" xfId="17276" xr:uid="{00000000-0005-0000-0000-0000010F0000}"/>
    <cellStyle name="20% - Accent3 11 5 2 2" xfId="30635" xr:uid="{00000000-0005-0000-0000-0000020F0000}"/>
    <cellStyle name="20% - Accent3 11 5 3" xfId="18335" xr:uid="{00000000-0005-0000-0000-0000030F0000}"/>
    <cellStyle name="20% - Accent3 11 6" xfId="8962" xr:uid="{00000000-0005-0000-0000-0000040F0000}"/>
    <cellStyle name="20% - Accent3 11 6 2" xfId="23437" xr:uid="{00000000-0005-0000-0000-0000050F0000}"/>
    <cellStyle name="20% - Accent3 11 7" xfId="18331" xr:uid="{00000000-0005-0000-0000-0000060F0000}"/>
    <cellStyle name="20% - Accent3 12" xfId="1013" xr:uid="{00000000-0005-0000-0000-0000070F0000}"/>
    <cellStyle name="20% - Accent3 12 2" xfId="1014" xr:uid="{00000000-0005-0000-0000-0000080F0000}"/>
    <cellStyle name="20% - Accent3 12 2 2" xfId="1015" xr:uid="{00000000-0005-0000-0000-0000090F0000}"/>
    <cellStyle name="20% - Accent3 12 2 2 2" xfId="10689" xr:uid="{00000000-0005-0000-0000-00000A0F0000}"/>
    <cellStyle name="20% - Accent3 12 2 2 2 2" xfId="24631" xr:uid="{00000000-0005-0000-0000-00000B0F0000}"/>
    <cellStyle name="20% - Accent3 12 2 2 3" xfId="18338" xr:uid="{00000000-0005-0000-0000-00000C0F0000}"/>
    <cellStyle name="20% - Accent3 12 2 3" xfId="1016" xr:uid="{00000000-0005-0000-0000-00000D0F0000}"/>
    <cellStyle name="20% - Accent3 12 2 3 2" xfId="12628" xr:uid="{00000000-0005-0000-0000-00000E0F0000}"/>
    <cellStyle name="20% - Accent3 12 2 3 2 2" xfId="26340" xr:uid="{00000000-0005-0000-0000-00000F0F0000}"/>
    <cellStyle name="20% - Accent3 12 2 3 3" xfId="18339" xr:uid="{00000000-0005-0000-0000-0000100F0000}"/>
    <cellStyle name="20% - Accent3 12 2 4" xfId="1017" xr:uid="{00000000-0005-0000-0000-0000110F0000}"/>
    <cellStyle name="20% - Accent3 12 2 4 2" xfId="14751" xr:uid="{00000000-0005-0000-0000-0000120F0000}"/>
    <cellStyle name="20% - Accent3 12 2 4 2 2" xfId="28300" xr:uid="{00000000-0005-0000-0000-0000130F0000}"/>
    <cellStyle name="20% - Accent3 12 2 4 3" xfId="18340" xr:uid="{00000000-0005-0000-0000-0000140F0000}"/>
    <cellStyle name="20% - Accent3 12 2 5" xfId="8964" xr:uid="{00000000-0005-0000-0000-0000150F0000}"/>
    <cellStyle name="20% - Accent3 12 2 5 2" xfId="23439" xr:uid="{00000000-0005-0000-0000-0000160F0000}"/>
    <cellStyle name="20% - Accent3 12 2 6" xfId="18337" xr:uid="{00000000-0005-0000-0000-0000170F0000}"/>
    <cellStyle name="20% - Accent3 12 3" xfId="1018" xr:uid="{00000000-0005-0000-0000-0000180F0000}"/>
    <cellStyle name="20% - Accent3 12 3 2" xfId="10688" xr:uid="{00000000-0005-0000-0000-0000190F0000}"/>
    <cellStyle name="20% - Accent3 12 3 2 2" xfId="24630" xr:uid="{00000000-0005-0000-0000-00001A0F0000}"/>
    <cellStyle name="20% - Accent3 12 3 3" xfId="18341" xr:uid="{00000000-0005-0000-0000-00001B0F0000}"/>
    <cellStyle name="20% - Accent3 12 4" xfId="1019" xr:uid="{00000000-0005-0000-0000-00001C0F0000}"/>
    <cellStyle name="20% - Accent3 12 4 2" xfId="12754" xr:uid="{00000000-0005-0000-0000-00001D0F0000}"/>
    <cellStyle name="20% - Accent3 12 4 2 2" xfId="26466" xr:uid="{00000000-0005-0000-0000-00001E0F0000}"/>
    <cellStyle name="20% - Accent3 12 4 3" xfId="18342" xr:uid="{00000000-0005-0000-0000-00001F0F0000}"/>
    <cellStyle name="20% - Accent3 12 5" xfId="1020" xr:uid="{00000000-0005-0000-0000-0000200F0000}"/>
    <cellStyle name="20% - Accent3 12 5 2" xfId="14750" xr:uid="{00000000-0005-0000-0000-0000210F0000}"/>
    <cellStyle name="20% - Accent3 12 5 2 2" xfId="28299" xr:uid="{00000000-0005-0000-0000-0000220F0000}"/>
    <cellStyle name="20% - Accent3 12 5 3" xfId="18343" xr:uid="{00000000-0005-0000-0000-0000230F0000}"/>
    <cellStyle name="20% - Accent3 12 6" xfId="1021" xr:uid="{00000000-0005-0000-0000-0000240F0000}"/>
    <cellStyle name="20% - Accent3 12 6 2" xfId="16428" xr:uid="{00000000-0005-0000-0000-0000250F0000}"/>
    <cellStyle name="20% - Accent3 12 6 2 2" xfId="29835" xr:uid="{00000000-0005-0000-0000-0000260F0000}"/>
    <cellStyle name="20% - Accent3 12 6 3" xfId="18344" xr:uid="{00000000-0005-0000-0000-0000270F0000}"/>
    <cellStyle name="20% - Accent3 12 7" xfId="8963" xr:uid="{00000000-0005-0000-0000-0000280F0000}"/>
    <cellStyle name="20% - Accent3 12 7 2" xfId="23438" xr:uid="{00000000-0005-0000-0000-0000290F0000}"/>
    <cellStyle name="20% - Accent3 12 8" xfId="18336" xr:uid="{00000000-0005-0000-0000-00002A0F0000}"/>
    <cellStyle name="20% - Accent3 13" xfId="1022" xr:uid="{00000000-0005-0000-0000-00002B0F0000}"/>
    <cellStyle name="20% - Accent3 13 2" xfId="1023" xr:uid="{00000000-0005-0000-0000-00002C0F0000}"/>
    <cellStyle name="20% - Accent3 13 2 2" xfId="10690" xr:uid="{00000000-0005-0000-0000-00002D0F0000}"/>
    <cellStyle name="20% - Accent3 13 2 2 2" xfId="24632" xr:uid="{00000000-0005-0000-0000-00002E0F0000}"/>
    <cellStyle name="20% - Accent3 13 2 3" xfId="18346" xr:uid="{00000000-0005-0000-0000-00002F0F0000}"/>
    <cellStyle name="20% - Accent3 13 3" xfId="1024" xr:uid="{00000000-0005-0000-0000-0000300F0000}"/>
    <cellStyle name="20% - Accent3 13 3 2" xfId="12786" xr:uid="{00000000-0005-0000-0000-0000310F0000}"/>
    <cellStyle name="20% - Accent3 13 3 2 2" xfId="26498" xr:uid="{00000000-0005-0000-0000-0000320F0000}"/>
    <cellStyle name="20% - Accent3 13 3 3" xfId="18347" xr:uid="{00000000-0005-0000-0000-0000330F0000}"/>
    <cellStyle name="20% - Accent3 13 4" xfId="1025" xr:uid="{00000000-0005-0000-0000-0000340F0000}"/>
    <cellStyle name="20% - Accent3 13 4 2" xfId="14752" xr:uid="{00000000-0005-0000-0000-0000350F0000}"/>
    <cellStyle name="20% - Accent3 13 4 2 2" xfId="28301" xr:uid="{00000000-0005-0000-0000-0000360F0000}"/>
    <cellStyle name="20% - Accent3 13 4 3" xfId="18348" xr:uid="{00000000-0005-0000-0000-0000370F0000}"/>
    <cellStyle name="20% - Accent3 13 5" xfId="8965" xr:uid="{00000000-0005-0000-0000-0000380F0000}"/>
    <cellStyle name="20% - Accent3 13 5 2" xfId="23440" xr:uid="{00000000-0005-0000-0000-0000390F0000}"/>
    <cellStyle name="20% - Accent3 13 6" xfId="18345" xr:uid="{00000000-0005-0000-0000-00003A0F0000}"/>
    <cellStyle name="20% - Accent3 14" xfId="1026" xr:uid="{00000000-0005-0000-0000-00003B0F0000}"/>
    <cellStyle name="20% - Accent3 14 2" xfId="1027" xr:uid="{00000000-0005-0000-0000-00003C0F0000}"/>
    <cellStyle name="20% - Accent3 14 2 2" xfId="10691" xr:uid="{00000000-0005-0000-0000-00003D0F0000}"/>
    <cellStyle name="20% - Accent3 14 2 2 2" xfId="24633" xr:uid="{00000000-0005-0000-0000-00003E0F0000}"/>
    <cellStyle name="20% - Accent3 14 2 3" xfId="18350" xr:uid="{00000000-0005-0000-0000-00003F0F0000}"/>
    <cellStyle name="20% - Accent3 14 3" xfId="1028" xr:uid="{00000000-0005-0000-0000-0000400F0000}"/>
    <cellStyle name="20% - Accent3 14 3 2" xfId="12452" xr:uid="{00000000-0005-0000-0000-0000410F0000}"/>
    <cellStyle name="20% - Accent3 14 3 2 2" xfId="26164" xr:uid="{00000000-0005-0000-0000-0000420F0000}"/>
    <cellStyle name="20% - Accent3 14 3 3" xfId="18351" xr:uid="{00000000-0005-0000-0000-0000430F0000}"/>
    <cellStyle name="20% - Accent3 14 4" xfId="1029" xr:uid="{00000000-0005-0000-0000-0000440F0000}"/>
    <cellStyle name="20% - Accent3 14 4 2" xfId="14753" xr:uid="{00000000-0005-0000-0000-0000450F0000}"/>
    <cellStyle name="20% - Accent3 14 4 2 2" xfId="28302" xr:uid="{00000000-0005-0000-0000-0000460F0000}"/>
    <cellStyle name="20% - Accent3 14 4 3" xfId="18352" xr:uid="{00000000-0005-0000-0000-0000470F0000}"/>
    <cellStyle name="20% - Accent3 14 5" xfId="8966" xr:uid="{00000000-0005-0000-0000-0000480F0000}"/>
    <cellStyle name="20% - Accent3 14 5 2" xfId="23441" xr:uid="{00000000-0005-0000-0000-0000490F0000}"/>
    <cellStyle name="20% - Accent3 14 6" xfId="18349" xr:uid="{00000000-0005-0000-0000-00004A0F0000}"/>
    <cellStyle name="20% - Accent3 15" xfId="1030" xr:uid="{00000000-0005-0000-0000-00004B0F0000}"/>
    <cellStyle name="20% - Accent3 15 2" xfId="1031" xr:uid="{00000000-0005-0000-0000-00004C0F0000}"/>
    <cellStyle name="20% - Accent3 15 2 2" xfId="10692" xr:uid="{00000000-0005-0000-0000-00004D0F0000}"/>
    <cellStyle name="20% - Accent3 15 2 2 2" xfId="24634" xr:uid="{00000000-0005-0000-0000-00004E0F0000}"/>
    <cellStyle name="20% - Accent3 15 2 3" xfId="18354" xr:uid="{00000000-0005-0000-0000-00004F0F0000}"/>
    <cellStyle name="20% - Accent3 15 3" xfId="1032" xr:uid="{00000000-0005-0000-0000-0000500F0000}"/>
    <cellStyle name="20% - Accent3 15 3 2" xfId="12555" xr:uid="{00000000-0005-0000-0000-0000510F0000}"/>
    <cellStyle name="20% - Accent3 15 3 2 2" xfId="26267" xr:uid="{00000000-0005-0000-0000-0000520F0000}"/>
    <cellStyle name="20% - Accent3 15 3 3" xfId="18355" xr:uid="{00000000-0005-0000-0000-0000530F0000}"/>
    <cellStyle name="20% - Accent3 15 4" xfId="1033" xr:uid="{00000000-0005-0000-0000-0000540F0000}"/>
    <cellStyle name="20% - Accent3 15 4 2" xfId="14754" xr:uid="{00000000-0005-0000-0000-0000550F0000}"/>
    <cellStyle name="20% - Accent3 15 4 2 2" xfId="28303" xr:uid="{00000000-0005-0000-0000-0000560F0000}"/>
    <cellStyle name="20% - Accent3 15 4 3" xfId="18356" xr:uid="{00000000-0005-0000-0000-0000570F0000}"/>
    <cellStyle name="20% - Accent3 15 5" xfId="8967" xr:uid="{00000000-0005-0000-0000-0000580F0000}"/>
    <cellStyle name="20% - Accent3 15 5 2" xfId="23442" xr:uid="{00000000-0005-0000-0000-0000590F0000}"/>
    <cellStyle name="20% - Accent3 15 6" xfId="18353" xr:uid="{00000000-0005-0000-0000-00005A0F0000}"/>
    <cellStyle name="20% - Accent3 16" xfId="1034" xr:uid="{00000000-0005-0000-0000-00005B0F0000}"/>
    <cellStyle name="20% - Accent3 16 2" xfId="1035" xr:uid="{00000000-0005-0000-0000-00005C0F0000}"/>
    <cellStyle name="20% - Accent3 16 2 2" xfId="10693" xr:uid="{00000000-0005-0000-0000-00005D0F0000}"/>
    <cellStyle name="20% - Accent3 16 2 2 2" xfId="24635" xr:uid="{00000000-0005-0000-0000-00005E0F0000}"/>
    <cellStyle name="20% - Accent3 16 2 3" xfId="18358" xr:uid="{00000000-0005-0000-0000-00005F0F0000}"/>
    <cellStyle name="20% - Accent3 16 3" xfId="1036" xr:uid="{00000000-0005-0000-0000-0000600F0000}"/>
    <cellStyle name="20% - Accent3 16 3 2" xfId="11778" xr:uid="{00000000-0005-0000-0000-0000610F0000}"/>
    <cellStyle name="20% - Accent3 16 3 2 2" xfId="25493" xr:uid="{00000000-0005-0000-0000-0000620F0000}"/>
    <cellStyle name="20% - Accent3 16 3 3" xfId="18359" xr:uid="{00000000-0005-0000-0000-0000630F0000}"/>
    <cellStyle name="20% - Accent3 16 4" xfId="1037" xr:uid="{00000000-0005-0000-0000-0000640F0000}"/>
    <cellStyle name="20% - Accent3 16 4 2" xfId="14755" xr:uid="{00000000-0005-0000-0000-0000650F0000}"/>
    <cellStyle name="20% - Accent3 16 4 2 2" xfId="28304" xr:uid="{00000000-0005-0000-0000-0000660F0000}"/>
    <cellStyle name="20% - Accent3 16 4 3" xfId="18360" xr:uid="{00000000-0005-0000-0000-0000670F0000}"/>
    <cellStyle name="20% - Accent3 16 5" xfId="8968" xr:uid="{00000000-0005-0000-0000-0000680F0000}"/>
    <cellStyle name="20% - Accent3 16 5 2" xfId="23443" xr:uid="{00000000-0005-0000-0000-0000690F0000}"/>
    <cellStyle name="20% - Accent3 16 6" xfId="18357" xr:uid="{00000000-0005-0000-0000-00006A0F0000}"/>
    <cellStyle name="20% - Accent3 17" xfId="1038" xr:uid="{00000000-0005-0000-0000-00006B0F0000}"/>
    <cellStyle name="20% - Accent3 17 2" xfId="1039" xr:uid="{00000000-0005-0000-0000-00006C0F0000}"/>
    <cellStyle name="20% - Accent3 17 2 2" xfId="10694" xr:uid="{00000000-0005-0000-0000-00006D0F0000}"/>
    <cellStyle name="20% - Accent3 17 2 2 2" xfId="24636" xr:uid="{00000000-0005-0000-0000-00006E0F0000}"/>
    <cellStyle name="20% - Accent3 17 2 3" xfId="18362" xr:uid="{00000000-0005-0000-0000-00006F0F0000}"/>
    <cellStyle name="20% - Accent3 17 3" xfId="1040" xr:uid="{00000000-0005-0000-0000-0000700F0000}"/>
    <cellStyle name="20% - Accent3 17 3 2" xfId="12772" xr:uid="{00000000-0005-0000-0000-0000710F0000}"/>
    <cellStyle name="20% - Accent3 17 3 2 2" xfId="26484" xr:uid="{00000000-0005-0000-0000-0000720F0000}"/>
    <cellStyle name="20% - Accent3 17 3 3" xfId="18363" xr:uid="{00000000-0005-0000-0000-0000730F0000}"/>
    <cellStyle name="20% - Accent3 17 4" xfId="1041" xr:uid="{00000000-0005-0000-0000-0000740F0000}"/>
    <cellStyle name="20% - Accent3 17 4 2" xfId="14756" xr:uid="{00000000-0005-0000-0000-0000750F0000}"/>
    <cellStyle name="20% - Accent3 17 4 2 2" xfId="28305" xr:uid="{00000000-0005-0000-0000-0000760F0000}"/>
    <cellStyle name="20% - Accent3 17 4 3" xfId="18364" xr:uid="{00000000-0005-0000-0000-0000770F0000}"/>
    <cellStyle name="20% - Accent3 17 5" xfId="8969" xr:uid="{00000000-0005-0000-0000-0000780F0000}"/>
    <cellStyle name="20% - Accent3 17 5 2" xfId="23444" xr:uid="{00000000-0005-0000-0000-0000790F0000}"/>
    <cellStyle name="20% - Accent3 17 6" xfId="18361" xr:uid="{00000000-0005-0000-0000-00007A0F0000}"/>
    <cellStyle name="20% - Accent3 18" xfId="1042" xr:uid="{00000000-0005-0000-0000-00007B0F0000}"/>
    <cellStyle name="20% - Accent3 18 2" xfId="1043" xr:uid="{00000000-0005-0000-0000-00007C0F0000}"/>
    <cellStyle name="20% - Accent3 18 2 2" xfId="10695" xr:uid="{00000000-0005-0000-0000-00007D0F0000}"/>
    <cellStyle name="20% - Accent3 18 2 2 2" xfId="24637" xr:uid="{00000000-0005-0000-0000-00007E0F0000}"/>
    <cellStyle name="20% - Accent3 18 2 3" xfId="18366" xr:uid="{00000000-0005-0000-0000-00007F0F0000}"/>
    <cellStyle name="20% - Accent3 18 3" xfId="1044" xr:uid="{00000000-0005-0000-0000-0000800F0000}"/>
    <cellStyle name="20% - Accent3 18 3 2" xfId="12660" xr:uid="{00000000-0005-0000-0000-0000810F0000}"/>
    <cellStyle name="20% - Accent3 18 3 2 2" xfId="26372" xr:uid="{00000000-0005-0000-0000-0000820F0000}"/>
    <cellStyle name="20% - Accent3 18 3 3" xfId="18367" xr:uid="{00000000-0005-0000-0000-0000830F0000}"/>
    <cellStyle name="20% - Accent3 18 4" xfId="1045" xr:uid="{00000000-0005-0000-0000-0000840F0000}"/>
    <cellStyle name="20% - Accent3 18 4 2" xfId="14757" xr:uid="{00000000-0005-0000-0000-0000850F0000}"/>
    <cellStyle name="20% - Accent3 18 4 2 2" xfId="28306" xr:uid="{00000000-0005-0000-0000-0000860F0000}"/>
    <cellStyle name="20% - Accent3 18 4 3" xfId="18368" xr:uid="{00000000-0005-0000-0000-0000870F0000}"/>
    <cellStyle name="20% - Accent3 18 5" xfId="8970" xr:uid="{00000000-0005-0000-0000-0000880F0000}"/>
    <cellStyle name="20% - Accent3 18 5 2" xfId="23445" xr:uid="{00000000-0005-0000-0000-0000890F0000}"/>
    <cellStyle name="20% - Accent3 18 6" xfId="18365" xr:uid="{00000000-0005-0000-0000-00008A0F0000}"/>
    <cellStyle name="20% - Accent3 19" xfId="1046" xr:uid="{00000000-0005-0000-0000-00008B0F0000}"/>
    <cellStyle name="20% - Accent3 19 2" xfId="1047" xr:uid="{00000000-0005-0000-0000-00008C0F0000}"/>
    <cellStyle name="20% - Accent3 19 2 2" xfId="11712" xr:uid="{00000000-0005-0000-0000-00008D0F0000}"/>
    <cellStyle name="20% - Accent3 19 2 2 2" xfId="25432" xr:uid="{00000000-0005-0000-0000-00008E0F0000}"/>
    <cellStyle name="20% - Accent3 19 2 3" xfId="18370" xr:uid="{00000000-0005-0000-0000-00008F0F0000}"/>
    <cellStyle name="20% - Accent3 19 3" xfId="1048" xr:uid="{00000000-0005-0000-0000-0000900F0000}"/>
    <cellStyle name="20% - Accent3 19 3 2" xfId="12402" xr:uid="{00000000-0005-0000-0000-0000910F0000}"/>
    <cellStyle name="20% - Accent3 19 3 2 2" xfId="26114" xr:uid="{00000000-0005-0000-0000-0000920F0000}"/>
    <cellStyle name="20% - Accent3 19 3 3" xfId="18371" xr:uid="{00000000-0005-0000-0000-0000930F0000}"/>
    <cellStyle name="20% - Accent3 19 4" xfId="1049" xr:uid="{00000000-0005-0000-0000-0000940F0000}"/>
    <cellStyle name="20% - Accent3 19 4 2" xfId="14758" xr:uid="{00000000-0005-0000-0000-0000950F0000}"/>
    <cellStyle name="20% - Accent3 19 4 2 2" xfId="28307" xr:uid="{00000000-0005-0000-0000-0000960F0000}"/>
    <cellStyle name="20% - Accent3 19 4 3" xfId="18372" xr:uid="{00000000-0005-0000-0000-0000970F0000}"/>
    <cellStyle name="20% - Accent3 19 5" xfId="10464" xr:uid="{00000000-0005-0000-0000-0000980F0000}"/>
    <cellStyle name="20% - Accent3 19 5 2" xfId="24423" xr:uid="{00000000-0005-0000-0000-0000990F0000}"/>
    <cellStyle name="20% - Accent3 19 6" xfId="18369" xr:uid="{00000000-0005-0000-0000-00009A0F0000}"/>
    <cellStyle name="20% - Accent3 2" xfId="1050" xr:uid="{00000000-0005-0000-0000-00009B0F0000}"/>
    <cellStyle name="20% - Accent3 2 10" xfId="1051" xr:uid="{00000000-0005-0000-0000-00009C0F0000}"/>
    <cellStyle name="20% - Accent3 2 10 2" xfId="1052" xr:uid="{00000000-0005-0000-0000-00009D0F0000}"/>
    <cellStyle name="20% - Accent3 2 10 2 2" xfId="14760" xr:uid="{00000000-0005-0000-0000-00009E0F0000}"/>
    <cellStyle name="20% - Accent3 2 10 2 2 2" xfId="28309" xr:uid="{00000000-0005-0000-0000-00009F0F0000}"/>
    <cellStyle name="20% - Accent3 2 10 2 3" xfId="18375" xr:uid="{00000000-0005-0000-0000-0000A00F0000}"/>
    <cellStyle name="20% - Accent3 2 10 3" xfId="11840" xr:uid="{00000000-0005-0000-0000-0000A10F0000}"/>
    <cellStyle name="20% - Accent3 2 10 3 2" xfId="25555" xr:uid="{00000000-0005-0000-0000-0000A20F0000}"/>
    <cellStyle name="20% - Accent3 2 10 4" xfId="18374" xr:uid="{00000000-0005-0000-0000-0000A30F0000}"/>
    <cellStyle name="20% - Accent3 2 11" xfId="1053" xr:uid="{00000000-0005-0000-0000-0000A40F0000}"/>
    <cellStyle name="20% - Accent3 2 11 2" xfId="12453" xr:uid="{00000000-0005-0000-0000-0000A50F0000}"/>
    <cellStyle name="20% - Accent3 2 11 2 2" xfId="26165" xr:uid="{00000000-0005-0000-0000-0000A60F0000}"/>
    <cellStyle name="20% - Accent3 2 11 3" xfId="18376" xr:uid="{00000000-0005-0000-0000-0000A70F0000}"/>
    <cellStyle name="20% - Accent3 2 12" xfId="1054" xr:uid="{00000000-0005-0000-0000-0000A80F0000}"/>
    <cellStyle name="20% - Accent3 2 12 2" xfId="13439" xr:uid="{00000000-0005-0000-0000-0000A90F0000}"/>
    <cellStyle name="20% - Accent3 2 12 2 2" xfId="26988" xr:uid="{00000000-0005-0000-0000-0000AA0F0000}"/>
    <cellStyle name="20% - Accent3 2 12 3" xfId="18377" xr:uid="{00000000-0005-0000-0000-0000AB0F0000}"/>
    <cellStyle name="20% - Accent3 2 13" xfId="1055" xr:uid="{00000000-0005-0000-0000-0000AC0F0000}"/>
    <cellStyle name="20% - Accent3 2 13 2" xfId="14020" xr:uid="{00000000-0005-0000-0000-0000AD0F0000}"/>
    <cellStyle name="20% - Accent3 2 13 2 2" xfId="27569" xr:uid="{00000000-0005-0000-0000-0000AE0F0000}"/>
    <cellStyle name="20% - Accent3 2 13 3" xfId="18378" xr:uid="{00000000-0005-0000-0000-0000AF0F0000}"/>
    <cellStyle name="20% - Accent3 2 14" xfId="1056" xr:uid="{00000000-0005-0000-0000-0000B00F0000}"/>
    <cellStyle name="20% - Accent3 2 14 2" xfId="14759" xr:uid="{00000000-0005-0000-0000-0000B10F0000}"/>
    <cellStyle name="20% - Accent3 2 14 2 2" xfId="28308" xr:uid="{00000000-0005-0000-0000-0000B20F0000}"/>
    <cellStyle name="20% - Accent3 2 14 3" xfId="18379" xr:uid="{00000000-0005-0000-0000-0000B30F0000}"/>
    <cellStyle name="20% - Accent3 2 15" xfId="1057" xr:uid="{00000000-0005-0000-0000-0000B40F0000}"/>
    <cellStyle name="20% - Accent3 2 15 2" xfId="15906" xr:uid="{00000000-0005-0000-0000-0000B50F0000}"/>
    <cellStyle name="20% - Accent3 2 15 2 2" xfId="29313" xr:uid="{00000000-0005-0000-0000-0000B60F0000}"/>
    <cellStyle name="20% - Accent3 2 15 3" xfId="18380" xr:uid="{00000000-0005-0000-0000-0000B70F0000}"/>
    <cellStyle name="20% - Accent3 2 16" xfId="8971" xr:uid="{00000000-0005-0000-0000-0000B80F0000}"/>
    <cellStyle name="20% - Accent3 2 16 2" xfId="23446" xr:uid="{00000000-0005-0000-0000-0000B90F0000}"/>
    <cellStyle name="20% - Accent3 2 17" xfId="18373" xr:uid="{00000000-0005-0000-0000-0000BA0F0000}"/>
    <cellStyle name="20% - Accent3 2 18" xfId="33070" xr:uid="{00000000-0005-0000-0000-0000BB0F0000}"/>
    <cellStyle name="20% - Accent3 2 2" xfId="1058" xr:uid="{00000000-0005-0000-0000-0000BC0F0000}"/>
    <cellStyle name="20% - Accent3 2 2 10" xfId="1059" xr:uid="{00000000-0005-0000-0000-0000BD0F0000}"/>
    <cellStyle name="20% - Accent3 2 2 10 2" xfId="14761" xr:uid="{00000000-0005-0000-0000-0000BE0F0000}"/>
    <cellStyle name="20% - Accent3 2 2 10 2 2" xfId="28310" xr:uid="{00000000-0005-0000-0000-0000BF0F0000}"/>
    <cellStyle name="20% - Accent3 2 2 10 3" xfId="18382" xr:uid="{00000000-0005-0000-0000-0000C00F0000}"/>
    <cellStyle name="20% - Accent3 2 2 11" xfId="1060" xr:uid="{00000000-0005-0000-0000-0000C10F0000}"/>
    <cellStyle name="20% - Accent3 2 2 11 2" xfId="15952" xr:uid="{00000000-0005-0000-0000-0000C20F0000}"/>
    <cellStyle name="20% - Accent3 2 2 11 2 2" xfId="29359" xr:uid="{00000000-0005-0000-0000-0000C30F0000}"/>
    <cellStyle name="20% - Accent3 2 2 11 3" xfId="18383" xr:uid="{00000000-0005-0000-0000-0000C40F0000}"/>
    <cellStyle name="20% - Accent3 2 2 12" xfId="8972" xr:uid="{00000000-0005-0000-0000-0000C50F0000}"/>
    <cellStyle name="20% - Accent3 2 2 12 2" xfId="23447" xr:uid="{00000000-0005-0000-0000-0000C60F0000}"/>
    <cellStyle name="20% - Accent3 2 2 13" xfId="18381" xr:uid="{00000000-0005-0000-0000-0000C70F0000}"/>
    <cellStyle name="20% - Accent3 2 2 2" xfId="1061" xr:uid="{00000000-0005-0000-0000-0000C80F0000}"/>
    <cellStyle name="20% - Accent3 2 2 2 10" xfId="1062" xr:uid="{00000000-0005-0000-0000-0000C90F0000}"/>
    <cellStyle name="20% - Accent3 2 2 2 10 2" xfId="16095" xr:uid="{00000000-0005-0000-0000-0000CA0F0000}"/>
    <cellStyle name="20% - Accent3 2 2 2 10 2 2" xfId="29502" xr:uid="{00000000-0005-0000-0000-0000CB0F0000}"/>
    <cellStyle name="20% - Accent3 2 2 2 10 3" xfId="18385" xr:uid="{00000000-0005-0000-0000-0000CC0F0000}"/>
    <cellStyle name="20% - Accent3 2 2 2 11" xfId="8973" xr:uid="{00000000-0005-0000-0000-0000CD0F0000}"/>
    <cellStyle name="20% - Accent3 2 2 2 11 2" xfId="23448" xr:uid="{00000000-0005-0000-0000-0000CE0F0000}"/>
    <cellStyle name="20% - Accent3 2 2 2 12" xfId="18384" xr:uid="{00000000-0005-0000-0000-0000CF0F0000}"/>
    <cellStyle name="20% - Accent3 2 2 2 2" xfId="1063" xr:uid="{00000000-0005-0000-0000-0000D00F0000}"/>
    <cellStyle name="20% - Accent3 2 2 2 2 10" xfId="8974" xr:uid="{00000000-0005-0000-0000-0000D10F0000}"/>
    <cellStyle name="20% - Accent3 2 2 2 2 10 2" xfId="23449" xr:uid="{00000000-0005-0000-0000-0000D20F0000}"/>
    <cellStyle name="20% - Accent3 2 2 2 2 11" xfId="18386" xr:uid="{00000000-0005-0000-0000-0000D30F0000}"/>
    <cellStyle name="20% - Accent3 2 2 2 2 2" xfId="1064" xr:uid="{00000000-0005-0000-0000-0000D40F0000}"/>
    <cellStyle name="20% - Accent3 2 2 2 2 2 2" xfId="1065" xr:uid="{00000000-0005-0000-0000-0000D50F0000}"/>
    <cellStyle name="20% - Accent3 2 2 2 2 2 2 2" xfId="10700" xr:uid="{00000000-0005-0000-0000-0000D60F0000}"/>
    <cellStyle name="20% - Accent3 2 2 2 2 2 2 2 2" xfId="24642" xr:uid="{00000000-0005-0000-0000-0000D70F0000}"/>
    <cellStyle name="20% - Accent3 2 2 2 2 2 2 3" xfId="18388" xr:uid="{00000000-0005-0000-0000-0000D80F0000}"/>
    <cellStyle name="20% - Accent3 2 2 2 2 2 3" xfId="1066" xr:uid="{00000000-0005-0000-0000-0000D90F0000}"/>
    <cellStyle name="20% - Accent3 2 2 2 2 2 3 2" xfId="12673" xr:uid="{00000000-0005-0000-0000-0000DA0F0000}"/>
    <cellStyle name="20% - Accent3 2 2 2 2 2 3 2 2" xfId="26385" xr:uid="{00000000-0005-0000-0000-0000DB0F0000}"/>
    <cellStyle name="20% - Accent3 2 2 2 2 2 3 3" xfId="18389" xr:uid="{00000000-0005-0000-0000-0000DC0F0000}"/>
    <cellStyle name="20% - Accent3 2 2 2 2 2 4" xfId="1067" xr:uid="{00000000-0005-0000-0000-0000DD0F0000}"/>
    <cellStyle name="20% - Accent3 2 2 2 2 2 4 2" xfId="14764" xr:uid="{00000000-0005-0000-0000-0000DE0F0000}"/>
    <cellStyle name="20% - Accent3 2 2 2 2 2 4 2 2" xfId="28313" xr:uid="{00000000-0005-0000-0000-0000DF0F0000}"/>
    <cellStyle name="20% - Accent3 2 2 2 2 2 4 3" xfId="18390" xr:uid="{00000000-0005-0000-0000-0000E00F0000}"/>
    <cellStyle name="20% - Accent3 2 2 2 2 2 5" xfId="1068" xr:uid="{00000000-0005-0000-0000-0000E10F0000}"/>
    <cellStyle name="20% - Accent3 2 2 2 2 2 5 2" xfId="16965" xr:uid="{00000000-0005-0000-0000-0000E20F0000}"/>
    <cellStyle name="20% - Accent3 2 2 2 2 2 5 2 2" xfId="30372" xr:uid="{00000000-0005-0000-0000-0000E30F0000}"/>
    <cellStyle name="20% - Accent3 2 2 2 2 2 5 3" xfId="18391" xr:uid="{00000000-0005-0000-0000-0000E40F0000}"/>
    <cellStyle name="20% - Accent3 2 2 2 2 2 6" xfId="8975" xr:uid="{00000000-0005-0000-0000-0000E50F0000}"/>
    <cellStyle name="20% - Accent3 2 2 2 2 2 6 2" xfId="23450" xr:uid="{00000000-0005-0000-0000-0000E60F0000}"/>
    <cellStyle name="20% - Accent3 2 2 2 2 2 7" xfId="18387" xr:uid="{00000000-0005-0000-0000-0000E70F0000}"/>
    <cellStyle name="20% - Accent3 2 2 2 2 3" xfId="1069" xr:uid="{00000000-0005-0000-0000-0000E80F0000}"/>
    <cellStyle name="20% - Accent3 2 2 2 2 3 2" xfId="1070" xr:uid="{00000000-0005-0000-0000-0000E90F0000}"/>
    <cellStyle name="20% - Accent3 2 2 2 2 3 2 2" xfId="14765" xr:uid="{00000000-0005-0000-0000-0000EA0F0000}"/>
    <cellStyle name="20% - Accent3 2 2 2 2 3 2 2 2" xfId="28314" xr:uid="{00000000-0005-0000-0000-0000EB0F0000}"/>
    <cellStyle name="20% - Accent3 2 2 2 2 3 2 3" xfId="18393" xr:uid="{00000000-0005-0000-0000-0000EC0F0000}"/>
    <cellStyle name="20% - Accent3 2 2 2 2 3 3" xfId="10699" xr:uid="{00000000-0005-0000-0000-0000ED0F0000}"/>
    <cellStyle name="20% - Accent3 2 2 2 2 3 3 2" xfId="24641" xr:uid="{00000000-0005-0000-0000-0000EE0F0000}"/>
    <cellStyle name="20% - Accent3 2 2 2 2 3 4" xfId="18392" xr:uid="{00000000-0005-0000-0000-0000EF0F0000}"/>
    <cellStyle name="20% - Accent3 2 2 2 2 4" xfId="1071" xr:uid="{00000000-0005-0000-0000-0000F00F0000}"/>
    <cellStyle name="20% - Accent3 2 2 2 2 4 2" xfId="12353" xr:uid="{00000000-0005-0000-0000-0000F10F0000}"/>
    <cellStyle name="20% - Accent3 2 2 2 2 4 2 2" xfId="26065" xr:uid="{00000000-0005-0000-0000-0000F20F0000}"/>
    <cellStyle name="20% - Accent3 2 2 2 2 4 3" xfId="18394" xr:uid="{00000000-0005-0000-0000-0000F30F0000}"/>
    <cellStyle name="20% - Accent3 2 2 2 2 5" xfId="1072" xr:uid="{00000000-0005-0000-0000-0000F40F0000}"/>
    <cellStyle name="20% - Accent3 2 2 2 2 5 2" xfId="12441" xr:uid="{00000000-0005-0000-0000-0000F50F0000}"/>
    <cellStyle name="20% - Accent3 2 2 2 2 5 2 2" xfId="26153" xr:uid="{00000000-0005-0000-0000-0000F60F0000}"/>
    <cellStyle name="20% - Accent3 2 2 2 2 5 3" xfId="18395" xr:uid="{00000000-0005-0000-0000-0000F70F0000}"/>
    <cellStyle name="20% - Accent3 2 2 2 2 6" xfId="1073" xr:uid="{00000000-0005-0000-0000-0000F80F0000}"/>
    <cellStyle name="20% - Accent3 2 2 2 2 6 2" xfId="13917" xr:uid="{00000000-0005-0000-0000-0000F90F0000}"/>
    <cellStyle name="20% - Accent3 2 2 2 2 6 2 2" xfId="27466" xr:uid="{00000000-0005-0000-0000-0000FA0F0000}"/>
    <cellStyle name="20% - Accent3 2 2 2 2 6 3" xfId="18396" xr:uid="{00000000-0005-0000-0000-0000FB0F0000}"/>
    <cellStyle name="20% - Accent3 2 2 2 2 7" xfId="1074" xr:uid="{00000000-0005-0000-0000-0000FC0F0000}"/>
    <cellStyle name="20% - Accent3 2 2 2 2 7 2" xfId="14498" xr:uid="{00000000-0005-0000-0000-0000FD0F0000}"/>
    <cellStyle name="20% - Accent3 2 2 2 2 7 2 2" xfId="28047" xr:uid="{00000000-0005-0000-0000-0000FE0F0000}"/>
    <cellStyle name="20% - Accent3 2 2 2 2 7 3" xfId="18397" xr:uid="{00000000-0005-0000-0000-0000FF0F0000}"/>
    <cellStyle name="20% - Accent3 2 2 2 2 8" xfId="1075" xr:uid="{00000000-0005-0000-0000-000000100000}"/>
    <cellStyle name="20% - Accent3 2 2 2 2 8 2" xfId="14763" xr:uid="{00000000-0005-0000-0000-000001100000}"/>
    <cellStyle name="20% - Accent3 2 2 2 2 8 2 2" xfId="28312" xr:uid="{00000000-0005-0000-0000-000002100000}"/>
    <cellStyle name="20% - Accent3 2 2 2 2 8 3" xfId="18398" xr:uid="{00000000-0005-0000-0000-000003100000}"/>
    <cellStyle name="20% - Accent3 2 2 2 2 9" xfId="1076" xr:uid="{00000000-0005-0000-0000-000004100000}"/>
    <cellStyle name="20% - Accent3 2 2 2 2 9 2" xfId="16384" xr:uid="{00000000-0005-0000-0000-000005100000}"/>
    <cellStyle name="20% - Accent3 2 2 2 2 9 2 2" xfId="29791" xr:uid="{00000000-0005-0000-0000-000006100000}"/>
    <cellStyle name="20% - Accent3 2 2 2 2 9 3" xfId="18399" xr:uid="{00000000-0005-0000-0000-000007100000}"/>
    <cellStyle name="20% - Accent3 2 2 2 3" xfId="1077" xr:uid="{00000000-0005-0000-0000-000008100000}"/>
    <cellStyle name="20% - Accent3 2 2 2 3 2" xfId="1078" xr:uid="{00000000-0005-0000-0000-000009100000}"/>
    <cellStyle name="20% - Accent3 2 2 2 3 2 2" xfId="10701" xr:uid="{00000000-0005-0000-0000-00000A100000}"/>
    <cellStyle name="20% - Accent3 2 2 2 3 2 2 2" xfId="24643" xr:uid="{00000000-0005-0000-0000-00000B100000}"/>
    <cellStyle name="20% - Accent3 2 2 2 3 2 3" xfId="18401" xr:uid="{00000000-0005-0000-0000-00000C100000}"/>
    <cellStyle name="20% - Accent3 2 2 2 3 3" xfId="1079" xr:uid="{00000000-0005-0000-0000-00000D100000}"/>
    <cellStyle name="20% - Accent3 2 2 2 3 3 2" xfId="12577" xr:uid="{00000000-0005-0000-0000-00000E100000}"/>
    <cellStyle name="20% - Accent3 2 2 2 3 3 2 2" xfId="26289" xr:uid="{00000000-0005-0000-0000-00000F100000}"/>
    <cellStyle name="20% - Accent3 2 2 2 3 3 3" xfId="18402" xr:uid="{00000000-0005-0000-0000-000010100000}"/>
    <cellStyle name="20% - Accent3 2 2 2 3 4" xfId="1080" xr:uid="{00000000-0005-0000-0000-000011100000}"/>
    <cellStyle name="20% - Accent3 2 2 2 3 4 2" xfId="14766" xr:uid="{00000000-0005-0000-0000-000012100000}"/>
    <cellStyle name="20% - Accent3 2 2 2 3 4 2 2" xfId="28315" xr:uid="{00000000-0005-0000-0000-000013100000}"/>
    <cellStyle name="20% - Accent3 2 2 2 3 4 3" xfId="18403" xr:uid="{00000000-0005-0000-0000-000014100000}"/>
    <cellStyle name="20% - Accent3 2 2 2 3 5" xfId="1081" xr:uid="{00000000-0005-0000-0000-000015100000}"/>
    <cellStyle name="20% - Accent3 2 2 2 3 5 2" xfId="16676" xr:uid="{00000000-0005-0000-0000-000016100000}"/>
    <cellStyle name="20% - Accent3 2 2 2 3 5 2 2" xfId="30083" xr:uid="{00000000-0005-0000-0000-000017100000}"/>
    <cellStyle name="20% - Accent3 2 2 2 3 5 3" xfId="18404" xr:uid="{00000000-0005-0000-0000-000018100000}"/>
    <cellStyle name="20% - Accent3 2 2 2 3 6" xfId="8976" xr:uid="{00000000-0005-0000-0000-000019100000}"/>
    <cellStyle name="20% - Accent3 2 2 2 3 6 2" xfId="23451" xr:uid="{00000000-0005-0000-0000-00001A100000}"/>
    <cellStyle name="20% - Accent3 2 2 2 3 7" xfId="18400" xr:uid="{00000000-0005-0000-0000-00001B100000}"/>
    <cellStyle name="20% - Accent3 2 2 2 4" xfId="1082" xr:uid="{00000000-0005-0000-0000-00001C100000}"/>
    <cellStyle name="20% - Accent3 2 2 2 4 2" xfId="1083" xr:uid="{00000000-0005-0000-0000-00001D100000}"/>
    <cellStyle name="20% - Accent3 2 2 2 4 2 2" xfId="14767" xr:uid="{00000000-0005-0000-0000-00001E100000}"/>
    <cellStyle name="20% - Accent3 2 2 2 4 2 2 2" xfId="28316" xr:uid="{00000000-0005-0000-0000-00001F100000}"/>
    <cellStyle name="20% - Accent3 2 2 2 4 2 3" xfId="18406" xr:uid="{00000000-0005-0000-0000-000020100000}"/>
    <cellStyle name="20% - Accent3 2 2 2 4 3" xfId="10698" xr:uid="{00000000-0005-0000-0000-000021100000}"/>
    <cellStyle name="20% - Accent3 2 2 2 4 3 2" xfId="24640" xr:uid="{00000000-0005-0000-0000-000022100000}"/>
    <cellStyle name="20% - Accent3 2 2 2 4 4" xfId="18405" xr:uid="{00000000-0005-0000-0000-000023100000}"/>
    <cellStyle name="20% - Accent3 2 2 2 5" xfId="1084" xr:uid="{00000000-0005-0000-0000-000024100000}"/>
    <cellStyle name="20% - Accent3 2 2 2 5 2" xfId="12053" xr:uid="{00000000-0005-0000-0000-000025100000}"/>
    <cellStyle name="20% - Accent3 2 2 2 5 2 2" xfId="25768" xr:uid="{00000000-0005-0000-0000-000026100000}"/>
    <cellStyle name="20% - Accent3 2 2 2 5 3" xfId="18407" xr:uid="{00000000-0005-0000-0000-000027100000}"/>
    <cellStyle name="20% - Accent3 2 2 2 6" xfId="1085" xr:uid="{00000000-0005-0000-0000-000028100000}"/>
    <cellStyle name="20% - Accent3 2 2 2 6 2" xfId="12420" xr:uid="{00000000-0005-0000-0000-000029100000}"/>
    <cellStyle name="20% - Accent3 2 2 2 6 2 2" xfId="26132" xr:uid="{00000000-0005-0000-0000-00002A100000}"/>
    <cellStyle name="20% - Accent3 2 2 2 6 3" xfId="18408" xr:uid="{00000000-0005-0000-0000-00002B100000}"/>
    <cellStyle name="20% - Accent3 2 2 2 7" xfId="1086" xr:uid="{00000000-0005-0000-0000-00002C100000}"/>
    <cellStyle name="20% - Accent3 2 2 2 7 2" xfId="13628" xr:uid="{00000000-0005-0000-0000-00002D100000}"/>
    <cellStyle name="20% - Accent3 2 2 2 7 2 2" xfId="27177" xr:uid="{00000000-0005-0000-0000-00002E100000}"/>
    <cellStyle name="20% - Accent3 2 2 2 7 3" xfId="18409" xr:uid="{00000000-0005-0000-0000-00002F100000}"/>
    <cellStyle name="20% - Accent3 2 2 2 8" xfId="1087" xr:uid="{00000000-0005-0000-0000-000030100000}"/>
    <cellStyle name="20% - Accent3 2 2 2 8 2" xfId="14209" xr:uid="{00000000-0005-0000-0000-000031100000}"/>
    <cellStyle name="20% - Accent3 2 2 2 8 2 2" xfId="27758" xr:uid="{00000000-0005-0000-0000-000032100000}"/>
    <cellStyle name="20% - Accent3 2 2 2 8 3" xfId="18410" xr:uid="{00000000-0005-0000-0000-000033100000}"/>
    <cellStyle name="20% - Accent3 2 2 2 9" xfId="1088" xr:uid="{00000000-0005-0000-0000-000034100000}"/>
    <cellStyle name="20% - Accent3 2 2 2 9 2" xfId="14762" xr:uid="{00000000-0005-0000-0000-000035100000}"/>
    <cellStyle name="20% - Accent3 2 2 2 9 2 2" xfId="28311" xr:uid="{00000000-0005-0000-0000-000036100000}"/>
    <cellStyle name="20% - Accent3 2 2 2 9 3" xfId="18411" xr:uid="{00000000-0005-0000-0000-000037100000}"/>
    <cellStyle name="20% - Accent3 2 2 3" xfId="1089" xr:uid="{00000000-0005-0000-0000-000038100000}"/>
    <cellStyle name="20% - Accent3 2 2 3 10" xfId="8977" xr:uid="{00000000-0005-0000-0000-000039100000}"/>
    <cellStyle name="20% - Accent3 2 2 3 10 2" xfId="23452" xr:uid="{00000000-0005-0000-0000-00003A100000}"/>
    <cellStyle name="20% - Accent3 2 2 3 11" xfId="18412" xr:uid="{00000000-0005-0000-0000-00003B100000}"/>
    <cellStyle name="20% - Accent3 2 2 3 2" xfId="1090" xr:uid="{00000000-0005-0000-0000-00003C100000}"/>
    <cellStyle name="20% - Accent3 2 2 3 2 2" xfId="1091" xr:uid="{00000000-0005-0000-0000-00003D100000}"/>
    <cellStyle name="20% - Accent3 2 2 3 2 2 2" xfId="10703" xr:uid="{00000000-0005-0000-0000-00003E100000}"/>
    <cellStyle name="20% - Accent3 2 2 3 2 2 2 2" xfId="24645" xr:uid="{00000000-0005-0000-0000-00003F100000}"/>
    <cellStyle name="20% - Accent3 2 2 3 2 2 3" xfId="18414" xr:uid="{00000000-0005-0000-0000-000040100000}"/>
    <cellStyle name="20% - Accent3 2 2 3 2 3" xfId="1092" xr:uid="{00000000-0005-0000-0000-000041100000}"/>
    <cellStyle name="20% - Accent3 2 2 3 2 3 2" xfId="12512" xr:uid="{00000000-0005-0000-0000-000042100000}"/>
    <cellStyle name="20% - Accent3 2 2 3 2 3 2 2" xfId="26224" xr:uid="{00000000-0005-0000-0000-000043100000}"/>
    <cellStyle name="20% - Accent3 2 2 3 2 3 3" xfId="18415" xr:uid="{00000000-0005-0000-0000-000044100000}"/>
    <cellStyle name="20% - Accent3 2 2 3 2 4" xfId="1093" xr:uid="{00000000-0005-0000-0000-000045100000}"/>
    <cellStyle name="20% - Accent3 2 2 3 2 4 2" xfId="14769" xr:uid="{00000000-0005-0000-0000-000046100000}"/>
    <cellStyle name="20% - Accent3 2 2 3 2 4 2 2" xfId="28318" xr:uid="{00000000-0005-0000-0000-000047100000}"/>
    <cellStyle name="20% - Accent3 2 2 3 2 4 3" xfId="18416" xr:uid="{00000000-0005-0000-0000-000048100000}"/>
    <cellStyle name="20% - Accent3 2 2 3 2 5" xfId="1094" xr:uid="{00000000-0005-0000-0000-000049100000}"/>
    <cellStyle name="20% - Accent3 2 2 3 2 5 2" xfId="16822" xr:uid="{00000000-0005-0000-0000-00004A100000}"/>
    <cellStyle name="20% - Accent3 2 2 3 2 5 2 2" xfId="30229" xr:uid="{00000000-0005-0000-0000-00004B100000}"/>
    <cellStyle name="20% - Accent3 2 2 3 2 5 3" xfId="18417" xr:uid="{00000000-0005-0000-0000-00004C100000}"/>
    <cellStyle name="20% - Accent3 2 2 3 2 6" xfId="8978" xr:uid="{00000000-0005-0000-0000-00004D100000}"/>
    <cellStyle name="20% - Accent3 2 2 3 2 6 2" xfId="23453" xr:uid="{00000000-0005-0000-0000-00004E100000}"/>
    <cellStyle name="20% - Accent3 2 2 3 2 7" xfId="18413" xr:uid="{00000000-0005-0000-0000-00004F100000}"/>
    <cellStyle name="20% - Accent3 2 2 3 3" xfId="1095" xr:uid="{00000000-0005-0000-0000-000050100000}"/>
    <cellStyle name="20% - Accent3 2 2 3 3 2" xfId="1096" xr:uid="{00000000-0005-0000-0000-000051100000}"/>
    <cellStyle name="20% - Accent3 2 2 3 3 2 2" xfId="14770" xr:uid="{00000000-0005-0000-0000-000052100000}"/>
    <cellStyle name="20% - Accent3 2 2 3 3 2 2 2" xfId="28319" xr:uid="{00000000-0005-0000-0000-000053100000}"/>
    <cellStyle name="20% - Accent3 2 2 3 3 2 3" xfId="18419" xr:uid="{00000000-0005-0000-0000-000054100000}"/>
    <cellStyle name="20% - Accent3 2 2 3 3 3" xfId="10702" xr:uid="{00000000-0005-0000-0000-000055100000}"/>
    <cellStyle name="20% - Accent3 2 2 3 3 3 2" xfId="24644" xr:uid="{00000000-0005-0000-0000-000056100000}"/>
    <cellStyle name="20% - Accent3 2 2 3 3 4" xfId="18418" xr:uid="{00000000-0005-0000-0000-000057100000}"/>
    <cellStyle name="20% - Accent3 2 2 3 4" xfId="1097" xr:uid="{00000000-0005-0000-0000-000058100000}"/>
    <cellStyle name="20% - Accent3 2 2 3 4 2" xfId="12210" xr:uid="{00000000-0005-0000-0000-000059100000}"/>
    <cellStyle name="20% - Accent3 2 2 3 4 2 2" xfId="25922" xr:uid="{00000000-0005-0000-0000-00005A100000}"/>
    <cellStyle name="20% - Accent3 2 2 3 4 3" xfId="18420" xr:uid="{00000000-0005-0000-0000-00005B100000}"/>
    <cellStyle name="20% - Accent3 2 2 3 5" xfId="1098" xr:uid="{00000000-0005-0000-0000-00005C100000}"/>
    <cellStyle name="20% - Accent3 2 2 3 5 2" xfId="11871" xr:uid="{00000000-0005-0000-0000-00005D100000}"/>
    <cellStyle name="20% - Accent3 2 2 3 5 2 2" xfId="25586" xr:uid="{00000000-0005-0000-0000-00005E100000}"/>
    <cellStyle name="20% - Accent3 2 2 3 5 3" xfId="18421" xr:uid="{00000000-0005-0000-0000-00005F100000}"/>
    <cellStyle name="20% - Accent3 2 2 3 6" xfId="1099" xr:uid="{00000000-0005-0000-0000-000060100000}"/>
    <cellStyle name="20% - Accent3 2 2 3 6 2" xfId="13774" xr:uid="{00000000-0005-0000-0000-000061100000}"/>
    <cellStyle name="20% - Accent3 2 2 3 6 2 2" xfId="27323" xr:uid="{00000000-0005-0000-0000-000062100000}"/>
    <cellStyle name="20% - Accent3 2 2 3 6 3" xfId="18422" xr:uid="{00000000-0005-0000-0000-000063100000}"/>
    <cellStyle name="20% - Accent3 2 2 3 7" xfId="1100" xr:uid="{00000000-0005-0000-0000-000064100000}"/>
    <cellStyle name="20% - Accent3 2 2 3 7 2" xfId="14355" xr:uid="{00000000-0005-0000-0000-000065100000}"/>
    <cellStyle name="20% - Accent3 2 2 3 7 2 2" xfId="27904" xr:uid="{00000000-0005-0000-0000-000066100000}"/>
    <cellStyle name="20% - Accent3 2 2 3 7 3" xfId="18423" xr:uid="{00000000-0005-0000-0000-000067100000}"/>
    <cellStyle name="20% - Accent3 2 2 3 8" xfId="1101" xr:uid="{00000000-0005-0000-0000-000068100000}"/>
    <cellStyle name="20% - Accent3 2 2 3 8 2" xfId="14768" xr:uid="{00000000-0005-0000-0000-000069100000}"/>
    <cellStyle name="20% - Accent3 2 2 3 8 2 2" xfId="28317" xr:uid="{00000000-0005-0000-0000-00006A100000}"/>
    <cellStyle name="20% - Accent3 2 2 3 8 3" xfId="18424" xr:uid="{00000000-0005-0000-0000-00006B100000}"/>
    <cellStyle name="20% - Accent3 2 2 3 9" xfId="1102" xr:uid="{00000000-0005-0000-0000-00006C100000}"/>
    <cellStyle name="20% - Accent3 2 2 3 9 2" xfId="16241" xr:uid="{00000000-0005-0000-0000-00006D100000}"/>
    <cellStyle name="20% - Accent3 2 2 3 9 2 2" xfId="29648" xr:uid="{00000000-0005-0000-0000-00006E100000}"/>
    <cellStyle name="20% - Accent3 2 2 3 9 3" xfId="18425" xr:uid="{00000000-0005-0000-0000-00006F100000}"/>
    <cellStyle name="20% - Accent3 2 2 4" xfId="1103" xr:uid="{00000000-0005-0000-0000-000070100000}"/>
    <cellStyle name="20% - Accent3 2 2 4 2" xfId="1104" xr:uid="{00000000-0005-0000-0000-000071100000}"/>
    <cellStyle name="20% - Accent3 2 2 4 2 2" xfId="10704" xr:uid="{00000000-0005-0000-0000-000072100000}"/>
    <cellStyle name="20% - Accent3 2 2 4 2 2 2" xfId="24646" xr:uid="{00000000-0005-0000-0000-000073100000}"/>
    <cellStyle name="20% - Accent3 2 2 4 2 3" xfId="18427" xr:uid="{00000000-0005-0000-0000-000074100000}"/>
    <cellStyle name="20% - Accent3 2 2 4 3" xfId="1105" xr:uid="{00000000-0005-0000-0000-000075100000}"/>
    <cellStyle name="20% - Accent3 2 2 4 3 2" xfId="12762" xr:uid="{00000000-0005-0000-0000-000076100000}"/>
    <cellStyle name="20% - Accent3 2 2 4 3 2 2" xfId="26474" xr:uid="{00000000-0005-0000-0000-000077100000}"/>
    <cellStyle name="20% - Accent3 2 2 4 3 3" xfId="18428" xr:uid="{00000000-0005-0000-0000-000078100000}"/>
    <cellStyle name="20% - Accent3 2 2 4 4" xfId="1106" xr:uid="{00000000-0005-0000-0000-000079100000}"/>
    <cellStyle name="20% - Accent3 2 2 4 4 2" xfId="14771" xr:uid="{00000000-0005-0000-0000-00007A100000}"/>
    <cellStyle name="20% - Accent3 2 2 4 4 2 2" xfId="28320" xr:uid="{00000000-0005-0000-0000-00007B100000}"/>
    <cellStyle name="20% - Accent3 2 2 4 4 3" xfId="18429" xr:uid="{00000000-0005-0000-0000-00007C100000}"/>
    <cellStyle name="20% - Accent3 2 2 4 5" xfId="1107" xr:uid="{00000000-0005-0000-0000-00007D100000}"/>
    <cellStyle name="20% - Accent3 2 2 4 5 2" xfId="17169" xr:uid="{00000000-0005-0000-0000-00007E100000}"/>
    <cellStyle name="20% - Accent3 2 2 4 5 2 2" xfId="30528" xr:uid="{00000000-0005-0000-0000-00007F100000}"/>
    <cellStyle name="20% - Accent3 2 2 4 5 3" xfId="18430" xr:uid="{00000000-0005-0000-0000-000080100000}"/>
    <cellStyle name="20% - Accent3 2 2 4 6" xfId="8979" xr:uid="{00000000-0005-0000-0000-000081100000}"/>
    <cellStyle name="20% - Accent3 2 2 4 6 2" xfId="23454" xr:uid="{00000000-0005-0000-0000-000082100000}"/>
    <cellStyle name="20% - Accent3 2 2 4 7" xfId="18426" xr:uid="{00000000-0005-0000-0000-000083100000}"/>
    <cellStyle name="20% - Accent3 2 2 5" xfId="1108" xr:uid="{00000000-0005-0000-0000-000084100000}"/>
    <cellStyle name="20% - Accent3 2 2 5 2" xfId="1109" xr:uid="{00000000-0005-0000-0000-000085100000}"/>
    <cellStyle name="20% - Accent3 2 2 5 2 2" xfId="14772" xr:uid="{00000000-0005-0000-0000-000086100000}"/>
    <cellStyle name="20% - Accent3 2 2 5 2 2 2" xfId="28321" xr:uid="{00000000-0005-0000-0000-000087100000}"/>
    <cellStyle name="20% - Accent3 2 2 5 2 3" xfId="18432" xr:uid="{00000000-0005-0000-0000-000088100000}"/>
    <cellStyle name="20% - Accent3 2 2 5 3" xfId="1110" xr:uid="{00000000-0005-0000-0000-000089100000}"/>
    <cellStyle name="20% - Accent3 2 2 5 3 2" xfId="17258" xr:uid="{00000000-0005-0000-0000-00008A100000}"/>
    <cellStyle name="20% - Accent3 2 2 5 3 2 2" xfId="30617" xr:uid="{00000000-0005-0000-0000-00008B100000}"/>
    <cellStyle name="20% - Accent3 2 2 5 3 3" xfId="18433" xr:uid="{00000000-0005-0000-0000-00008C100000}"/>
    <cellStyle name="20% - Accent3 2 2 5 4" xfId="10697" xr:uid="{00000000-0005-0000-0000-00008D100000}"/>
    <cellStyle name="20% - Accent3 2 2 5 4 2" xfId="24639" xr:uid="{00000000-0005-0000-0000-00008E100000}"/>
    <cellStyle name="20% - Accent3 2 2 5 5" xfId="18431" xr:uid="{00000000-0005-0000-0000-00008F100000}"/>
    <cellStyle name="20% - Accent3 2 2 6" xfId="1111" xr:uid="{00000000-0005-0000-0000-000090100000}"/>
    <cellStyle name="20% - Accent3 2 2 6 2" xfId="1112" xr:uid="{00000000-0005-0000-0000-000091100000}"/>
    <cellStyle name="20% - Accent3 2 2 6 2 2" xfId="16533" xr:uid="{00000000-0005-0000-0000-000092100000}"/>
    <cellStyle name="20% - Accent3 2 2 6 2 2 2" xfId="29940" xr:uid="{00000000-0005-0000-0000-000093100000}"/>
    <cellStyle name="20% - Accent3 2 2 6 2 3" xfId="18435" xr:uid="{00000000-0005-0000-0000-000094100000}"/>
    <cellStyle name="20% - Accent3 2 2 6 3" xfId="11908" xr:uid="{00000000-0005-0000-0000-000095100000}"/>
    <cellStyle name="20% - Accent3 2 2 6 3 2" xfId="25623" xr:uid="{00000000-0005-0000-0000-000096100000}"/>
    <cellStyle name="20% - Accent3 2 2 6 4" xfId="18434" xr:uid="{00000000-0005-0000-0000-000097100000}"/>
    <cellStyle name="20% - Accent3 2 2 7" xfId="1113" xr:uid="{00000000-0005-0000-0000-000098100000}"/>
    <cellStyle name="20% - Accent3 2 2 7 2" xfId="12646" xr:uid="{00000000-0005-0000-0000-000099100000}"/>
    <cellStyle name="20% - Accent3 2 2 7 2 2" xfId="26358" xr:uid="{00000000-0005-0000-0000-00009A100000}"/>
    <cellStyle name="20% - Accent3 2 2 7 3" xfId="18436" xr:uid="{00000000-0005-0000-0000-00009B100000}"/>
    <cellStyle name="20% - Accent3 2 2 8" xfId="1114" xr:uid="{00000000-0005-0000-0000-00009C100000}"/>
    <cellStyle name="20% - Accent3 2 2 8 2" xfId="13485" xr:uid="{00000000-0005-0000-0000-00009D100000}"/>
    <cellStyle name="20% - Accent3 2 2 8 2 2" xfId="27034" xr:uid="{00000000-0005-0000-0000-00009E100000}"/>
    <cellStyle name="20% - Accent3 2 2 8 3" xfId="18437" xr:uid="{00000000-0005-0000-0000-00009F100000}"/>
    <cellStyle name="20% - Accent3 2 2 9" xfId="1115" xr:uid="{00000000-0005-0000-0000-0000A0100000}"/>
    <cellStyle name="20% - Accent3 2 2 9 2" xfId="14066" xr:uid="{00000000-0005-0000-0000-0000A1100000}"/>
    <cellStyle name="20% - Accent3 2 2 9 2 2" xfId="27615" xr:uid="{00000000-0005-0000-0000-0000A2100000}"/>
    <cellStyle name="20% - Accent3 2 2 9 3" xfId="18438" xr:uid="{00000000-0005-0000-0000-0000A3100000}"/>
    <cellStyle name="20% - Accent3 2 3" xfId="1116" xr:uid="{00000000-0005-0000-0000-0000A4100000}"/>
    <cellStyle name="20% - Accent3 2 3 10" xfId="1117" xr:uid="{00000000-0005-0000-0000-0000A5100000}"/>
    <cellStyle name="20% - Accent3 2 3 10 2" xfId="16049" xr:uid="{00000000-0005-0000-0000-0000A6100000}"/>
    <cellStyle name="20% - Accent3 2 3 10 2 2" xfId="29456" xr:uid="{00000000-0005-0000-0000-0000A7100000}"/>
    <cellStyle name="20% - Accent3 2 3 10 3" xfId="18440" xr:uid="{00000000-0005-0000-0000-0000A8100000}"/>
    <cellStyle name="20% - Accent3 2 3 11" xfId="8980" xr:uid="{00000000-0005-0000-0000-0000A9100000}"/>
    <cellStyle name="20% - Accent3 2 3 11 2" xfId="23455" xr:uid="{00000000-0005-0000-0000-0000AA100000}"/>
    <cellStyle name="20% - Accent3 2 3 12" xfId="18439" xr:uid="{00000000-0005-0000-0000-0000AB100000}"/>
    <cellStyle name="20% - Accent3 2 3 2" xfId="1118" xr:uid="{00000000-0005-0000-0000-0000AC100000}"/>
    <cellStyle name="20% - Accent3 2 3 2 10" xfId="8981" xr:uid="{00000000-0005-0000-0000-0000AD100000}"/>
    <cellStyle name="20% - Accent3 2 3 2 10 2" xfId="23456" xr:uid="{00000000-0005-0000-0000-0000AE100000}"/>
    <cellStyle name="20% - Accent3 2 3 2 11" xfId="18441" xr:uid="{00000000-0005-0000-0000-0000AF100000}"/>
    <cellStyle name="20% - Accent3 2 3 2 2" xfId="1119" xr:uid="{00000000-0005-0000-0000-0000B0100000}"/>
    <cellStyle name="20% - Accent3 2 3 2 2 2" xfId="1120" xr:uid="{00000000-0005-0000-0000-0000B1100000}"/>
    <cellStyle name="20% - Accent3 2 3 2 2 2 2" xfId="10707" xr:uid="{00000000-0005-0000-0000-0000B2100000}"/>
    <cellStyle name="20% - Accent3 2 3 2 2 2 2 2" xfId="24649" xr:uid="{00000000-0005-0000-0000-0000B3100000}"/>
    <cellStyle name="20% - Accent3 2 3 2 2 2 3" xfId="18443" xr:uid="{00000000-0005-0000-0000-0000B4100000}"/>
    <cellStyle name="20% - Accent3 2 3 2 2 3" xfId="1121" xr:uid="{00000000-0005-0000-0000-0000B5100000}"/>
    <cellStyle name="20% - Accent3 2 3 2 2 3 2" xfId="12671" xr:uid="{00000000-0005-0000-0000-0000B6100000}"/>
    <cellStyle name="20% - Accent3 2 3 2 2 3 2 2" xfId="26383" xr:uid="{00000000-0005-0000-0000-0000B7100000}"/>
    <cellStyle name="20% - Accent3 2 3 2 2 3 3" xfId="18444" xr:uid="{00000000-0005-0000-0000-0000B8100000}"/>
    <cellStyle name="20% - Accent3 2 3 2 2 4" xfId="1122" xr:uid="{00000000-0005-0000-0000-0000B9100000}"/>
    <cellStyle name="20% - Accent3 2 3 2 2 4 2" xfId="14775" xr:uid="{00000000-0005-0000-0000-0000BA100000}"/>
    <cellStyle name="20% - Accent3 2 3 2 2 4 2 2" xfId="28324" xr:uid="{00000000-0005-0000-0000-0000BB100000}"/>
    <cellStyle name="20% - Accent3 2 3 2 2 4 3" xfId="18445" xr:uid="{00000000-0005-0000-0000-0000BC100000}"/>
    <cellStyle name="20% - Accent3 2 3 2 2 5" xfId="1123" xr:uid="{00000000-0005-0000-0000-0000BD100000}"/>
    <cellStyle name="20% - Accent3 2 3 2 2 5 2" xfId="16919" xr:uid="{00000000-0005-0000-0000-0000BE100000}"/>
    <cellStyle name="20% - Accent3 2 3 2 2 5 2 2" xfId="30326" xr:uid="{00000000-0005-0000-0000-0000BF100000}"/>
    <cellStyle name="20% - Accent3 2 3 2 2 5 3" xfId="18446" xr:uid="{00000000-0005-0000-0000-0000C0100000}"/>
    <cellStyle name="20% - Accent3 2 3 2 2 6" xfId="8982" xr:uid="{00000000-0005-0000-0000-0000C1100000}"/>
    <cellStyle name="20% - Accent3 2 3 2 2 6 2" xfId="23457" xr:uid="{00000000-0005-0000-0000-0000C2100000}"/>
    <cellStyle name="20% - Accent3 2 3 2 2 7" xfId="18442" xr:uid="{00000000-0005-0000-0000-0000C3100000}"/>
    <cellStyle name="20% - Accent3 2 3 2 3" xfId="1124" xr:uid="{00000000-0005-0000-0000-0000C4100000}"/>
    <cellStyle name="20% - Accent3 2 3 2 3 2" xfId="1125" xr:uid="{00000000-0005-0000-0000-0000C5100000}"/>
    <cellStyle name="20% - Accent3 2 3 2 3 2 2" xfId="14776" xr:uid="{00000000-0005-0000-0000-0000C6100000}"/>
    <cellStyle name="20% - Accent3 2 3 2 3 2 2 2" xfId="28325" xr:uid="{00000000-0005-0000-0000-0000C7100000}"/>
    <cellStyle name="20% - Accent3 2 3 2 3 2 3" xfId="18448" xr:uid="{00000000-0005-0000-0000-0000C8100000}"/>
    <cellStyle name="20% - Accent3 2 3 2 3 3" xfId="10706" xr:uid="{00000000-0005-0000-0000-0000C9100000}"/>
    <cellStyle name="20% - Accent3 2 3 2 3 3 2" xfId="24648" xr:uid="{00000000-0005-0000-0000-0000CA100000}"/>
    <cellStyle name="20% - Accent3 2 3 2 3 4" xfId="18447" xr:uid="{00000000-0005-0000-0000-0000CB100000}"/>
    <cellStyle name="20% - Accent3 2 3 2 4" xfId="1126" xr:uid="{00000000-0005-0000-0000-0000CC100000}"/>
    <cellStyle name="20% - Accent3 2 3 2 4 2" xfId="12307" xr:uid="{00000000-0005-0000-0000-0000CD100000}"/>
    <cellStyle name="20% - Accent3 2 3 2 4 2 2" xfId="26019" xr:uid="{00000000-0005-0000-0000-0000CE100000}"/>
    <cellStyle name="20% - Accent3 2 3 2 4 3" xfId="18449" xr:uid="{00000000-0005-0000-0000-0000CF100000}"/>
    <cellStyle name="20% - Accent3 2 3 2 5" xfId="1127" xr:uid="{00000000-0005-0000-0000-0000D0100000}"/>
    <cellStyle name="20% - Accent3 2 3 2 5 2" xfId="12449" xr:uid="{00000000-0005-0000-0000-0000D1100000}"/>
    <cellStyle name="20% - Accent3 2 3 2 5 2 2" xfId="26161" xr:uid="{00000000-0005-0000-0000-0000D2100000}"/>
    <cellStyle name="20% - Accent3 2 3 2 5 3" xfId="18450" xr:uid="{00000000-0005-0000-0000-0000D3100000}"/>
    <cellStyle name="20% - Accent3 2 3 2 6" xfId="1128" xr:uid="{00000000-0005-0000-0000-0000D4100000}"/>
    <cellStyle name="20% - Accent3 2 3 2 6 2" xfId="13871" xr:uid="{00000000-0005-0000-0000-0000D5100000}"/>
    <cellStyle name="20% - Accent3 2 3 2 6 2 2" xfId="27420" xr:uid="{00000000-0005-0000-0000-0000D6100000}"/>
    <cellStyle name="20% - Accent3 2 3 2 6 3" xfId="18451" xr:uid="{00000000-0005-0000-0000-0000D7100000}"/>
    <cellStyle name="20% - Accent3 2 3 2 7" xfId="1129" xr:uid="{00000000-0005-0000-0000-0000D8100000}"/>
    <cellStyle name="20% - Accent3 2 3 2 7 2" xfId="14452" xr:uid="{00000000-0005-0000-0000-0000D9100000}"/>
    <cellStyle name="20% - Accent3 2 3 2 7 2 2" xfId="28001" xr:uid="{00000000-0005-0000-0000-0000DA100000}"/>
    <cellStyle name="20% - Accent3 2 3 2 7 3" xfId="18452" xr:uid="{00000000-0005-0000-0000-0000DB100000}"/>
    <cellStyle name="20% - Accent3 2 3 2 8" xfId="1130" xr:uid="{00000000-0005-0000-0000-0000DC100000}"/>
    <cellStyle name="20% - Accent3 2 3 2 8 2" xfId="14774" xr:uid="{00000000-0005-0000-0000-0000DD100000}"/>
    <cellStyle name="20% - Accent3 2 3 2 8 2 2" xfId="28323" xr:uid="{00000000-0005-0000-0000-0000DE100000}"/>
    <cellStyle name="20% - Accent3 2 3 2 8 3" xfId="18453" xr:uid="{00000000-0005-0000-0000-0000DF100000}"/>
    <cellStyle name="20% - Accent3 2 3 2 9" xfId="1131" xr:uid="{00000000-0005-0000-0000-0000E0100000}"/>
    <cellStyle name="20% - Accent3 2 3 2 9 2" xfId="16338" xr:uid="{00000000-0005-0000-0000-0000E1100000}"/>
    <cellStyle name="20% - Accent3 2 3 2 9 2 2" xfId="29745" xr:uid="{00000000-0005-0000-0000-0000E2100000}"/>
    <cellStyle name="20% - Accent3 2 3 2 9 3" xfId="18454" xr:uid="{00000000-0005-0000-0000-0000E3100000}"/>
    <cellStyle name="20% - Accent3 2 3 3" xfId="1132" xr:uid="{00000000-0005-0000-0000-0000E4100000}"/>
    <cellStyle name="20% - Accent3 2 3 3 2" xfId="1133" xr:uid="{00000000-0005-0000-0000-0000E5100000}"/>
    <cellStyle name="20% - Accent3 2 3 3 2 2" xfId="10708" xr:uid="{00000000-0005-0000-0000-0000E6100000}"/>
    <cellStyle name="20% - Accent3 2 3 3 2 2 2" xfId="24650" xr:uid="{00000000-0005-0000-0000-0000E7100000}"/>
    <cellStyle name="20% - Accent3 2 3 3 2 3" xfId="18456" xr:uid="{00000000-0005-0000-0000-0000E8100000}"/>
    <cellStyle name="20% - Accent3 2 3 3 3" xfId="1134" xr:uid="{00000000-0005-0000-0000-0000E9100000}"/>
    <cellStyle name="20% - Accent3 2 3 3 3 2" xfId="12672" xr:uid="{00000000-0005-0000-0000-0000EA100000}"/>
    <cellStyle name="20% - Accent3 2 3 3 3 2 2" xfId="26384" xr:uid="{00000000-0005-0000-0000-0000EB100000}"/>
    <cellStyle name="20% - Accent3 2 3 3 3 3" xfId="18457" xr:uid="{00000000-0005-0000-0000-0000EC100000}"/>
    <cellStyle name="20% - Accent3 2 3 3 4" xfId="1135" xr:uid="{00000000-0005-0000-0000-0000ED100000}"/>
    <cellStyle name="20% - Accent3 2 3 3 4 2" xfId="14777" xr:uid="{00000000-0005-0000-0000-0000EE100000}"/>
    <cellStyle name="20% - Accent3 2 3 3 4 2 2" xfId="28326" xr:uid="{00000000-0005-0000-0000-0000EF100000}"/>
    <cellStyle name="20% - Accent3 2 3 3 4 3" xfId="18458" xr:uid="{00000000-0005-0000-0000-0000F0100000}"/>
    <cellStyle name="20% - Accent3 2 3 3 5" xfId="1136" xr:uid="{00000000-0005-0000-0000-0000F1100000}"/>
    <cellStyle name="20% - Accent3 2 3 3 5 2" xfId="16630" xr:uid="{00000000-0005-0000-0000-0000F2100000}"/>
    <cellStyle name="20% - Accent3 2 3 3 5 2 2" xfId="30037" xr:uid="{00000000-0005-0000-0000-0000F3100000}"/>
    <cellStyle name="20% - Accent3 2 3 3 5 3" xfId="18459" xr:uid="{00000000-0005-0000-0000-0000F4100000}"/>
    <cellStyle name="20% - Accent3 2 3 3 6" xfId="8983" xr:uid="{00000000-0005-0000-0000-0000F5100000}"/>
    <cellStyle name="20% - Accent3 2 3 3 6 2" xfId="23458" xr:uid="{00000000-0005-0000-0000-0000F6100000}"/>
    <cellStyle name="20% - Accent3 2 3 3 7" xfId="18455" xr:uid="{00000000-0005-0000-0000-0000F7100000}"/>
    <cellStyle name="20% - Accent3 2 3 4" xfId="1137" xr:uid="{00000000-0005-0000-0000-0000F8100000}"/>
    <cellStyle name="20% - Accent3 2 3 4 2" xfId="1138" xr:uid="{00000000-0005-0000-0000-0000F9100000}"/>
    <cellStyle name="20% - Accent3 2 3 4 2 2" xfId="14778" xr:uid="{00000000-0005-0000-0000-0000FA100000}"/>
    <cellStyle name="20% - Accent3 2 3 4 2 2 2" xfId="28327" xr:uid="{00000000-0005-0000-0000-0000FB100000}"/>
    <cellStyle name="20% - Accent3 2 3 4 2 3" xfId="18461" xr:uid="{00000000-0005-0000-0000-0000FC100000}"/>
    <cellStyle name="20% - Accent3 2 3 4 3" xfId="10705" xr:uid="{00000000-0005-0000-0000-0000FD100000}"/>
    <cellStyle name="20% - Accent3 2 3 4 3 2" xfId="24647" xr:uid="{00000000-0005-0000-0000-0000FE100000}"/>
    <cellStyle name="20% - Accent3 2 3 4 4" xfId="18460" xr:uid="{00000000-0005-0000-0000-0000FF100000}"/>
    <cellStyle name="20% - Accent3 2 3 5" xfId="1139" xr:uid="{00000000-0005-0000-0000-000000110000}"/>
    <cellStyle name="20% - Accent3 2 3 5 2" xfId="12007" xr:uid="{00000000-0005-0000-0000-000001110000}"/>
    <cellStyle name="20% - Accent3 2 3 5 2 2" xfId="25722" xr:uid="{00000000-0005-0000-0000-000002110000}"/>
    <cellStyle name="20% - Accent3 2 3 5 3" xfId="18462" xr:uid="{00000000-0005-0000-0000-000003110000}"/>
    <cellStyle name="20% - Accent3 2 3 6" xfId="1140" xr:uid="{00000000-0005-0000-0000-000004110000}"/>
    <cellStyle name="20% - Accent3 2 3 6 2" xfId="12787" xr:uid="{00000000-0005-0000-0000-000005110000}"/>
    <cellStyle name="20% - Accent3 2 3 6 2 2" xfId="26499" xr:uid="{00000000-0005-0000-0000-000006110000}"/>
    <cellStyle name="20% - Accent3 2 3 6 3" xfId="18463" xr:uid="{00000000-0005-0000-0000-000007110000}"/>
    <cellStyle name="20% - Accent3 2 3 7" xfId="1141" xr:uid="{00000000-0005-0000-0000-000008110000}"/>
    <cellStyle name="20% - Accent3 2 3 7 2" xfId="13582" xr:uid="{00000000-0005-0000-0000-000009110000}"/>
    <cellStyle name="20% - Accent3 2 3 7 2 2" xfId="27131" xr:uid="{00000000-0005-0000-0000-00000A110000}"/>
    <cellStyle name="20% - Accent3 2 3 7 3" xfId="18464" xr:uid="{00000000-0005-0000-0000-00000B110000}"/>
    <cellStyle name="20% - Accent3 2 3 8" xfId="1142" xr:uid="{00000000-0005-0000-0000-00000C110000}"/>
    <cellStyle name="20% - Accent3 2 3 8 2" xfId="14163" xr:uid="{00000000-0005-0000-0000-00000D110000}"/>
    <cellStyle name="20% - Accent3 2 3 8 2 2" xfId="27712" xr:uid="{00000000-0005-0000-0000-00000E110000}"/>
    <cellStyle name="20% - Accent3 2 3 8 3" xfId="18465" xr:uid="{00000000-0005-0000-0000-00000F110000}"/>
    <cellStyle name="20% - Accent3 2 3 9" xfId="1143" xr:uid="{00000000-0005-0000-0000-000010110000}"/>
    <cellStyle name="20% - Accent3 2 3 9 2" xfId="14773" xr:uid="{00000000-0005-0000-0000-000011110000}"/>
    <cellStyle name="20% - Accent3 2 3 9 2 2" xfId="28322" xr:uid="{00000000-0005-0000-0000-000012110000}"/>
    <cellStyle name="20% - Accent3 2 3 9 3" xfId="18466" xr:uid="{00000000-0005-0000-0000-000013110000}"/>
    <cellStyle name="20% - Accent3 2 4" xfId="1144" xr:uid="{00000000-0005-0000-0000-000014110000}"/>
    <cellStyle name="20% - Accent3 2 4 10" xfId="8984" xr:uid="{00000000-0005-0000-0000-000015110000}"/>
    <cellStyle name="20% - Accent3 2 4 10 2" xfId="23459" xr:uid="{00000000-0005-0000-0000-000016110000}"/>
    <cellStyle name="20% - Accent3 2 4 11" xfId="18467" xr:uid="{00000000-0005-0000-0000-000017110000}"/>
    <cellStyle name="20% - Accent3 2 4 2" xfId="1145" xr:uid="{00000000-0005-0000-0000-000018110000}"/>
    <cellStyle name="20% - Accent3 2 4 2 2" xfId="1146" xr:uid="{00000000-0005-0000-0000-000019110000}"/>
    <cellStyle name="20% - Accent3 2 4 2 2 2" xfId="10710" xr:uid="{00000000-0005-0000-0000-00001A110000}"/>
    <cellStyle name="20% - Accent3 2 4 2 2 2 2" xfId="24652" xr:uid="{00000000-0005-0000-0000-00001B110000}"/>
    <cellStyle name="20% - Accent3 2 4 2 2 3" xfId="18469" xr:uid="{00000000-0005-0000-0000-00001C110000}"/>
    <cellStyle name="20% - Accent3 2 4 2 3" xfId="1147" xr:uid="{00000000-0005-0000-0000-00001D110000}"/>
    <cellStyle name="20% - Accent3 2 4 2 3 2" xfId="12808" xr:uid="{00000000-0005-0000-0000-00001E110000}"/>
    <cellStyle name="20% - Accent3 2 4 2 3 2 2" xfId="26520" xr:uid="{00000000-0005-0000-0000-00001F110000}"/>
    <cellStyle name="20% - Accent3 2 4 2 3 3" xfId="18470" xr:uid="{00000000-0005-0000-0000-000020110000}"/>
    <cellStyle name="20% - Accent3 2 4 2 4" xfId="1148" xr:uid="{00000000-0005-0000-0000-000021110000}"/>
    <cellStyle name="20% - Accent3 2 4 2 4 2" xfId="14780" xr:uid="{00000000-0005-0000-0000-000022110000}"/>
    <cellStyle name="20% - Accent3 2 4 2 4 2 2" xfId="28329" xr:uid="{00000000-0005-0000-0000-000023110000}"/>
    <cellStyle name="20% - Accent3 2 4 2 4 3" xfId="18471" xr:uid="{00000000-0005-0000-0000-000024110000}"/>
    <cellStyle name="20% - Accent3 2 4 2 5" xfId="1149" xr:uid="{00000000-0005-0000-0000-000025110000}"/>
    <cellStyle name="20% - Accent3 2 4 2 5 2" xfId="16776" xr:uid="{00000000-0005-0000-0000-000026110000}"/>
    <cellStyle name="20% - Accent3 2 4 2 5 2 2" xfId="30183" xr:uid="{00000000-0005-0000-0000-000027110000}"/>
    <cellStyle name="20% - Accent3 2 4 2 5 3" xfId="18472" xr:uid="{00000000-0005-0000-0000-000028110000}"/>
    <cellStyle name="20% - Accent3 2 4 2 6" xfId="8985" xr:uid="{00000000-0005-0000-0000-000029110000}"/>
    <cellStyle name="20% - Accent3 2 4 2 6 2" xfId="23460" xr:uid="{00000000-0005-0000-0000-00002A110000}"/>
    <cellStyle name="20% - Accent3 2 4 2 7" xfId="18468" xr:uid="{00000000-0005-0000-0000-00002B110000}"/>
    <cellStyle name="20% - Accent3 2 4 3" xfId="1150" xr:uid="{00000000-0005-0000-0000-00002C110000}"/>
    <cellStyle name="20% - Accent3 2 4 3 2" xfId="1151" xr:uid="{00000000-0005-0000-0000-00002D110000}"/>
    <cellStyle name="20% - Accent3 2 4 3 2 2" xfId="14781" xr:uid="{00000000-0005-0000-0000-00002E110000}"/>
    <cellStyle name="20% - Accent3 2 4 3 2 2 2" xfId="28330" xr:uid="{00000000-0005-0000-0000-00002F110000}"/>
    <cellStyle name="20% - Accent3 2 4 3 2 3" xfId="18474" xr:uid="{00000000-0005-0000-0000-000030110000}"/>
    <cellStyle name="20% - Accent3 2 4 3 3" xfId="10709" xr:uid="{00000000-0005-0000-0000-000031110000}"/>
    <cellStyle name="20% - Accent3 2 4 3 3 2" xfId="24651" xr:uid="{00000000-0005-0000-0000-000032110000}"/>
    <cellStyle name="20% - Accent3 2 4 3 4" xfId="18473" xr:uid="{00000000-0005-0000-0000-000033110000}"/>
    <cellStyle name="20% - Accent3 2 4 4" xfId="1152" xr:uid="{00000000-0005-0000-0000-000034110000}"/>
    <cellStyle name="20% - Accent3 2 4 4 2" xfId="12164" xr:uid="{00000000-0005-0000-0000-000035110000}"/>
    <cellStyle name="20% - Accent3 2 4 4 2 2" xfId="25876" xr:uid="{00000000-0005-0000-0000-000036110000}"/>
    <cellStyle name="20% - Accent3 2 4 4 3" xfId="18475" xr:uid="{00000000-0005-0000-0000-000037110000}"/>
    <cellStyle name="20% - Accent3 2 4 5" xfId="1153" xr:uid="{00000000-0005-0000-0000-000038110000}"/>
    <cellStyle name="20% - Accent3 2 4 5 2" xfId="12493" xr:uid="{00000000-0005-0000-0000-000039110000}"/>
    <cellStyle name="20% - Accent3 2 4 5 2 2" xfId="26205" xr:uid="{00000000-0005-0000-0000-00003A110000}"/>
    <cellStyle name="20% - Accent3 2 4 5 3" xfId="18476" xr:uid="{00000000-0005-0000-0000-00003B110000}"/>
    <cellStyle name="20% - Accent3 2 4 6" xfId="1154" xr:uid="{00000000-0005-0000-0000-00003C110000}"/>
    <cellStyle name="20% - Accent3 2 4 6 2" xfId="13728" xr:uid="{00000000-0005-0000-0000-00003D110000}"/>
    <cellStyle name="20% - Accent3 2 4 6 2 2" xfId="27277" xr:uid="{00000000-0005-0000-0000-00003E110000}"/>
    <cellStyle name="20% - Accent3 2 4 6 3" xfId="18477" xr:uid="{00000000-0005-0000-0000-00003F110000}"/>
    <cellStyle name="20% - Accent3 2 4 7" xfId="1155" xr:uid="{00000000-0005-0000-0000-000040110000}"/>
    <cellStyle name="20% - Accent3 2 4 7 2" xfId="14309" xr:uid="{00000000-0005-0000-0000-000041110000}"/>
    <cellStyle name="20% - Accent3 2 4 7 2 2" xfId="27858" xr:uid="{00000000-0005-0000-0000-000042110000}"/>
    <cellStyle name="20% - Accent3 2 4 7 3" xfId="18478" xr:uid="{00000000-0005-0000-0000-000043110000}"/>
    <cellStyle name="20% - Accent3 2 4 8" xfId="1156" xr:uid="{00000000-0005-0000-0000-000044110000}"/>
    <cellStyle name="20% - Accent3 2 4 8 2" xfId="14779" xr:uid="{00000000-0005-0000-0000-000045110000}"/>
    <cellStyle name="20% - Accent3 2 4 8 2 2" xfId="28328" xr:uid="{00000000-0005-0000-0000-000046110000}"/>
    <cellStyle name="20% - Accent3 2 4 8 3" xfId="18479" xr:uid="{00000000-0005-0000-0000-000047110000}"/>
    <cellStyle name="20% - Accent3 2 4 9" xfId="1157" xr:uid="{00000000-0005-0000-0000-000048110000}"/>
    <cellStyle name="20% - Accent3 2 4 9 2" xfId="16195" xr:uid="{00000000-0005-0000-0000-000049110000}"/>
    <cellStyle name="20% - Accent3 2 4 9 2 2" xfId="29602" xr:uid="{00000000-0005-0000-0000-00004A110000}"/>
    <cellStyle name="20% - Accent3 2 4 9 3" xfId="18480" xr:uid="{00000000-0005-0000-0000-00004B110000}"/>
    <cellStyle name="20% - Accent3 2 5" xfId="1158" xr:uid="{00000000-0005-0000-0000-00004C110000}"/>
    <cellStyle name="20% - Accent3 2 5 2" xfId="1159" xr:uid="{00000000-0005-0000-0000-00004D110000}"/>
    <cellStyle name="20% - Accent3 2 5 2 2" xfId="1160" xr:uid="{00000000-0005-0000-0000-00004E110000}"/>
    <cellStyle name="20% - Accent3 2 5 2 2 2" xfId="10712" xr:uid="{00000000-0005-0000-0000-00004F110000}"/>
    <cellStyle name="20% - Accent3 2 5 2 2 2 2" xfId="24654" xr:uid="{00000000-0005-0000-0000-000050110000}"/>
    <cellStyle name="20% - Accent3 2 5 2 2 3" xfId="18483" xr:uid="{00000000-0005-0000-0000-000051110000}"/>
    <cellStyle name="20% - Accent3 2 5 2 3" xfId="1161" xr:uid="{00000000-0005-0000-0000-000052110000}"/>
    <cellStyle name="20% - Accent3 2 5 2 3 2" xfId="12621" xr:uid="{00000000-0005-0000-0000-000053110000}"/>
    <cellStyle name="20% - Accent3 2 5 2 3 2 2" xfId="26333" xr:uid="{00000000-0005-0000-0000-000054110000}"/>
    <cellStyle name="20% - Accent3 2 5 2 3 3" xfId="18484" xr:uid="{00000000-0005-0000-0000-000055110000}"/>
    <cellStyle name="20% - Accent3 2 5 2 4" xfId="1162" xr:uid="{00000000-0005-0000-0000-000056110000}"/>
    <cellStyle name="20% - Accent3 2 5 2 4 2" xfId="14783" xr:uid="{00000000-0005-0000-0000-000057110000}"/>
    <cellStyle name="20% - Accent3 2 5 2 4 2 2" xfId="28332" xr:uid="{00000000-0005-0000-0000-000058110000}"/>
    <cellStyle name="20% - Accent3 2 5 2 4 3" xfId="18485" xr:uid="{00000000-0005-0000-0000-000059110000}"/>
    <cellStyle name="20% - Accent3 2 5 2 5" xfId="8987" xr:uid="{00000000-0005-0000-0000-00005A110000}"/>
    <cellStyle name="20% - Accent3 2 5 2 5 2" xfId="23462" xr:uid="{00000000-0005-0000-0000-00005B110000}"/>
    <cellStyle name="20% - Accent3 2 5 2 6" xfId="18482" xr:uid="{00000000-0005-0000-0000-00005C110000}"/>
    <cellStyle name="20% - Accent3 2 5 3" xfId="1163" xr:uid="{00000000-0005-0000-0000-00005D110000}"/>
    <cellStyle name="20% - Accent3 2 5 3 2" xfId="10711" xr:uid="{00000000-0005-0000-0000-00005E110000}"/>
    <cellStyle name="20% - Accent3 2 5 3 2 2" xfId="24653" xr:uid="{00000000-0005-0000-0000-00005F110000}"/>
    <cellStyle name="20% - Accent3 2 5 3 3" xfId="18486" xr:uid="{00000000-0005-0000-0000-000060110000}"/>
    <cellStyle name="20% - Accent3 2 5 4" xfId="1164" xr:uid="{00000000-0005-0000-0000-000061110000}"/>
    <cellStyle name="20% - Accent3 2 5 4 2" xfId="12624" xr:uid="{00000000-0005-0000-0000-000062110000}"/>
    <cellStyle name="20% - Accent3 2 5 4 2 2" xfId="26336" xr:uid="{00000000-0005-0000-0000-000063110000}"/>
    <cellStyle name="20% - Accent3 2 5 4 3" xfId="18487" xr:uid="{00000000-0005-0000-0000-000064110000}"/>
    <cellStyle name="20% - Accent3 2 5 5" xfId="1165" xr:uid="{00000000-0005-0000-0000-000065110000}"/>
    <cellStyle name="20% - Accent3 2 5 5 2" xfId="14782" xr:uid="{00000000-0005-0000-0000-000066110000}"/>
    <cellStyle name="20% - Accent3 2 5 5 2 2" xfId="28331" xr:uid="{00000000-0005-0000-0000-000067110000}"/>
    <cellStyle name="20% - Accent3 2 5 5 3" xfId="18488" xr:uid="{00000000-0005-0000-0000-000068110000}"/>
    <cellStyle name="20% - Accent3 2 5 6" xfId="1166" xr:uid="{00000000-0005-0000-0000-000069110000}"/>
    <cellStyle name="20% - Accent3 2 5 6 2" xfId="17009" xr:uid="{00000000-0005-0000-0000-00006A110000}"/>
    <cellStyle name="20% - Accent3 2 5 6 2 2" xfId="30416" xr:uid="{00000000-0005-0000-0000-00006B110000}"/>
    <cellStyle name="20% - Accent3 2 5 6 3" xfId="18489" xr:uid="{00000000-0005-0000-0000-00006C110000}"/>
    <cellStyle name="20% - Accent3 2 5 7" xfId="8986" xr:uid="{00000000-0005-0000-0000-00006D110000}"/>
    <cellStyle name="20% - Accent3 2 5 7 2" xfId="23461" xr:uid="{00000000-0005-0000-0000-00006E110000}"/>
    <cellStyle name="20% - Accent3 2 5 8" xfId="18481" xr:uid="{00000000-0005-0000-0000-00006F110000}"/>
    <cellStyle name="20% - Accent3 2 6" xfId="1167" xr:uid="{00000000-0005-0000-0000-000070110000}"/>
    <cellStyle name="20% - Accent3 2 6 2" xfId="1168" xr:uid="{00000000-0005-0000-0000-000071110000}"/>
    <cellStyle name="20% - Accent3 2 6 2 2" xfId="10713" xr:uid="{00000000-0005-0000-0000-000072110000}"/>
    <cellStyle name="20% - Accent3 2 6 2 2 2" xfId="24655" xr:uid="{00000000-0005-0000-0000-000073110000}"/>
    <cellStyle name="20% - Accent3 2 6 2 3" xfId="18491" xr:uid="{00000000-0005-0000-0000-000074110000}"/>
    <cellStyle name="20% - Accent3 2 6 3" xfId="1169" xr:uid="{00000000-0005-0000-0000-000075110000}"/>
    <cellStyle name="20% - Accent3 2 6 3 2" xfId="12640" xr:uid="{00000000-0005-0000-0000-000076110000}"/>
    <cellStyle name="20% - Accent3 2 6 3 2 2" xfId="26352" xr:uid="{00000000-0005-0000-0000-000077110000}"/>
    <cellStyle name="20% - Accent3 2 6 3 3" xfId="18492" xr:uid="{00000000-0005-0000-0000-000078110000}"/>
    <cellStyle name="20% - Accent3 2 6 4" xfId="1170" xr:uid="{00000000-0005-0000-0000-000079110000}"/>
    <cellStyle name="20% - Accent3 2 6 4 2" xfId="14784" xr:uid="{00000000-0005-0000-0000-00007A110000}"/>
    <cellStyle name="20% - Accent3 2 6 4 2 2" xfId="28333" xr:uid="{00000000-0005-0000-0000-00007B110000}"/>
    <cellStyle name="20% - Accent3 2 6 4 3" xfId="18493" xr:uid="{00000000-0005-0000-0000-00007C110000}"/>
    <cellStyle name="20% - Accent3 2 6 5" xfId="1171" xr:uid="{00000000-0005-0000-0000-00007D110000}"/>
    <cellStyle name="20% - Accent3 2 6 5 2" xfId="17123" xr:uid="{00000000-0005-0000-0000-00007E110000}"/>
    <cellStyle name="20% - Accent3 2 6 5 2 2" xfId="30482" xr:uid="{00000000-0005-0000-0000-00007F110000}"/>
    <cellStyle name="20% - Accent3 2 6 5 3" xfId="18494" xr:uid="{00000000-0005-0000-0000-000080110000}"/>
    <cellStyle name="20% - Accent3 2 6 6" xfId="8988" xr:uid="{00000000-0005-0000-0000-000081110000}"/>
    <cellStyle name="20% - Accent3 2 6 6 2" xfId="23463" xr:uid="{00000000-0005-0000-0000-000082110000}"/>
    <cellStyle name="20% - Accent3 2 6 7" xfId="18490" xr:uid="{00000000-0005-0000-0000-000083110000}"/>
    <cellStyle name="20% - Accent3 2 7" xfId="1172" xr:uid="{00000000-0005-0000-0000-000084110000}"/>
    <cellStyle name="20% - Accent3 2 7 2" xfId="1173" xr:uid="{00000000-0005-0000-0000-000085110000}"/>
    <cellStyle name="20% - Accent3 2 7 2 2" xfId="10714" xr:uid="{00000000-0005-0000-0000-000086110000}"/>
    <cellStyle name="20% - Accent3 2 7 2 2 2" xfId="24656" xr:uid="{00000000-0005-0000-0000-000087110000}"/>
    <cellStyle name="20% - Accent3 2 7 2 3" xfId="18496" xr:uid="{00000000-0005-0000-0000-000088110000}"/>
    <cellStyle name="20% - Accent3 2 7 3" xfId="1174" xr:uid="{00000000-0005-0000-0000-000089110000}"/>
    <cellStyle name="20% - Accent3 2 7 3 2" xfId="12805" xr:uid="{00000000-0005-0000-0000-00008A110000}"/>
    <cellStyle name="20% - Accent3 2 7 3 2 2" xfId="26517" xr:uid="{00000000-0005-0000-0000-00008B110000}"/>
    <cellStyle name="20% - Accent3 2 7 3 3" xfId="18497" xr:uid="{00000000-0005-0000-0000-00008C110000}"/>
    <cellStyle name="20% - Accent3 2 7 4" xfId="1175" xr:uid="{00000000-0005-0000-0000-00008D110000}"/>
    <cellStyle name="20% - Accent3 2 7 4 2" xfId="14785" xr:uid="{00000000-0005-0000-0000-00008E110000}"/>
    <cellStyle name="20% - Accent3 2 7 4 2 2" xfId="28334" xr:uid="{00000000-0005-0000-0000-00008F110000}"/>
    <cellStyle name="20% - Accent3 2 7 4 3" xfId="18498" xr:uid="{00000000-0005-0000-0000-000090110000}"/>
    <cellStyle name="20% - Accent3 2 7 5" xfId="1176" xr:uid="{00000000-0005-0000-0000-000091110000}"/>
    <cellStyle name="20% - Accent3 2 7 5 2" xfId="17212" xr:uid="{00000000-0005-0000-0000-000092110000}"/>
    <cellStyle name="20% - Accent3 2 7 5 2 2" xfId="30571" xr:uid="{00000000-0005-0000-0000-000093110000}"/>
    <cellStyle name="20% - Accent3 2 7 5 3" xfId="18499" xr:uid="{00000000-0005-0000-0000-000094110000}"/>
    <cellStyle name="20% - Accent3 2 7 6" xfId="8989" xr:uid="{00000000-0005-0000-0000-000095110000}"/>
    <cellStyle name="20% - Accent3 2 7 6 2" xfId="23464" xr:uid="{00000000-0005-0000-0000-000096110000}"/>
    <cellStyle name="20% - Accent3 2 7 7" xfId="18495" xr:uid="{00000000-0005-0000-0000-000097110000}"/>
    <cellStyle name="20% - Accent3 2 8" xfId="1177" xr:uid="{00000000-0005-0000-0000-000098110000}"/>
    <cellStyle name="20% - Accent3 2 8 2" xfId="1178" xr:uid="{00000000-0005-0000-0000-000099110000}"/>
    <cellStyle name="20% - Accent3 2 8 2 2" xfId="12405" xr:uid="{00000000-0005-0000-0000-00009A110000}"/>
    <cellStyle name="20% - Accent3 2 8 2 2 2" xfId="26117" xr:uid="{00000000-0005-0000-0000-00009B110000}"/>
    <cellStyle name="20% - Accent3 2 8 2 3" xfId="18501" xr:uid="{00000000-0005-0000-0000-00009C110000}"/>
    <cellStyle name="20% - Accent3 2 8 3" xfId="1179" xr:uid="{00000000-0005-0000-0000-00009D110000}"/>
    <cellStyle name="20% - Accent3 2 8 3 2" xfId="14786" xr:uid="{00000000-0005-0000-0000-00009E110000}"/>
    <cellStyle name="20% - Accent3 2 8 3 2 2" xfId="28335" xr:uid="{00000000-0005-0000-0000-00009F110000}"/>
    <cellStyle name="20% - Accent3 2 8 3 3" xfId="18502" xr:uid="{00000000-0005-0000-0000-0000A0110000}"/>
    <cellStyle name="20% - Accent3 2 8 4" xfId="1180" xr:uid="{00000000-0005-0000-0000-0000A1110000}"/>
    <cellStyle name="20% - Accent3 2 8 4 2" xfId="16487" xr:uid="{00000000-0005-0000-0000-0000A2110000}"/>
    <cellStyle name="20% - Accent3 2 8 4 2 2" xfId="29894" xr:uid="{00000000-0005-0000-0000-0000A3110000}"/>
    <cellStyle name="20% - Accent3 2 8 4 3" xfId="18503" xr:uid="{00000000-0005-0000-0000-0000A4110000}"/>
    <cellStyle name="20% - Accent3 2 8 5" xfId="10530" xr:uid="{00000000-0005-0000-0000-0000A5110000}"/>
    <cellStyle name="20% - Accent3 2 8 5 2" xfId="24472" xr:uid="{00000000-0005-0000-0000-0000A6110000}"/>
    <cellStyle name="20% - Accent3 2 8 6" xfId="18500" xr:uid="{00000000-0005-0000-0000-0000A7110000}"/>
    <cellStyle name="20% - Accent3 2 9" xfId="1181" xr:uid="{00000000-0005-0000-0000-0000A8110000}"/>
    <cellStyle name="20% - Accent3 2 9 2" xfId="1182" xr:uid="{00000000-0005-0000-0000-0000A9110000}"/>
    <cellStyle name="20% - Accent3 2 9 2 2" xfId="12700" xr:uid="{00000000-0005-0000-0000-0000AA110000}"/>
    <cellStyle name="20% - Accent3 2 9 2 2 2" xfId="26412" xr:uid="{00000000-0005-0000-0000-0000AB110000}"/>
    <cellStyle name="20% - Accent3 2 9 2 3" xfId="18505" xr:uid="{00000000-0005-0000-0000-0000AC110000}"/>
    <cellStyle name="20% - Accent3 2 9 3" xfId="1183" xr:uid="{00000000-0005-0000-0000-0000AD110000}"/>
    <cellStyle name="20% - Accent3 2 9 3 2" xfId="14787" xr:uid="{00000000-0005-0000-0000-0000AE110000}"/>
    <cellStyle name="20% - Accent3 2 9 3 2 2" xfId="28336" xr:uid="{00000000-0005-0000-0000-0000AF110000}"/>
    <cellStyle name="20% - Accent3 2 9 3 3" xfId="18506" xr:uid="{00000000-0005-0000-0000-0000B0110000}"/>
    <cellStyle name="20% - Accent3 2 9 4" xfId="10696" xr:uid="{00000000-0005-0000-0000-0000B1110000}"/>
    <cellStyle name="20% - Accent3 2 9 4 2" xfId="24638" xr:uid="{00000000-0005-0000-0000-0000B2110000}"/>
    <cellStyle name="20% - Accent3 2 9 5" xfId="18504" xr:uid="{00000000-0005-0000-0000-0000B3110000}"/>
    <cellStyle name="20% - Accent3 20" xfId="1184" xr:uid="{00000000-0005-0000-0000-0000B4110000}"/>
    <cellStyle name="20% - Accent3 20 2" xfId="1185" xr:uid="{00000000-0005-0000-0000-0000B5110000}"/>
    <cellStyle name="20% - Accent3 20 2 2" xfId="12415" xr:uid="{00000000-0005-0000-0000-0000B6110000}"/>
    <cellStyle name="20% - Accent3 20 2 2 2" xfId="26127" xr:uid="{00000000-0005-0000-0000-0000B7110000}"/>
    <cellStyle name="20% - Accent3 20 2 3" xfId="18508" xr:uid="{00000000-0005-0000-0000-0000B8110000}"/>
    <cellStyle name="20% - Accent3 20 3" xfId="1186" xr:uid="{00000000-0005-0000-0000-0000B9110000}"/>
    <cellStyle name="20% - Accent3 20 3 2" xfId="14788" xr:uid="{00000000-0005-0000-0000-0000BA110000}"/>
    <cellStyle name="20% - Accent3 20 3 2 2" xfId="28337" xr:uid="{00000000-0005-0000-0000-0000BB110000}"/>
    <cellStyle name="20% - Accent3 20 3 3" xfId="18509" xr:uid="{00000000-0005-0000-0000-0000BC110000}"/>
    <cellStyle name="20% - Accent3 20 4" xfId="10505" xr:uid="{00000000-0005-0000-0000-0000BD110000}"/>
    <cellStyle name="20% - Accent3 20 4 2" xfId="24453" xr:uid="{00000000-0005-0000-0000-0000BE110000}"/>
    <cellStyle name="20% - Accent3 20 5" xfId="18507" xr:uid="{00000000-0005-0000-0000-0000BF110000}"/>
    <cellStyle name="20% - Accent3 21" xfId="1187" xr:uid="{00000000-0005-0000-0000-0000C0110000}"/>
    <cellStyle name="20% - Accent3 21 2" xfId="1188" xr:uid="{00000000-0005-0000-0000-0000C1110000}"/>
    <cellStyle name="20% - Accent3 21 2 2" xfId="12643" xr:uid="{00000000-0005-0000-0000-0000C2110000}"/>
    <cellStyle name="20% - Accent3 21 2 2 2" xfId="26355" xr:uid="{00000000-0005-0000-0000-0000C3110000}"/>
    <cellStyle name="20% - Accent3 21 2 3" xfId="18511" xr:uid="{00000000-0005-0000-0000-0000C4110000}"/>
    <cellStyle name="20% - Accent3 21 3" xfId="1189" xr:uid="{00000000-0005-0000-0000-0000C5110000}"/>
    <cellStyle name="20% - Accent3 21 3 2" xfId="14789" xr:uid="{00000000-0005-0000-0000-0000C6110000}"/>
    <cellStyle name="20% - Accent3 21 3 2 2" xfId="28338" xr:uid="{00000000-0005-0000-0000-0000C7110000}"/>
    <cellStyle name="20% - Accent3 21 3 3" xfId="18512" xr:uid="{00000000-0005-0000-0000-0000C8110000}"/>
    <cellStyle name="20% - Accent3 21 4" xfId="10685" xr:uid="{00000000-0005-0000-0000-0000C9110000}"/>
    <cellStyle name="20% - Accent3 21 4 2" xfId="24627" xr:uid="{00000000-0005-0000-0000-0000CA110000}"/>
    <cellStyle name="20% - Accent3 21 5" xfId="18510" xr:uid="{00000000-0005-0000-0000-0000CB110000}"/>
    <cellStyle name="20% - Accent3 22" xfId="1190" xr:uid="{00000000-0005-0000-0000-0000CC110000}"/>
    <cellStyle name="20% - Accent3 22 2" xfId="11741" xr:uid="{00000000-0005-0000-0000-0000CD110000}"/>
    <cellStyle name="20% - Accent3 22 2 2" xfId="25456" xr:uid="{00000000-0005-0000-0000-0000CE110000}"/>
    <cellStyle name="20% - Accent3 22 3" xfId="18513" xr:uid="{00000000-0005-0000-0000-0000CF110000}"/>
    <cellStyle name="20% - Accent3 23" xfId="1191" xr:uid="{00000000-0005-0000-0000-0000D0110000}"/>
    <cellStyle name="20% - Accent3 23 2" xfId="12800" xr:uid="{00000000-0005-0000-0000-0000D1110000}"/>
    <cellStyle name="20% - Accent3 23 2 2" xfId="26512" xr:uid="{00000000-0005-0000-0000-0000D2110000}"/>
    <cellStyle name="20% - Accent3 23 3" xfId="18514" xr:uid="{00000000-0005-0000-0000-0000D3110000}"/>
    <cellStyle name="20% - Accent3 24" xfId="1192" xr:uid="{00000000-0005-0000-0000-0000D4110000}"/>
    <cellStyle name="20% - Accent3 24 2" xfId="13380" xr:uid="{00000000-0005-0000-0000-0000D5110000}"/>
    <cellStyle name="20% - Accent3 24 2 2" xfId="26929" xr:uid="{00000000-0005-0000-0000-0000D6110000}"/>
    <cellStyle name="20% - Accent3 24 3" xfId="18515" xr:uid="{00000000-0005-0000-0000-0000D7110000}"/>
    <cellStyle name="20% - Accent3 25" xfId="1193" xr:uid="{00000000-0005-0000-0000-0000D8110000}"/>
    <cellStyle name="20% - Accent3 25 2" xfId="13961" xr:uid="{00000000-0005-0000-0000-0000D9110000}"/>
    <cellStyle name="20% - Accent3 25 2 2" xfId="27510" xr:uid="{00000000-0005-0000-0000-0000DA110000}"/>
    <cellStyle name="20% - Accent3 25 3" xfId="18516" xr:uid="{00000000-0005-0000-0000-0000DB110000}"/>
    <cellStyle name="20% - Accent3 26" xfId="1194" xr:uid="{00000000-0005-0000-0000-0000DC110000}"/>
    <cellStyle name="20% - Accent3 26 2" xfId="14746" xr:uid="{00000000-0005-0000-0000-0000DD110000}"/>
    <cellStyle name="20% - Accent3 26 2 2" xfId="28295" xr:uid="{00000000-0005-0000-0000-0000DE110000}"/>
    <cellStyle name="20% - Accent3 26 3" xfId="18517" xr:uid="{00000000-0005-0000-0000-0000DF110000}"/>
    <cellStyle name="20% - Accent3 27" xfId="1195" xr:uid="{00000000-0005-0000-0000-0000E0110000}"/>
    <cellStyle name="20% - Accent3 27 2" xfId="15838" xr:uid="{00000000-0005-0000-0000-0000E1110000}"/>
    <cellStyle name="20% - Accent3 27 2 2" xfId="29245" xr:uid="{00000000-0005-0000-0000-0000E2110000}"/>
    <cellStyle name="20% - Accent3 27 3" xfId="18518" xr:uid="{00000000-0005-0000-0000-0000E3110000}"/>
    <cellStyle name="20% - Accent3 28" xfId="1196" xr:uid="{00000000-0005-0000-0000-0000E4110000}"/>
    <cellStyle name="20% - Accent3 28 2" xfId="15847" xr:uid="{00000000-0005-0000-0000-0000E5110000}"/>
    <cellStyle name="20% - Accent3 28 2 2" xfId="29254" xr:uid="{00000000-0005-0000-0000-0000E6110000}"/>
    <cellStyle name="20% - Accent3 28 3" xfId="18519" xr:uid="{00000000-0005-0000-0000-0000E7110000}"/>
    <cellStyle name="20% - Accent3 29" xfId="1197" xr:uid="{00000000-0005-0000-0000-0000E8110000}"/>
    <cellStyle name="20% - Accent3 29 2" xfId="8960" xr:uid="{00000000-0005-0000-0000-0000E9110000}"/>
    <cellStyle name="20% - Accent3 29 2 2" xfId="23435" xr:uid="{00000000-0005-0000-0000-0000EA110000}"/>
    <cellStyle name="20% - Accent3 29 3" xfId="18520" xr:uid="{00000000-0005-0000-0000-0000EB110000}"/>
    <cellStyle name="20% - Accent3 3" xfId="1198" xr:uid="{00000000-0005-0000-0000-0000EC110000}"/>
    <cellStyle name="20% - Accent3 3 10" xfId="1199" xr:uid="{00000000-0005-0000-0000-0000ED110000}"/>
    <cellStyle name="20% - Accent3 3 10 2" xfId="14043" xr:uid="{00000000-0005-0000-0000-0000EE110000}"/>
    <cellStyle name="20% - Accent3 3 10 2 2" xfId="27592" xr:uid="{00000000-0005-0000-0000-0000EF110000}"/>
    <cellStyle name="20% - Accent3 3 10 3" xfId="18522" xr:uid="{00000000-0005-0000-0000-0000F0110000}"/>
    <cellStyle name="20% - Accent3 3 11" xfId="1200" xr:uid="{00000000-0005-0000-0000-0000F1110000}"/>
    <cellStyle name="20% - Accent3 3 11 2" xfId="14790" xr:uid="{00000000-0005-0000-0000-0000F2110000}"/>
    <cellStyle name="20% - Accent3 3 11 2 2" xfId="28339" xr:uid="{00000000-0005-0000-0000-0000F3110000}"/>
    <cellStyle name="20% - Accent3 3 11 3" xfId="18523" xr:uid="{00000000-0005-0000-0000-0000F4110000}"/>
    <cellStyle name="20% - Accent3 3 12" xfId="1201" xr:uid="{00000000-0005-0000-0000-0000F5110000}"/>
    <cellStyle name="20% - Accent3 3 12 2" xfId="15929" xr:uid="{00000000-0005-0000-0000-0000F6110000}"/>
    <cellStyle name="20% - Accent3 3 12 2 2" xfId="29336" xr:uid="{00000000-0005-0000-0000-0000F7110000}"/>
    <cellStyle name="20% - Accent3 3 12 3" xfId="18524" xr:uid="{00000000-0005-0000-0000-0000F8110000}"/>
    <cellStyle name="20% - Accent3 3 13" xfId="8990" xr:uid="{00000000-0005-0000-0000-0000F9110000}"/>
    <cellStyle name="20% - Accent3 3 13 2" xfId="23465" xr:uid="{00000000-0005-0000-0000-0000FA110000}"/>
    <cellStyle name="20% - Accent3 3 14" xfId="18521" xr:uid="{00000000-0005-0000-0000-0000FB110000}"/>
    <cellStyle name="20% - Accent3 3 2" xfId="1202" xr:uid="{00000000-0005-0000-0000-0000FC110000}"/>
    <cellStyle name="20% - Accent3 3 2 10" xfId="1203" xr:uid="{00000000-0005-0000-0000-0000FD110000}"/>
    <cellStyle name="20% - Accent3 3 2 10 2" xfId="16072" xr:uid="{00000000-0005-0000-0000-0000FE110000}"/>
    <cellStyle name="20% - Accent3 3 2 10 2 2" xfId="29479" xr:uid="{00000000-0005-0000-0000-0000FF110000}"/>
    <cellStyle name="20% - Accent3 3 2 10 3" xfId="18526" xr:uid="{00000000-0005-0000-0000-000000120000}"/>
    <cellStyle name="20% - Accent3 3 2 11" xfId="8991" xr:uid="{00000000-0005-0000-0000-000001120000}"/>
    <cellStyle name="20% - Accent3 3 2 11 2" xfId="23466" xr:uid="{00000000-0005-0000-0000-000002120000}"/>
    <cellStyle name="20% - Accent3 3 2 12" xfId="18525" xr:uid="{00000000-0005-0000-0000-000003120000}"/>
    <cellStyle name="20% - Accent3 3 2 2" xfId="1204" xr:uid="{00000000-0005-0000-0000-000004120000}"/>
    <cellStyle name="20% - Accent3 3 2 2 10" xfId="8992" xr:uid="{00000000-0005-0000-0000-000005120000}"/>
    <cellStyle name="20% - Accent3 3 2 2 10 2" xfId="23467" xr:uid="{00000000-0005-0000-0000-000006120000}"/>
    <cellStyle name="20% - Accent3 3 2 2 11" xfId="18527" xr:uid="{00000000-0005-0000-0000-000007120000}"/>
    <cellStyle name="20% - Accent3 3 2 2 2" xfId="1205" xr:uid="{00000000-0005-0000-0000-000008120000}"/>
    <cellStyle name="20% - Accent3 3 2 2 2 2" xfId="1206" xr:uid="{00000000-0005-0000-0000-000009120000}"/>
    <cellStyle name="20% - Accent3 3 2 2 2 2 2" xfId="10718" xr:uid="{00000000-0005-0000-0000-00000A120000}"/>
    <cellStyle name="20% - Accent3 3 2 2 2 2 2 2" xfId="24660" xr:uid="{00000000-0005-0000-0000-00000B120000}"/>
    <cellStyle name="20% - Accent3 3 2 2 2 2 3" xfId="18529" xr:uid="{00000000-0005-0000-0000-00000C120000}"/>
    <cellStyle name="20% - Accent3 3 2 2 2 3" xfId="1207" xr:uid="{00000000-0005-0000-0000-00000D120000}"/>
    <cellStyle name="20% - Accent3 3 2 2 2 3 2" xfId="12527" xr:uid="{00000000-0005-0000-0000-00000E120000}"/>
    <cellStyle name="20% - Accent3 3 2 2 2 3 2 2" xfId="26239" xr:uid="{00000000-0005-0000-0000-00000F120000}"/>
    <cellStyle name="20% - Accent3 3 2 2 2 3 3" xfId="18530" xr:uid="{00000000-0005-0000-0000-000010120000}"/>
    <cellStyle name="20% - Accent3 3 2 2 2 4" xfId="1208" xr:uid="{00000000-0005-0000-0000-000011120000}"/>
    <cellStyle name="20% - Accent3 3 2 2 2 4 2" xfId="14793" xr:uid="{00000000-0005-0000-0000-000012120000}"/>
    <cellStyle name="20% - Accent3 3 2 2 2 4 2 2" xfId="28342" xr:uid="{00000000-0005-0000-0000-000013120000}"/>
    <cellStyle name="20% - Accent3 3 2 2 2 4 3" xfId="18531" xr:uid="{00000000-0005-0000-0000-000014120000}"/>
    <cellStyle name="20% - Accent3 3 2 2 2 5" xfId="1209" xr:uid="{00000000-0005-0000-0000-000015120000}"/>
    <cellStyle name="20% - Accent3 3 2 2 2 5 2" xfId="16942" xr:uid="{00000000-0005-0000-0000-000016120000}"/>
    <cellStyle name="20% - Accent3 3 2 2 2 5 2 2" xfId="30349" xr:uid="{00000000-0005-0000-0000-000017120000}"/>
    <cellStyle name="20% - Accent3 3 2 2 2 5 3" xfId="18532" xr:uid="{00000000-0005-0000-0000-000018120000}"/>
    <cellStyle name="20% - Accent3 3 2 2 2 6" xfId="8993" xr:uid="{00000000-0005-0000-0000-000019120000}"/>
    <cellStyle name="20% - Accent3 3 2 2 2 6 2" xfId="23468" xr:uid="{00000000-0005-0000-0000-00001A120000}"/>
    <cellStyle name="20% - Accent3 3 2 2 2 7" xfId="18528" xr:uid="{00000000-0005-0000-0000-00001B120000}"/>
    <cellStyle name="20% - Accent3 3 2 2 3" xfId="1210" xr:uid="{00000000-0005-0000-0000-00001C120000}"/>
    <cellStyle name="20% - Accent3 3 2 2 3 2" xfId="1211" xr:uid="{00000000-0005-0000-0000-00001D120000}"/>
    <cellStyle name="20% - Accent3 3 2 2 3 2 2" xfId="14794" xr:uid="{00000000-0005-0000-0000-00001E120000}"/>
    <cellStyle name="20% - Accent3 3 2 2 3 2 2 2" xfId="28343" xr:uid="{00000000-0005-0000-0000-00001F120000}"/>
    <cellStyle name="20% - Accent3 3 2 2 3 2 3" xfId="18534" xr:uid="{00000000-0005-0000-0000-000020120000}"/>
    <cellStyle name="20% - Accent3 3 2 2 3 3" xfId="10717" xr:uid="{00000000-0005-0000-0000-000021120000}"/>
    <cellStyle name="20% - Accent3 3 2 2 3 3 2" xfId="24659" xr:uid="{00000000-0005-0000-0000-000022120000}"/>
    <cellStyle name="20% - Accent3 3 2 2 3 4" xfId="18533" xr:uid="{00000000-0005-0000-0000-000023120000}"/>
    <cellStyle name="20% - Accent3 3 2 2 4" xfId="1212" xr:uid="{00000000-0005-0000-0000-000024120000}"/>
    <cellStyle name="20% - Accent3 3 2 2 4 2" xfId="12330" xr:uid="{00000000-0005-0000-0000-000025120000}"/>
    <cellStyle name="20% - Accent3 3 2 2 4 2 2" xfId="26042" xr:uid="{00000000-0005-0000-0000-000026120000}"/>
    <cellStyle name="20% - Accent3 3 2 2 4 3" xfId="18535" xr:uid="{00000000-0005-0000-0000-000027120000}"/>
    <cellStyle name="20% - Accent3 3 2 2 5" xfId="1213" xr:uid="{00000000-0005-0000-0000-000028120000}"/>
    <cellStyle name="20% - Accent3 3 2 2 5 2" xfId="12692" xr:uid="{00000000-0005-0000-0000-000029120000}"/>
    <cellStyle name="20% - Accent3 3 2 2 5 2 2" xfId="26404" xr:uid="{00000000-0005-0000-0000-00002A120000}"/>
    <cellStyle name="20% - Accent3 3 2 2 5 3" xfId="18536" xr:uid="{00000000-0005-0000-0000-00002B120000}"/>
    <cellStyle name="20% - Accent3 3 2 2 6" xfId="1214" xr:uid="{00000000-0005-0000-0000-00002C120000}"/>
    <cellStyle name="20% - Accent3 3 2 2 6 2" xfId="13894" xr:uid="{00000000-0005-0000-0000-00002D120000}"/>
    <cellStyle name="20% - Accent3 3 2 2 6 2 2" xfId="27443" xr:uid="{00000000-0005-0000-0000-00002E120000}"/>
    <cellStyle name="20% - Accent3 3 2 2 6 3" xfId="18537" xr:uid="{00000000-0005-0000-0000-00002F120000}"/>
    <cellStyle name="20% - Accent3 3 2 2 7" xfId="1215" xr:uid="{00000000-0005-0000-0000-000030120000}"/>
    <cellStyle name="20% - Accent3 3 2 2 7 2" xfId="14475" xr:uid="{00000000-0005-0000-0000-000031120000}"/>
    <cellStyle name="20% - Accent3 3 2 2 7 2 2" xfId="28024" xr:uid="{00000000-0005-0000-0000-000032120000}"/>
    <cellStyle name="20% - Accent3 3 2 2 7 3" xfId="18538" xr:uid="{00000000-0005-0000-0000-000033120000}"/>
    <cellStyle name="20% - Accent3 3 2 2 8" xfId="1216" xr:uid="{00000000-0005-0000-0000-000034120000}"/>
    <cellStyle name="20% - Accent3 3 2 2 8 2" xfId="14792" xr:uid="{00000000-0005-0000-0000-000035120000}"/>
    <cellStyle name="20% - Accent3 3 2 2 8 2 2" xfId="28341" xr:uid="{00000000-0005-0000-0000-000036120000}"/>
    <cellStyle name="20% - Accent3 3 2 2 8 3" xfId="18539" xr:uid="{00000000-0005-0000-0000-000037120000}"/>
    <cellStyle name="20% - Accent3 3 2 2 9" xfId="1217" xr:uid="{00000000-0005-0000-0000-000038120000}"/>
    <cellStyle name="20% - Accent3 3 2 2 9 2" xfId="16361" xr:uid="{00000000-0005-0000-0000-000039120000}"/>
    <cellStyle name="20% - Accent3 3 2 2 9 2 2" xfId="29768" xr:uid="{00000000-0005-0000-0000-00003A120000}"/>
    <cellStyle name="20% - Accent3 3 2 2 9 3" xfId="18540" xr:uid="{00000000-0005-0000-0000-00003B120000}"/>
    <cellStyle name="20% - Accent3 3 2 3" xfId="1218" xr:uid="{00000000-0005-0000-0000-00003C120000}"/>
    <cellStyle name="20% - Accent3 3 2 3 2" xfId="1219" xr:uid="{00000000-0005-0000-0000-00003D120000}"/>
    <cellStyle name="20% - Accent3 3 2 3 2 2" xfId="10719" xr:uid="{00000000-0005-0000-0000-00003E120000}"/>
    <cellStyle name="20% - Accent3 3 2 3 2 2 2" xfId="24661" xr:uid="{00000000-0005-0000-0000-00003F120000}"/>
    <cellStyle name="20% - Accent3 3 2 3 2 3" xfId="18542" xr:uid="{00000000-0005-0000-0000-000040120000}"/>
    <cellStyle name="20% - Accent3 3 2 3 3" xfId="1220" xr:uid="{00000000-0005-0000-0000-000041120000}"/>
    <cellStyle name="20% - Accent3 3 2 3 3 2" xfId="12561" xr:uid="{00000000-0005-0000-0000-000042120000}"/>
    <cellStyle name="20% - Accent3 3 2 3 3 2 2" xfId="26273" xr:uid="{00000000-0005-0000-0000-000043120000}"/>
    <cellStyle name="20% - Accent3 3 2 3 3 3" xfId="18543" xr:uid="{00000000-0005-0000-0000-000044120000}"/>
    <cellStyle name="20% - Accent3 3 2 3 4" xfId="1221" xr:uid="{00000000-0005-0000-0000-000045120000}"/>
    <cellStyle name="20% - Accent3 3 2 3 4 2" xfId="14795" xr:uid="{00000000-0005-0000-0000-000046120000}"/>
    <cellStyle name="20% - Accent3 3 2 3 4 2 2" xfId="28344" xr:uid="{00000000-0005-0000-0000-000047120000}"/>
    <cellStyle name="20% - Accent3 3 2 3 4 3" xfId="18544" xr:uid="{00000000-0005-0000-0000-000048120000}"/>
    <cellStyle name="20% - Accent3 3 2 3 5" xfId="1222" xr:uid="{00000000-0005-0000-0000-000049120000}"/>
    <cellStyle name="20% - Accent3 3 2 3 5 2" xfId="16653" xr:uid="{00000000-0005-0000-0000-00004A120000}"/>
    <cellStyle name="20% - Accent3 3 2 3 5 2 2" xfId="30060" xr:uid="{00000000-0005-0000-0000-00004B120000}"/>
    <cellStyle name="20% - Accent3 3 2 3 5 3" xfId="18545" xr:uid="{00000000-0005-0000-0000-00004C120000}"/>
    <cellStyle name="20% - Accent3 3 2 3 6" xfId="8994" xr:uid="{00000000-0005-0000-0000-00004D120000}"/>
    <cellStyle name="20% - Accent3 3 2 3 6 2" xfId="23469" xr:uid="{00000000-0005-0000-0000-00004E120000}"/>
    <cellStyle name="20% - Accent3 3 2 3 7" xfId="18541" xr:uid="{00000000-0005-0000-0000-00004F120000}"/>
    <cellStyle name="20% - Accent3 3 2 4" xfId="1223" xr:uid="{00000000-0005-0000-0000-000050120000}"/>
    <cellStyle name="20% - Accent3 3 2 4 2" xfId="1224" xr:uid="{00000000-0005-0000-0000-000051120000}"/>
    <cellStyle name="20% - Accent3 3 2 4 2 2" xfId="14796" xr:uid="{00000000-0005-0000-0000-000052120000}"/>
    <cellStyle name="20% - Accent3 3 2 4 2 2 2" xfId="28345" xr:uid="{00000000-0005-0000-0000-000053120000}"/>
    <cellStyle name="20% - Accent3 3 2 4 2 3" xfId="18547" xr:uid="{00000000-0005-0000-0000-000054120000}"/>
    <cellStyle name="20% - Accent3 3 2 4 3" xfId="10716" xr:uid="{00000000-0005-0000-0000-000055120000}"/>
    <cellStyle name="20% - Accent3 3 2 4 3 2" xfId="24658" xr:uid="{00000000-0005-0000-0000-000056120000}"/>
    <cellStyle name="20% - Accent3 3 2 4 4" xfId="18546" xr:uid="{00000000-0005-0000-0000-000057120000}"/>
    <cellStyle name="20% - Accent3 3 2 5" xfId="1225" xr:uid="{00000000-0005-0000-0000-000058120000}"/>
    <cellStyle name="20% - Accent3 3 2 5 2" xfId="12030" xr:uid="{00000000-0005-0000-0000-000059120000}"/>
    <cellStyle name="20% - Accent3 3 2 5 2 2" xfId="25745" xr:uid="{00000000-0005-0000-0000-00005A120000}"/>
    <cellStyle name="20% - Accent3 3 2 5 3" xfId="18548" xr:uid="{00000000-0005-0000-0000-00005B120000}"/>
    <cellStyle name="20% - Accent3 3 2 6" xfId="1226" xr:uid="{00000000-0005-0000-0000-00005C120000}"/>
    <cellStyle name="20% - Accent3 3 2 6 2" xfId="12471" xr:uid="{00000000-0005-0000-0000-00005D120000}"/>
    <cellStyle name="20% - Accent3 3 2 6 2 2" xfId="26183" xr:uid="{00000000-0005-0000-0000-00005E120000}"/>
    <cellStyle name="20% - Accent3 3 2 6 3" xfId="18549" xr:uid="{00000000-0005-0000-0000-00005F120000}"/>
    <cellStyle name="20% - Accent3 3 2 7" xfId="1227" xr:uid="{00000000-0005-0000-0000-000060120000}"/>
    <cellStyle name="20% - Accent3 3 2 7 2" xfId="13605" xr:uid="{00000000-0005-0000-0000-000061120000}"/>
    <cellStyle name="20% - Accent3 3 2 7 2 2" xfId="27154" xr:uid="{00000000-0005-0000-0000-000062120000}"/>
    <cellStyle name="20% - Accent3 3 2 7 3" xfId="18550" xr:uid="{00000000-0005-0000-0000-000063120000}"/>
    <cellStyle name="20% - Accent3 3 2 8" xfId="1228" xr:uid="{00000000-0005-0000-0000-000064120000}"/>
    <cellStyle name="20% - Accent3 3 2 8 2" xfId="14186" xr:uid="{00000000-0005-0000-0000-000065120000}"/>
    <cellStyle name="20% - Accent3 3 2 8 2 2" xfId="27735" xr:uid="{00000000-0005-0000-0000-000066120000}"/>
    <cellStyle name="20% - Accent3 3 2 8 3" xfId="18551" xr:uid="{00000000-0005-0000-0000-000067120000}"/>
    <cellStyle name="20% - Accent3 3 2 9" xfId="1229" xr:uid="{00000000-0005-0000-0000-000068120000}"/>
    <cellStyle name="20% - Accent3 3 2 9 2" xfId="14791" xr:uid="{00000000-0005-0000-0000-000069120000}"/>
    <cellStyle name="20% - Accent3 3 2 9 2 2" xfId="28340" xr:uid="{00000000-0005-0000-0000-00006A120000}"/>
    <cellStyle name="20% - Accent3 3 2 9 3" xfId="18552" xr:uid="{00000000-0005-0000-0000-00006B120000}"/>
    <cellStyle name="20% - Accent3 3 3" xfId="1230" xr:uid="{00000000-0005-0000-0000-00006C120000}"/>
    <cellStyle name="20% - Accent3 3 3 10" xfId="8995" xr:uid="{00000000-0005-0000-0000-00006D120000}"/>
    <cellStyle name="20% - Accent3 3 3 10 2" xfId="23470" xr:uid="{00000000-0005-0000-0000-00006E120000}"/>
    <cellStyle name="20% - Accent3 3 3 11" xfId="18553" xr:uid="{00000000-0005-0000-0000-00006F120000}"/>
    <cellStyle name="20% - Accent3 3 3 2" xfId="1231" xr:uid="{00000000-0005-0000-0000-000070120000}"/>
    <cellStyle name="20% - Accent3 3 3 2 2" xfId="1232" xr:uid="{00000000-0005-0000-0000-000071120000}"/>
    <cellStyle name="20% - Accent3 3 3 2 2 2" xfId="10721" xr:uid="{00000000-0005-0000-0000-000072120000}"/>
    <cellStyle name="20% - Accent3 3 3 2 2 2 2" xfId="24663" xr:uid="{00000000-0005-0000-0000-000073120000}"/>
    <cellStyle name="20% - Accent3 3 3 2 2 3" xfId="18555" xr:uid="{00000000-0005-0000-0000-000074120000}"/>
    <cellStyle name="20% - Accent3 3 3 2 3" xfId="1233" xr:uid="{00000000-0005-0000-0000-000075120000}"/>
    <cellStyle name="20% - Accent3 3 3 2 3 2" xfId="12641" xr:uid="{00000000-0005-0000-0000-000076120000}"/>
    <cellStyle name="20% - Accent3 3 3 2 3 2 2" xfId="26353" xr:uid="{00000000-0005-0000-0000-000077120000}"/>
    <cellStyle name="20% - Accent3 3 3 2 3 3" xfId="18556" xr:uid="{00000000-0005-0000-0000-000078120000}"/>
    <cellStyle name="20% - Accent3 3 3 2 4" xfId="1234" xr:uid="{00000000-0005-0000-0000-000079120000}"/>
    <cellStyle name="20% - Accent3 3 3 2 4 2" xfId="14798" xr:uid="{00000000-0005-0000-0000-00007A120000}"/>
    <cellStyle name="20% - Accent3 3 3 2 4 2 2" xfId="28347" xr:uid="{00000000-0005-0000-0000-00007B120000}"/>
    <cellStyle name="20% - Accent3 3 3 2 4 3" xfId="18557" xr:uid="{00000000-0005-0000-0000-00007C120000}"/>
    <cellStyle name="20% - Accent3 3 3 2 5" xfId="1235" xr:uid="{00000000-0005-0000-0000-00007D120000}"/>
    <cellStyle name="20% - Accent3 3 3 2 5 2" xfId="16799" xr:uid="{00000000-0005-0000-0000-00007E120000}"/>
    <cellStyle name="20% - Accent3 3 3 2 5 2 2" xfId="30206" xr:uid="{00000000-0005-0000-0000-00007F120000}"/>
    <cellStyle name="20% - Accent3 3 3 2 5 3" xfId="18558" xr:uid="{00000000-0005-0000-0000-000080120000}"/>
    <cellStyle name="20% - Accent3 3 3 2 6" xfId="8996" xr:uid="{00000000-0005-0000-0000-000081120000}"/>
    <cellStyle name="20% - Accent3 3 3 2 6 2" xfId="23471" xr:uid="{00000000-0005-0000-0000-000082120000}"/>
    <cellStyle name="20% - Accent3 3 3 2 7" xfId="18554" xr:uid="{00000000-0005-0000-0000-000083120000}"/>
    <cellStyle name="20% - Accent3 3 3 3" xfId="1236" xr:uid="{00000000-0005-0000-0000-000084120000}"/>
    <cellStyle name="20% - Accent3 3 3 3 2" xfId="1237" xr:uid="{00000000-0005-0000-0000-000085120000}"/>
    <cellStyle name="20% - Accent3 3 3 3 2 2" xfId="14799" xr:uid="{00000000-0005-0000-0000-000086120000}"/>
    <cellStyle name="20% - Accent3 3 3 3 2 2 2" xfId="28348" xr:uid="{00000000-0005-0000-0000-000087120000}"/>
    <cellStyle name="20% - Accent3 3 3 3 2 3" xfId="18560" xr:uid="{00000000-0005-0000-0000-000088120000}"/>
    <cellStyle name="20% - Accent3 3 3 3 3" xfId="10720" xr:uid="{00000000-0005-0000-0000-000089120000}"/>
    <cellStyle name="20% - Accent3 3 3 3 3 2" xfId="24662" xr:uid="{00000000-0005-0000-0000-00008A120000}"/>
    <cellStyle name="20% - Accent3 3 3 3 4" xfId="18559" xr:uid="{00000000-0005-0000-0000-00008B120000}"/>
    <cellStyle name="20% - Accent3 3 3 4" xfId="1238" xr:uid="{00000000-0005-0000-0000-00008C120000}"/>
    <cellStyle name="20% - Accent3 3 3 4 2" xfId="12187" xr:uid="{00000000-0005-0000-0000-00008D120000}"/>
    <cellStyle name="20% - Accent3 3 3 4 2 2" xfId="25899" xr:uid="{00000000-0005-0000-0000-00008E120000}"/>
    <cellStyle name="20% - Accent3 3 3 4 3" xfId="18561" xr:uid="{00000000-0005-0000-0000-00008F120000}"/>
    <cellStyle name="20% - Accent3 3 3 5" xfId="1239" xr:uid="{00000000-0005-0000-0000-000090120000}"/>
    <cellStyle name="20% - Accent3 3 3 5 2" xfId="12691" xr:uid="{00000000-0005-0000-0000-000091120000}"/>
    <cellStyle name="20% - Accent3 3 3 5 2 2" xfId="26403" xr:uid="{00000000-0005-0000-0000-000092120000}"/>
    <cellStyle name="20% - Accent3 3 3 5 3" xfId="18562" xr:uid="{00000000-0005-0000-0000-000093120000}"/>
    <cellStyle name="20% - Accent3 3 3 6" xfId="1240" xr:uid="{00000000-0005-0000-0000-000094120000}"/>
    <cellStyle name="20% - Accent3 3 3 6 2" xfId="13751" xr:uid="{00000000-0005-0000-0000-000095120000}"/>
    <cellStyle name="20% - Accent3 3 3 6 2 2" xfId="27300" xr:uid="{00000000-0005-0000-0000-000096120000}"/>
    <cellStyle name="20% - Accent3 3 3 6 3" xfId="18563" xr:uid="{00000000-0005-0000-0000-000097120000}"/>
    <cellStyle name="20% - Accent3 3 3 7" xfId="1241" xr:uid="{00000000-0005-0000-0000-000098120000}"/>
    <cellStyle name="20% - Accent3 3 3 7 2" xfId="14332" xr:uid="{00000000-0005-0000-0000-000099120000}"/>
    <cellStyle name="20% - Accent3 3 3 7 2 2" xfId="27881" xr:uid="{00000000-0005-0000-0000-00009A120000}"/>
    <cellStyle name="20% - Accent3 3 3 7 3" xfId="18564" xr:uid="{00000000-0005-0000-0000-00009B120000}"/>
    <cellStyle name="20% - Accent3 3 3 8" xfId="1242" xr:uid="{00000000-0005-0000-0000-00009C120000}"/>
    <cellStyle name="20% - Accent3 3 3 8 2" xfId="14797" xr:uid="{00000000-0005-0000-0000-00009D120000}"/>
    <cellStyle name="20% - Accent3 3 3 8 2 2" xfId="28346" xr:uid="{00000000-0005-0000-0000-00009E120000}"/>
    <cellStyle name="20% - Accent3 3 3 8 3" xfId="18565" xr:uid="{00000000-0005-0000-0000-00009F120000}"/>
    <cellStyle name="20% - Accent3 3 3 9" xfId="1243" xr:uid="{00000000-0005-0000-0000-0000A0120000}"/>
    <cellStyle name="20% - Accent3 3 3 9 2" xfId="16218" xr:uid="{00000000-0005-0000-0000-0000A1120000}"/>
    <cellStyle name="20% - Accent3 3 3 9 2 2" xfId="29625" xr:uid="{00000000-0005-0000-0000-0000A2120000}"/>
    <cellStyle name="20% - Accent3 3 3 9 3" xfId="18566" xr:uid="{00000000-0005-0000-0000-0000A3120000}"/>
    <cellStyle name="20% - Accent3 3 4" xfId="1244" xr:uid="{00000000-0005-0000-0000-0000A4120000}"/>
    <cellStyle name="20% - Accent3 3 4 2" xfId="1245" xr:uid="{00000000-0005-0000-0000-0000A5120000}"/>
    <cellStyle name="20% - Accent3 3 4 2 2" xfId="10722" xr:uid="{00000000-0005-0000-0000-0000A6120000}"/>
    <cellStyle name="20% - Accent3 3 4 2 2 2" xfId="24664" xr:uid="{00000000-0005-0000-0000-0000A7120000}"/>
    <cellStyle name="20% - Accent3 3 4 2 3" xfId="18568" xr:uid="{00000000-0005-0000-0000-0000A8120000}"/>
    <cellStyle name="20% - Accent3 3 4 3" xfId="1246" xr:uid="{00000000-0005-0000-0000-0000A9120000}"/>
    <cellStyle name="20% - Accent3 3 4 3 2" xfId="12432" xr:uid="{00000000-0005-0000-0000-0000AA120000}"/>
    <cellStyle name="20% - Accent3 3 4 3 2 2" xfId="26144" xr:uid="{00000000-0005-0000-0000-0000AB120000}"/>
    <cellStyle name="20% - Accent3 3 4 3 3" xfId="18569" xr:uid="{00000000-0005-0000-0000-0000AC120000}"/>
    <cellStyle name="20% - Accent3 3 4 4" xfId="1247" xr:uid="{00000000-0005-0000-0000-0000AD120000}"/>
    <cellStyle name="20% - Accent3 3 4 4 2" xfId="14800" xr:uid="{00000000-0005-0000-0000-0000AE120000}"/>
    <cellStyle name="20% - Accent3 3 4 4 2 2" xfId="28349" xr:uid="{00000000-0005-0000-0000-0000AF120000}"/>
    <cellStyle name="20% - Accent3 3 4 4 3" xfId="18570" xr:uid="{00000000-0005-0000-0000-0000B0120000}"/>
    <cellStyle name="20% - Accent3 3 4 5" xfId="1248" xr:uid="{00000000-0005-0000-0000-0000B1120000}"/>
    <cellStyle name="20% - Accent3 3 4 5 2" xfId="17146" xr:uid="{00000000-0005-0000-0000-0000B2120000}"/>
    <cellStyle name="20% - Accent3 3 4 5 2 2" xfId="30505" xr:uid="{00000000-0005-0000-0000-0000B3120000}"/>
    <cellStyle name="20% - Accent3 3 4 5 3" xfId="18571" xr:uid="{00000000-0005-0000-0000-0000B4120000}"/>
    <cellStyle name="20% - Accent3 3 4 6" xfId="8997" xr:uid="{00000000-0005-0000-0000-0000B5120000}"/>
    <cellStyle name="20% - Accent3 3 4 6 2" xfId="23472" xr:uid="{00000000-0005-0000-0000-0000B6120000}"/>
    <cellStyle name="20% - Accent3 3 4 7" xfId="18567" xr:uid="{00000000-0005-0000-0000-0000B7120000}"/>
    <cellStyle name="20% - Accent3 3 5" xfId="1249" xr:uid="{00000000-0005-0000-0000-0000B8120000}"/>
    <cellStyle name="20% - Accent3 3 5 2" xfId="1250" xr:uid="{00000000-0005-0000-0000-0000B9120000}"/>
    <cellStyle name="20% - Accent3 3 5 2 2" xfId="10723" xr:uid="{00000000-0005-0000-0000-0000BA120000}"/>
    <cellStyle name="20% - Accent3 3 5 2 2 2" xfId="24665" xr:uid="{00000000-0005-0000-0000-0000BB120000}"/>
    <cellStyle name="20% - Accent3 3 5 2 3" xfId="18573" xr:uid="{00000000-0005-0000-0000-0000BC120000}"/>
    <cellStyle name="20% - Accent3 3 5 3" xfId="1251" xr:uid="{00000000-0005-0000-0000-0000BD120000}"/>
    <cellStyle name="20% - Accent3 3 5 3 2" xfId="12462" xr:uid="{00000000-0005-0000-0000-0000BE120000}"/>
    <cellStyle name="20% - Accent3 3 5 3 2 2" xfId="26174" xr:uid="{00000000-0005-0000-0000-0000BF120000}"/>
    <cellStyle name="20% - Accent3 3 5 3 3" xfId="18574" xr:uid="{00000000-0005-0000-0000-0000C0120000}"/>
    <cellStyle name="20% - Accent3 3 5 4" xfId="1252" xr:uid="{00000000-0005-0000-0000-0000C1120000}"/>
    <cellStyle name="20% - Accent3 3 5 4 2" xfId="14801" xr:uid="{00000000-0005-0000-0000-0000C2120000}"/>
    <cellStyle name="20% - Accent3 3 5 4 2 2" xfId="28350" xr:uid="{00000000-0005-0000-0000-0000C3120000}"/>
    <cellStyle name="20% - Accent3 3 5 4 3" xfId="18575" xr:uid="{00000000-0005-0000-0000-0000C4120000}"/>
    <cellStyle name="20% - Accent3 3 5 5" xfId="1253" xr:uid="{00000000-0005-0000-0000-0000C5120000}"/>
    <cellStyle name="20% - Accent3 3 5 5 2" xfId="17235" xr:uid="{00000000-0005-0000-0000-0000C6120000}"/>
    <cellStyle name="20% - Accent3 3 5 5 2 2" xfId="30594" xr:uid="{00000000-0005-0000-0000-0000C7120000}"/>
    <cellStyle name="20% - Accent3 3 5 5 3" xfId="18576" xr:uid="{00000000-0005-0000-0000-0000C8120000}"/>
    <cellStyle name="20% - Accent3 3 5 6" xfId="8998" xr:uid="{00000000-0005-0000-0000-0000C9120000}"/>
    <cellStyle name="20% - Accent3 3 5 6 2" xfId="23473" xr:uid="{00000000-0005-0000-0000-0000CA120000}"/>
    <cellStyle name="20% - Accent3 3 5 7" xfId="18572" xr:uid="{00000000-0005-0000-0000-0000CB120000}"/>
    <cellStyle name="20% - Accent3 3 6" xfId="1254" xr:uid="{00000000-0005-0000-0000-0000CC120000}"/>
    <cellStyle name="20% - Accent3 3 6 2" xfId="1255" xr:uid="{00000000-0005-0000-0000-0000CD120000}"/>
    <cellStyle name="20% - Accent3 3 6 2 2" xfId="14802" xr:uid="{00000000-0005-0000-0000-0000CE120000}"/>
    <cellStyle name="20% - Accent3 3 6 2 2 2" xfId="28351" xr:uid="{00000000-0005-0000-0000-0000CF120000}"/>
    <cellStyle name="20% - Accent3 3 6 2 3" xfId="18578" xr:uid="{00000000-0005-0000-0000-0000D0120000}"/>
    <cellStyle name="20% - Accent3 3 6 3" xfId="1256" xr:uid="{00000000-0005-0000-0000-0000D1120000}"/>
    <cellStyle name="20% - Accent3 3 6 3 2" xfId="16510" xr:uid="{00000000-0005-0000-0000-0000D2120000}"/>
    <cellStyle name="20% - Accent3 3 6 3 2 2" xfId="29917" xr:uid="{00000000-0005-0000-0000-0000D3120000}"/>
    <cellStyle name="20% - Accent3 3 6 3 3" xfId="18579" xr:uid="{00000000-0005-0000-0000-0000D4120000}"/>
    <cellStyle name="20% - Accent3 3 6 4" xfId="10715" xr:uid="{00000000-0005-0000-0000-0000D5120000}"/>
    <cellStyle name="20% - Accent3 3 6 4 2" xfId="24657" xr:uid="{00000000-0005-0000-0000-0000D6120000}"/>
    <cellStyle name="20% - Accent3 3 6 5" xfId="18577" xr:uid="{00000000-0005-0000-0000-0000D7120000}"/>
    <cellStyle name="20% - Accent3 3 7" xfId="1257" xr:uid="{00000000-0005-0000-0000-0000D8120000}"/>
    <cellStyle name="20% - Accent3 3 7 2" xfId="11882" xr:uid="{00000000-0005-0000-0000-0000D9120000}"/>
    <cellStyle name="20% - Accent3 3 7 2 2" xfId="25597" xr:uid="{00000000-0005-0000-0000-0000DA120000}"/>
    <cellStyle name="20% - Accent3 3 7 3" xfId="18580" xr:uid="{00000000-0005-0000-0000-0000DB120000}"/>
    <cellStyle name="20% - Accent3 3 8" xfId="1258" xr:uid="{00000000-0005-0000-0000-0000DC120000}"/>
    <cellStyle name="20% - Accent3 3 8 2" xfId="12688" xr:uid="{00000000-0005-0000-0000-0000DD120000}"/>
    <cellStyle name="20% - Accent3 3 8 2 2" xfId="26400" xr:uid="{00000000-0005-0000-0000-0000DE120000}"/>
    <cellStyle name="20% - Accent3 3 8 3" xfId="18581" xr:uid="{00000000-0005-0000-0000-0000DF120000}"/>
    <cellStyle name="20% - Accent3 3 9" xfId="1259" xr:uid="{00000000-0005-0000-0000-0000E0120000}"/>
    <cellStyle name="20% - Accent3 3 9 2" xfId="13462" xr:uid="{00000000-0005-0000-0000-0000E1120000}"/>
    <cellStyle name="20% - Accent3 3 9 2 2" xfId="27011" xr:uid="{00000000-0005-0000-0000-0000E2120000}"/>
    <cellStyle name="20% - Accent3 3 9 3" xfId="18582" xr:uid="{00000000-0005-0000-0000-0000E3120000}"/>
    <cellStyle name="20% - Accent3 30" xfId="23253" xr:uid="{00000000-0005-0000-0000-0000E4120000}"/>
    <cellStyle name="20% - Accent3 4" xfId="1260" xr:uid="{00000000-0005-0000-0000-0000E5120000}"/>
    <cellStyle name="20% - Accent3 4 10" xfId="1261" xr:uid="{00000000-0005-0000-0000-0000E6120000}"/>
    <cellStyle name="20% - Accent3 4 10 2" xfId="14803" xr:uid="{00000000-0005-0000-0000-0000E7120000}"/>
    <cellStyle name="20% - Accent3 4 10 2 2" xfId="28352" xr:uid="{00000000-0005-0000-0000-0000E8120000}"/>
    <cellStyle name="20% - Accent3 4 10 3" xfId="18584" xr:uid="{00000000-0005-0000-0000-0000E9120000}"/>
    <cellStyle name="20% - Accent3 4 11" xfId="1262" xr:uid="{00000000-0005-0000-0000-0000EA120000}"/>
    <cellStyle name="20% - Accent3 4 11 2" xfId="15881" xr:uid="{00000000-0005-0000-0000-0000EB120000}"/>
    <cellStyle name="20% - Accent3 4 11 2 2" xfId="29288" xr:uid="{00000000-0005-0000-0000-0000EC120000}"/>
    <cellStyle name="20% - Accent3 4 11 3" xfId="18585" xr:uid="{00000000-0005-0000-0000-0000ED120000}"/>
    <cellStyle name="20% - Accent3 4 12" xfId="8999" xr:uid="{00000000-0005-0000-0000-0000EE120000}"/>
    <cellStyle name="20% - Accent3 4 12 2" xfId="23474" xr:uid="{00000000-0005-0000-0000-0000EF120000}"/>
    <cellStyle name="20% - Accent3 4 13" xfId="18583" xr:uid="{00000000-0005-0000-0000-0000F0120000}"/>
    <cellStyle name="20% - Accent3 4 2" xfId="1263" xr:uid="{00000000-0005-0000-0000-0000F1120000}"/>
    <cellStyle name="20% - Accent3 4 2 10" xfId="1264" xr:uid="{00000000-0005-0000-0000-0000F2120000}"/>
    <cellStyle name="20% - Accent3 4 2 10 2" xfId="16024" xr:uid="{00000000-0005-0000-0000-0000F3120000}"/>
    <cellStyle name="20% - Accent3 4 2 10 2 2" xfId="29431" xr:uid="{00000000-0005-0000-0000-0000F4120000}"/>
    <cellStyle name="20% - Accent3 4 2 10 3" xfId="18587" xr:uid="{00000000-0005-0000-0000-0000F5120000}"/>
    <cellStyle name="20% - Accent3 4 2 11" xfId="9000" xr:uid="{00000000-0005-0000-0000-0000F6120000}"/>
    <cellStyle name="20% - Accent3 4 2 11 2" xfId="23475" xr:uid="{00000000-0005-0000-0000-0000F7120000}"/>
    <cellStyle name="20% - Accent3 4 2 12" xfId="18586" xr:uid="{00000000-0005-0000-0000-0000F8120000}"/>
    <cellStyle name="20% - Accent3 4 2 2" xfId="1265" xr:uid="{00000000-0005-0000-0000-0000F9120000}"/>
    <cellStyle name="20% - Accent3 4 2 2 10" xfId="9001" xr:uid="{00000000-0005-0000-0000-0000FA120000}"/>
    <cellStyle name="20% - Accent3 4 2 2 10 2" xfId="23476" xr:uid="{00000000-0005-0000-0000-0000FB120000}"/>
    <cellStyle name="20% - Accent3 4 2 2 11" xfId="18588" xr:uid="{00000000-0005-0000-0000-0000FC120000}"/>
    <cellStyle name="20% - Accent3 4 2 2 2" xfId="1266" xr:uid="{00000000-0005-0000-0000-0000FD120000}"/>
    <cellStyle name="20% - Accent3 4 2 2 2 2" xfId="1267" xr:uid="{00000000-0005-0000-0000-0000FE120000}"/>
    <cellStyle name="20% - Accent3 4 2 2 2 2 2" xfId="10727" xr:uid="{00000000-0005-0000-0000-0000FF120000}"/>
    <cellStyle name="20% - Accent3 4 2 2 2 2 2 2" xfId="24669" xr:uid="{00000000-0005-0000-0000-000000130000}"/>
    <cellStyle name="20% - Accent3 4 2 2 2 2 3" xfId="18590" xr:uid="{00000000-0005-0000-0000-000001130000}"/>
    <cellStyle name="20% - Accent3 4 2 2 2 3" xfId="1268" xr:uid="{00000000-0005-0000-0000-000002130000}"/>
    <cellStyle name="20% - Accent3 4 2 2 2 3 2" xfId="11755" xr:uid="{00000000-0005-0000-0000-000003130000}"/>
    <cellStyle name="20% - Accent3 4 2 2 2 3 2 2" xfId="25470" xr:uid="{00000000-0005-0000-0000-000004130000}"/>
    <cellStyle name="20% - Accent3 4 2 2 2 3 3" xfId="18591" xr:uid="{00000000-0005-0000-0000-000005130000}"/>
    <cellStyle name="20% - Accent3 4 2 2 2 4" xfId="1269" xr:uid="{00000000-0005-0000-0000-000006130000}"/>
    <cellStyle name="20% - Accent3 4 2 2 2 4 2" xfId="14806" xr:uid="{00000000-0005-0000-0000-000007130000}"/>
    <cellStyle name="20% - Accent3 4 2 2 2 4 2 2" xfId="28355" xr:uid="{00000000-0005-0000-0000-000008130000}"/>
    <cellStyle name="20% - Accent3 4 2 2 2 4 3" xfId="18592" xr:uid="{00000000-0005-0000-0000-000009130000}"/>
    <cellStyle name="20% - Accent3 4 2 2 2 5" xfId="1270" xr:uid="{00000000-0005-0000-0000-00000A130000}"/>
    <cellStyle name="20% - Accent3 4 2 2 2 5 2" xfId="16894" xr:uid="{00000000-0005-0000-0000-00000B130000}"/>
    <cellStyle name="20% - Accent3 4 2 2 2 5 2 2" xfId="30301" xr:uid="{00000000-0005-0000-0000-00000C130000}"/>
    <cellStyle name="20% - Accent3 4 2 2 2 5 3" xfId="18593" xr:uid="{00000000-0005-0000-0000-00000D130000}"/>
    <cellStyle name="20% - Accent3 4 2 2 2 6" xfId="9002" xr:uid="{00000000-0005-0000-0000-00000E130000}"/>
    <cellStyle name="20% - Accent3 4 2 2 2 6 2" xfId="23477" xr:uid="{00000000-0005-0000-0000-00000F130000}"/>
    <cellStyle name="20% - Accent3 4 2 2 2 7" xfId="18589" xr:uid="{00000000-0005-0000-0000-000010130000}"/>
    <cellStyle name="20% - Accent3 4 2 2 3" xfId="1271" xr:uid="{00000000-0005-0000-0000-000011130000}"/>
    <cellStyle name="20% - Accent3 4 2 2 3 2" xfId="1272" xr:uid="{00000000-0005-0000-0000-000012130000}"/>
    <cellStyle name="20% - Accent3 4 2 2 3 2 2" xfId="14807" xr:uid="{00000000-0005-0000-0000-000013130000}"/>
    <cellStyle name="20% - Accent3 4 2 2 3 2 2 2" xfId="28356" xr:uid="{00000000-0005-0000-0000-000014130000}"/>
    <cellStyle name="20% - Accent3 4 2 2 3 2 3" xfId="18595" xr:uid="{00000000-0005-0000-0000-000015130000}"/>
    <cellStyle name="20% - Accent3 4 2 2 3 3" xfId="10726" xr:uid="{00000000-0005-0000-0000-000016130000}"/>
    <cellStyle name="20% - Accent3 4 2 2 3 3 2" xfId="24668" xr:uid="{00000000-0005-0000-0000-000017130000}"/>
    <cellStyle name="20% - Accent3 4 2 2 3 4" xfId="18594" xr:uid="{00000000-0005-0000-0000-000018130000}"/>
    <cellStyle name="20% - Accent3 4 2 2 4" xfId="1273" xr:uid="{00000000-0005-0000-0000-000019130000}"/>
    <cellStyle name="20% - Accent3 4 2 2 4 2" xfId="12282" xr:uid="{00000000-0005-0000-0000-00001A130000}"/>
    <cellStyle name="20% - Accent3 4 2 2 4 2 2" xfId="25994" xr:uid="{00000000-0005-0000-0000-00001B130000}"/>
    <cellStyle name="20% - Accent3 4 2 2 4 3" xfId="18596" xr:uid="{00000000-0005-0000-0000-00001C130000}"/>
    <cellStyle name="20% - Accent3 4 2 2 5" xfId="1274" xr:uid="{00000000-0005-0000-0000-00001D130000}"/>
    <cellStyle name="20% - Accent3 4 2 2 5 2" xfId="12627" xr:uid="{00000000-0005-0000-0000-00001E130000}"/>
    <cellStyle name="20% - Accent3 4 2 2 5 2 2" xfId="26339" xr:uid="{00000000-0005-0000-0000-00001F130000}"/>
    <cellStyle name="20% - Accent3 4 2 2 5 3" xfId="18597" xr:uid="{00000000-0005-0000-0000-000020130000}"/>
    <cellStyle name="20% - Accent3 4 2 2 6" xfId="1275" xr:uid="{00000000-0005-0000-0000-000021130000}"/>
    <cellStyle name="20% - Accent3 4 2 2 6 2" xfId="13846" xr:uid="{00000000-0005-0000-0000-000022130000}"/>
    <cellStyle name="20% - Accent3 4 2 2 6 2 2" xfId="27395" xr:uid="{00000000-0005-0000-0000-000023130000}"/>
    <cellStyle name="20% - Accent3 4 2 2 6 3" xfId="18598" xr:uid="{00000000-0005-0000-0000-000024130000}"/>
    <cellStyle name="20% - Accent3 4 2 2 7" xfId="1276" xr:uid="{00000000-0005-0000-0000-000025130000}"/>
    <cellStyle name="20% - Accent3 4 2 2 7 2" xfId="14427" xr:uid="{00000000-0005-0000-0000-000026130000}"/>
    <cellStyle name="20% - Accent3 4 2 2 7 2 2" xfId="27976" xr:uid="{00000000-0005-0000-0000-000027130000}"/>
    <cellStyle name="20% - Accent3 4 2 2 7 3" xfId="18599" xr:uid="{00000000-0005-0000-0000-000028130000}"/>
    <cellStyle name="20% - Accent3 4 2 2 8" xfId="1277" xr:uid="{00000000-0005-0000-0000-000029130000}"/>
    <cellStyle name="20% - Accent3 4 2 2 8 2" xfId="14805" xr:uid="{00000000-0005-0000-0000-00002A130000}"/>
    <cellStyle name="20% - Accent3 4 2 2 8 2 2" xfId="28354" xr:uid="{00000000-0005-0000-0000-00002B130000}"/>
    <cellStyle name="20% - Accent3 4 2 2 8 3" xfId="18600" xr:uid="{00000000-0005-0000-0000-00002C130000}"/>
    <cellStyle name="20% - Accent3 4 2 2 9" xfId="1278" xr:uid="{00000000-0005-0000-0000-00002D130000}"/>
    <cellStyle name="20% - Accent3 4 2 2 9 2" xfId="16313" xr:uid="{00000000-0005-0000-0000-00002E130000}"/>
    <cellStyle name="20% - Accent3 4 2 2 9 2 2" xfId="29720" xr:uid="{00000000-0005-0000-0000-00002F130000}"/>
    <cellStyle name="20% - Accent3 4 2 2 9 3" xfId="18601" xr:uid="{00000000-0005-0000-0000-000030130000}"/>
    <cellStyle name="20% - Accent3 4 2 3" xfId="1279" xr:uid="{00000000-0005-0000-0000-000031130000}"/>
    <cellStyle name="20% - Accent3 4 2 3 2" xfId="1280" xr:uid="{00000000-0005-0000-0000-000032130000}"/>
    <cellStyle name="20% - Accent3 4 2 3 2 2" xfId="10728" xr:uid="{00000000-0005-0000-0000-000033130000}"/>
    <cellStyle name="20% - Accent3 4 2 3 2 2 2" xfId="24670" xr:uid="{00000000-0005-0000-0000-000034130000}"/>
    <cellStyle name="20% - Accent3 4 2 3 2 3" xfId="18603" xr:uid="{00000000-0005-0000-0000-000035130000}"/>
    <cellStyle name="20% - Accent3 4 2 3 3" xfId="1281" xr:uid="{00000000-0005-0000-0000-000036130000}"/>
    <cellStyle name="20% - Accent3 4 2 3 3 2" xfId="12506" xr:uid="{00000000-0005-0000-0000-000037130000}"/>
    <cellStyle name="20% - Accent3 4 2 3 3 2 2" xfId="26218" xr:uid="{00000000-0005-0000-0000-000038130000}"/>
    <cellStyle name="20% - Accent3 4 2 3 3 3" xfId="18604" xr:uid="{00000000-0005-0000-0000-000039130000}"/>
    <cellStyle name="20% - Accent3 4 2 3 4" xfId="1282" xr:uid="{00000000-0005-0000-0000-00003A130000}"/>
    <cellStyle name="20% - Accent3 4 2 3 4 2" xfId="14808" xr:uid="{00000000-0005-0000-0000-00003B130000}"/>
    <cellStyle name="20% - Accent3 4 2 3 4 2 2" xfId="28357" xr:uid="{00000000-0005-0000-0000-00003C130000}"/>
    <cellStyle name="20% - Accent3 4 2 3 4 3" xfId="18605" xr:uid="{00000000-0005-0000-0000-00003D130000}"/>
    <cellStyle name="20% - Accent3 4 2 3 5" xfId="1283" xr:uid="{00000000-0005-0000-0000-00003E130000}"/>
    <cellStyle name="20% - Accent3 4 2 3 5 2" xfId="16605" xr:uid="{00000000-0005-0000-0000-00003F130000}"/>
    <cellStyle name="20% - Accent3 4 2 3 5 2 2" xfId="30012" xr:uid="{00000000-0005-0000-0000-000040130000}"/>
    <cellStyle name="20% - Accent3 4 2 3 5 3" xfId="18606" xr:uid="{00000000-0005-0000-0000-000041130000}"/>
    <cellStyle name="20% - Accent3 4 2 3 6" xfId="9003" xr:uid="{00000000-0005-0000-0000-000042130000}"/>
    <cellStyle name="20% - Accent3 4 2 3 6 2" xfId="23478" xr:uid="{00000000-0005-0000-0000-000043130000}"/>
    <cellStyle name="20% - Accent3 4 2 3 7" xfId="18602" xr:uid="{00000000-0005-0000-0000-000044130000}"/>
    <cellStyle name="20% - Accent3 4 2 4" xfId="1284" xr:uid="{00000000-0005-0000-0000-000045130000}"/>
    <cellStyle name="20% - Accent3 4 2 4 2" xfId="1285" xr:uid="{00000000-0005-0000-0000-000046130000}"/>
    <cellStyle name="20% - Accent3 4 2 4 2 2" xfId="14809" xr:uid="{00000000-0005-0000-0000-000047130000}"/>
    <cellStyle name="20% - Accent3 4 2 4 2 2 2" xfId="28358" xr:uid="{00000000-0005-0000-0000-000048130000}"/>
    <cellStyle name="20% - Accent3 4 2 4 2 3" xfId="18608" xr:uid="{00000000-0005-0000-0000-000049130000}"/>
    <cellStyle name="20% - Accent3 4 2 4 3" xfId="10725" xr:uid="{00000000-0005-0000-0000-00004A130000}"/>
    <cellStyle name="20% - Accent3 4 2 4 3 2" xfId="24667" xr:uid="{00000000-0005-0000-0000-00004B130000}"/>
    <cellStyle name="20% - Accent3 4 2 4 4" xfId="18607" xr:uid="{00000000-0005-0000-0000-00004C130000}"/>
    <cellStyle name="20% - Accent3 4 2 5" xfId="1286" xr:uid="{00000000-0005-0000-0000-00004D130000}"/>
    <cellStyle name="20% - Accent3 4 2 5 2" xfId="11982" xr:uid="{00000000-0005-0000-0000-00004E130000}"/>
    <cellStyle name="20% - Accent3 4 2 5 2 2" xfId="25697" xr:uid="{00000000-0005-0000-0000-00004F130000}"/>
    <cellStyle name="20% - Accent3 4 2 5 3" xfId="18609" xr:uid="{00000000-0005-0000-0000-000050130000}"/>
    <cellStyle name="20% - Accent3 4 2 6" xfId="1287" xr:uid="{00000000-0005-0000-0000-000051130000}"/>
    <cellStyle name="20% - Accent3 4 2 6 2" xfId="12736" xr:uid="{00000000-0005-0000-0000-000052130000}"/>
    <cellStyle name="20% - Accent3 4 2 6 2 2" xfId="26448" xr:uid="{00000000-0005-0000-0000-000053130000}"/>
    <cellStyle name="20% - Accent3 4 2 6 3" xfId="18610" xr:uid="{00000000-0005-0000-0000-000054130000}"/>
    <cellStyle name="20% - Accent3 4 2 7" xfId="1288" xr:uid="{00000000-0005-0000-0000-000055130000}"/>
    <cellStyle name="20% - Accent3 4 2 7 2" xfId="13557" xr:uid="{00000000-0005-0000-0000-000056130000}"/>
    <cellStyle name="20% - Accent3 4 2 7 2 2" xfId="27106" xr:uid="{00000000-0005-0000-0000-000057130000}"/>
    <cellStyle name="20% - Accent3 4 2 7 3" xfId="18611" xr:uid="{00000000-0005-0000-0000-000058130000}"/>
    <cellStyle name="20% - Accent3 4 2 8" xfId="1289" xr:uid="{00000000-0005-0000-0000-000059130000}"/>
    <cellStyle name="20% - Accent3 4 2 8 2" xfId="14138" xr:uid="{00000000-0005-0000-0000-00005A130000}"/>
    <cellStyle name="20% - Accent3 4 2 8 2 2" xfId="27687" xr:uid="{00000000-0005-0000-0000-00005B130000}"/>
    <cellStyle name="20% - Accent3 4 2 8 3" xfId="18612" xr:uid="{00000000-0005-0000-0000-00005C130000}"/>
    <cellStyle name="20% - Accent3 4 2 9" xfId="1290" xr:uid="{00000000-0005-0000-0000-00005D130000}"/>
    <cellStyle name="20% - Accent3 4 2 9 2" xfId="14804" xr:uid="{00000000-0005-0000-0000-00005E130000}"/>
    <cellStyle name="20% - Accent3 4 2 9 2 2" xfId="28353" xr:uid="{00000000-0005-0000-0000-00005F130000}"/>
    <cellStyle name="20% - Accent3 4 2 9 3" xfId="18613" xr:uid="{00000000-0005-0000-0000-000060130000}"/>
    <cellStyle name="20% - Accent3 4 3" xfId="1291" xr:uid="{00000000-0005-0000-0000-000061130000}"/>
    <cellStyle name="20% - Accent3 4 3 10" xfId="9004" xr:uid="{00000000-0005-0000-0000-000062130000}"/>
    <cellStyle name="20% - Accent3 4 3 10 2" xfId="23479" xr:uid="{00000000-0005-0000-0000-000063130000}"/>
    <cellStyle name="20% - Accent3 4 3 11" xfId="18614" xr:uid="{00000000-0005-0000-0000-000064130000}"/>
    <cellStyle name="20% - Accent3 4 3 2" xfId="1292" xr:uid="{00000000-0005-0000-0000-000065130000}"/>
    <cellStyle name="20% - Accent3 4 3 2 2" xfId="1293" xr:uid="{00000000-0005-0000-0000-000066130000}"/>
    <cellStyle name="20% - Accent3 4 3 2 2 2" xfId="10730" xr:uid="{00000000-0005-0000-0000-000067130000}"/>
    <cellStyle name="20% - Accent3 4 3 2 2 2 2" xfId="24672" xr:uid="{00000000-0005-0000-0000-000068130000}"/>
    <cellStyle name="20% - Accent3 4 3 2 2 3" xfId="18616" xr:uid="{00000000-0005-0000-0000-000069130000}"/>
    <cellStyle name="20% - Accent3 4 3 2 3" xfId="1294" xr:uid="{00000000-0005-0000-0000-00006A130000}"/>
    <cellStyle name="20% - Accent3 4 3 2 3 2" xfId="12619" xr:uid="{00000000-0005-0000-0000-00006B130000}"/>
    <cellStyle name="20% - Accent3 4 3 2 3 2 2" xfId="26331" xr:uid="{00000000-0005-0000-0000-00006C130000}"/>
    <cellStyle name="20% - Accent3 4 3 2 3 3" xfId="18617" xr:uid="{00000000-0005-0000-0000-00006D130000}"/>
    <cellStyle name="20% - Accent3 4 3 2 4" xfId="1295" xr:uid="{00000000-0005-0000-0000-00006E130000}"/>
    <cellStyle name="20% - Accent3 4 3 2 4 2" xfId="14811" xr:uid="{00000000-0005-0000-0000-00006F130000}"/>
    <cellStyle name="20% - Accent3 4 3 2 4 2 2" xfId="28360" xr:uid="{00000000-0005-0000-0000-000070130000}"/>
    <cellStyle name="20% - Accent3 4 3 2 4 3" xfId="18618" xr:uid="{00000000-0005-0000-0000-000071130000}"/>
    <cellStyle name="20% - Accent3 4 3 2 5" xfId="1296" xr:uid="{00000000-0005-0000-0000-000072130000}"/>
    <cellStyle name="20% - Accent3 4 3 2 5 2" xfId="16754" xr:uid="{00000000-0005-0000-0000-000073130000}"/>
    <cellStyle name="20% - Accent3 4 3 2 5 2 2" xfId="30161" xr:uid="{00000000-0005-0000-0000-000074130000}"/>
    <cellStyle name="20% - Accent3 4 3 2 5 3" xfId="18619" xr:uid="{00000000-0005-0000-0000-000075130000}"/>
    <cellStyle name="20% - Accent3 4 3 2 6" xfId="9005" xr:uid="{00000000-0005-0000-0000-000076130000}"/>
    <cellStyle name="20% - Accent3 4 3 2 6 2" xfId="23480" xr:uid="{00000000-0005-0000-0000-000077130000}"/>
    <cellStyle name="20% - Accent3 4 3 2 7" xfId="18615" xr:uid="{00000000-0005-0000-0000-000078130000}"/>
    <cellStyle name="20% - Accent3 4 3 3" xfId="1297" xr:uid="{00000000-0005-0000-0000-000079130000}"/>
    <cellStyle name="20% - Accent3 4 3 3 2" xfId="1298" xr:uid="{00000000-0005-0000-0000-00007A130000}"/>
    <cellStyle name="20% - Accent3 4 3 3 2 2" xfId="14812" xr:uid="{00000000-0005-0000-0000-00007B130000}"/>
    <cellStyle name="20% - Accent3 4 3 3 2 2 2" xfId="28361" xr:uid="{00000000-0005-0000-0000-00007C130000}"/>
    <cellStyle name="20% - Accent3 4 3 3 2 3" xfId="18621" xr:uid="{00000000-0005-0000-0000-00007D130000}"/>
    <cellStyle name="20% - Accent3 4 3 3 3" xfId="10729" xr:uid="{00000000-0005-0000-0000-00007E130000}"/>
    <cellStyle name="20% - Accent3 4 3 3 3 2" xfId="24671" xr:uid="{00000000-0005-0000-0000-00007F130000}"/>
    <cellStyle name="20% - Accent3 4 3 3 4" xfId="18620" xr:uid="{00000000-0005-0000-0000-000080130000}"/>
    <cellStyle name="20% - Accent3 4 3 4" xfId="1299" xr:uid="{00000000-0005-0000-0000-000081130000}"/>
    <cellStyle name="20% - Accent3 4 3 4 2" xfId="12142" xr:uid="{00000000-0005-0000-0000-000082130000}"/>
    <cellStyle name="20% - Accent3 4 3 4 2 2" xfId="25854" xr:uid="{00000000-0005-0000-0000-000083130000}"/>
    <cellStyle name="20% - Accent3 4 3 4 3" xfId="18622" xr:uid="{00000000-0005-0000-0000-000084130000}"/>
    <cellStyle name="20% - Accent3 4 3 5" xfId="1300" xr:uid="{00000000-0005-0000-0000-000085130000}"/>
    <cellStyle name="20% - Accent3 4 3 5 2" xfId="12723" xr:uid="{00000000-0005-0000-0000-000086130000}"/>
    <cellStyle name="20% - Accent3 4 3 5 2 2" xfId="26435" xr:uid="{00000000-0005-0000-0000-000087130000}"/>
    <cellStyle name="20% - Accent3 4 3 5 3" xfId="18623" xr:uid="{00000000-0005-0000-0000-000088130000}"/>
    <cellStyle name="20% - Accent3 4 3 6" xfId="1301" xr:uid="{00000000-0005-0000-0000-000089130000}"/>
    <cellStyle name="20% - Accent3 4 3 6 2" xfId="13706" xr:uid="{00000000-0005-0000-0000-00008A130000}"/>
    <cellStyle name="20% - Accent3 4 3 6 2 2" xfId="27255" xr:uid="{00000000-0005-0000-0000-00008B130000}"/>
    <cellStyle name="20% - Accent3 4 3 6 3" xfId="18624" xr:uid="{00000000-0005-0000-0000-00008C130000}"/>
    <cellStyle name="20% - Accent3 4 3 7" xfId="1302" xr:uid="{00000000-0005-0000-0000-00008D130000}"/>
    <cellStyle name="20% - Accent3 4 3 7 2" xfId="14287" xr:uid="{00000000-0005-0000-0000-00008E130000}"/>
    <cellStyle name="20% - Accent3 4 3 7 2 2" xfId="27836" xr:uid="{00000000-0005-0000-0000-00008F130000}"/>
    <cellStyle name="20% - Accent3 4 3 7 3" xfId="18625" xr:uid="{00000000-0005-0000-0000-000090130000}"/>
    <cellStyle name="20% - Accent3 4 3 8" xfId="1303" xr:uid="{00000000-0005-0000-0000-000091130000}"/>
    <cellStyle name="20% - Accent3 4 3 8 2" xfId="14810" xr:uid="{00000000-0005-0000-0000-000092130000}"/>
    <cellStyle name="20% - Accent3 4 3 8 2 2" xfId="28359" xr:uid="{00000000-0005-0000-0000-000093130000}"/>
    <cellStyle name="20% - Accent3 4 3 8 3" xfId="18626" xr:uid="{00000000-0005-0000-0000-000094130000}"/>
    <cellStyle name="20% - Accent3 4 3 9" xfId="1304" xr:uid="{00000000-0005-0000-0000-000095130000}"/>
    <cellStyle name="20% - Accent3 4 3 9 2" xfId="16173" xr:uid="{00000000-0005-0000-0000-000096130000}"/>
    <cellStyle name="20% - Accent3 4 3 9 2 2" xfId="29580" xr:uid="{00000000-0005-0000-0000-000097130000}"/>
    <cellStyle name="20% - Accent3 4 3 9 3" xfId="18627" xr:uid="{00000000-0005-0000-0000-000098130000}"/>
    <cellStyle name="20% - Accent3 4 4" xfId="1305" xr:uid="{00000000-0005-0000-0000-000099130000}"/>
    <cellStyle name="20% - Accent3 4 4 2" xfId="1306" xr:uid="{00000000-0005-0000-0000-00009A130000}"/>
    <cellStyle name="20% - Accent3 4 4 2 2" xfId="10731" xr:uid="{00000000-0005-0000-0000-00009B130000}"/>
    <cellStyle name="20% - Accent3 4 4 2 2 2" xfId="24673" xr:uid="{00000000-0005-0000-0000-00009C130000}"/>
    <cellStyle name="20% - Accent3 4 4 2 3" xfId="18629" xr:uid="{00000000-0005-0000-0000-00009D130000}"/>
    <cellStyle name="20% - Accent3 4 4 3" xfId="1307" xr:uid="{00000000-0005-0000-0000-00009E130000}"/>
    <cellStyle name="20% - Accent3 4 4 3 2" xfId="12479" xr:uid="{00000000-0005-0000-0000-00009F130000}"/>
    <cellStyle name="20% - Accent3 4 4 3 2 2" xfId="26191" xr:uid="{00000000-0005-0000-0000-0000A0130000}"/>
    <cellStyle name="20% - Accent3 4 4 3 3" xfId="18630" xr:uid="{00000000-0005-0000-0000-0000A1130000}"/>
    <cellStyle name="20% - Accent3 4 4 4" xfId="1308" xr:uid="{00000000-0005-0000-0000-0000A2130000}"/>
    <cellStyle name="20% - Accent3 4 4 4 2" xfId="14813" xr:uid="{00000000-0005-0000-0000-0000A3130000}"/>
    <cellStyle name="20% - Accent3 4 4 4 2 2" xfId="28362" xr:uid="{00000000-0005-0000-0000-0000A4130000}"/>
    <cellStyle name="20% - Accent3 4 4 4 3" xfId="18631" xr:uid="{00000000-0005-0000-0000-0000A5130000}"/>
    <cellStyle name="20% - Accent3 4 4 5" xfId="1309" xr:uid="{00000000-0005-0000-0000-0000A6130000}"/>
    <cellStyle name="20% - Accent3 4 4 5 2" xfId="16462" xr:uid="{00000000-0005-0000-0000-0000A7130000}"/>
    <cellStyle name="20% - Accent3 4 4 5 2 2" xfId="29869" xr:uid="{00000000-0005-0000-0000-0000A8130000}"/>
    <cellStyle name="20% - Accent3 4 4 5 3" xfId="18632" xr:uid="{00000000-0005-0000-0000-0000A9130000}"/>
    <cellStyle name="20% - Accent3 4 4 6" xfId="9006" xr:uid="{00000000-0005-0000-0000-0000AA130000}"/>
    <cellStyle name="20% - Accent3 4 4 6 2" xfId="23481" xr:uid="{00000000-0005-0000-0000-0000AB130000}"/>
    <cellStyle name="20% - Accent3 4 4 7" xfId="18628" xr:uid="{00000000-0005-0000-0000-0000AC130000}"/>
    <cellStyle name="20% - Accent3 4 5" xfId="1310" xr:uid="{00000000-0005-0000-0000-0000AD130000}"/>
    <cellStyle name="20% - Accent3 4 5 2" xfId="1311" xr:uid="{00000000-0005-0000-0000-0000AE130000}"/>
    <cellStyle name="20% - Accent3 4 5 2 2" xfId="14814" xr:uid="{00000000-0005-0000-0000-0000AF130000}"/>
    <cellStyle name="20% - Accent3 4 5 2 2 2" xfId="28363" xr:uid="{00000000-0005-0000-0000-0000B0130000}"/>
    <cellStyle name="20% - Accent3 4 5 2 3" xfId="18634" xr:uid="{00000000-0005-0000-0000-0000B1130000}"/>
    <cellStyle name="20% - Accent3 4 5 3" xfId="10724" xr:uid="{00000000-0005-0000-0000-0000B2130000}"/>
    <cellStyle name="20% - Accent3 4 5 3 2" xfId="24666" xr:uid="{00000000-0005-0000-0000-0000B3130000}"/>
    <cellStyle name="20% - Accent3 4 5 4" xfId="18633" xr:uid="{00000000-0005-0000-0000-0000B4130000}"/>
    <cellStyle name="20% - Accent3 4 6" xfId="1312" xr:uid="{00000000-0005-0000-0000-0000B5130000}"/>
    <cellStyle name="20% - Accent3 4 6 2" xfId="11813" xr:uid="{00000000-0005-0000-0000-0000B6130000}"/>
    <cellStyle name="20% - Accent3 4 6 2 2" xfId="25528" xr:uid="{00000000-0005-0000-0000-0000B7130000}"/>
    <cellStyle name="20% - Accent3 4 6 3" xfId="18635" xr:uid="{00000000-0005-0000-0000-0000B8130000}"/>
    <cellStyle name="20% - Accent3 4 7" xfId="1313" xr:uid="{00000000-0005-0000-0000-0000B9130000}"/>
    <cellStyle name="20% - Accent3 4 7 2" xfId="12520" xr:uid="{00000000-0005-0000-0000-0000BA130000}"/>
    <cellStyle name="20% - Accent3 4 7 2 2" xfId="26232" xr:uid="{00000000-0005-0000-0000-0000BB130000}"/>
    <cellStyle name="20% - Accent3 4 7 3" xfId="18636" xr:uid="{00000000-0005-0000-0000-0000BC130000}"/>
    <cellStyle name="20% - Accent3 4 8" xfId="1314" xr:uid="{00000000-0005-0000-0000-0000BD130000}"/>
    <cellStyle name="20% - Accent3 4 8 2" xfId="13414" xr:uid="{00000000-0005-0000-0000-0000BE130000}"/>
    <cellStyle name="20% - Accent3 4 8 2 2" xfId="26963" xr:uid="{00000000-0005-0000-0000-0000BF130000}"/>
    <cellStyle name="20% - Accent3 4 8 3" xfId="18637" xr:uid="{00000000-0005-0000-0000-0000C0130000}"/>
    <cellStyle name="20% - Accent3 4 9" xfId="1315" xr:uid="{00000000-0005-0000-0000-0000C1130000}"/>
    <cellStyle name="20% - Accent3 4 9 2" xfId="13995" xr:uid="{00000000-0005-0000-0000-0000C2130000}"/>
    <cellStyle name="20% - Accent3 4 9 2 2" xfId="27544" xr:uid="{00000000-0005-0000-0000-0000C3130000}"/>
    <cellStyle name="20% - Accent3 4 9 3" xfId="18638" xr:uid="{00000000-0005-0000-0000-0000C4130000}"/>
    <cellStyle name="20% - Accent3 5" xfId="1316" xr:uid="{00000000-0005-0000-0000-0000C5130000}"/>
    <cellStyle name="20% - Accent3 5 10" xfId="1317" xr:uid="{00000000-0005-0000-0000-0000C6130000}"/>
    <cellStyle name="20% - Accent3 5 10 2" xfId="14815" xr:uid="{00000000-0005-0000-0000-0000C7130000}"/>
    <cellStyle name="20% - Accent3 5 10 2 2" xfId="28364" xr:uid="{00000000-0005-0000-0000-0000C8130000}"/>
    <cellStyle name="20% - Accent3 5 10 3" xfId="18640" xr:uid="{00000000-0005-0000-0000-0000C9130000}"/>
    <cellStyle name="20% - Accent3 5 11" xfId="1318" xr:uid="{00000000-0005-0000-0000-0000CA130000}"/>
    <cellStyle name="20% - Accent3 5 11 2" xfId="15864" xr:uid="{00000000-0005-0000-0000-0000CB130000}"/>
    <cellStyle name="20% - Accent3 5 11 2 2" xfId="29271" xr:uid="{00000000-0005-0000-0000-0000CC130000}"/>
    <cellStyle name="20% - Accent3 5 11 3" xfId="18641" xr:uid="{00000000-0005-0000-0000-0000CD130000}"/>
    <cellStyle name="20% - Accent3 5 12" xfId="9007" xr:uid="{00000000-0005-0000-0000-0000CE130000}"/>
    <cellStyle name="20% - Accent3 5 12 2" xfId="23482" xr:uid="{00000000-0005-0000-0000-0000CF130000}"/>
    <cellStyle name="20% - Accent3 5 13" xfId="18639" xr:uid="{00000000-0005-0000-0000-0000D0130000}"/>
    <cellStyle name="20% - Accent3 5 2" xfId="1319" xr:uid="{00000000-0005-0000-0000-0000D1130000}"/>
    <cellStyle name="20% - Accent3 5 2 10" xfId="1320" xr:uid="{00000000-0005-0000-0000-0000D2130000}"/>
    <cellStyle name="20% - Accent3 5 2 10 2" xfId="16007" xr:uid="{00000000-0005-0000-0000-0000D3130000}"/>
    <cellStyle name="20% - Accent3 5 2 10 2 2" xfId="29414" xr:uid="{00000000-0005-0000-0000-0000D4130000}"/>
    <cellStyle name="20% - Accent3 5 2 10 3" xfId="18643" xr:uid="{00000000-0005-0000-0000-0000D5130000}"/>
    <cellStyle name="20% - Accent3 5 2 11" xfId="9008" xr:uid="{00000000-0005-0000-0000-0000D6130000}"/>
    <cellStyle name="20% - Accent3 5 2 11 2" xfId="23483" xr:uid="{00000000-0005-0000-0000-0000D7130000}"/>
    <cellStyle name="20% - Accent3 5 2 12" xfId="18642" xr:uid="{00000000-0005-0000-0000-0000D8130000}"/>
    <cellStyle name="20% - Accent3 5 2 2" xfId="1321" xr:uid="{00000000-0005-0000-0000-0000D9130000}"/>
    <cellStyle name="20% - Accent3 5 2 2 10" xfId="9009" xr:uid="{00000000-0005-0000-0000-0000DA130000}"/>
    <cellStyle name="20% - Accent3 5 2 2 10 2" xfId="23484" xr:uid="{00000000-0005-0000-0000-0000DB130000}"/>
    <cellStyle name="20% - Accent3 5 2 2 11" xfId="18644" xr:uid="{00000000-0005-0000-0000-0000DC130000}"/>
    <cellStyle name="20% - Accent3 5 2 2 2" xfId="1322" xr:uid="{00000000-0005-0000-0000-0000DD130000}"/>
    <cellStyle name="20% - Accent3 5 2 2 2 2" xfId="1323" xr:uid="{00000000-0005-0000-0000-0000DE130000}"/>
    <cellStyle name="20% - Accent3 5 2 2 2 2 2" xfId="10735" xr:uid="{00000000-0005-0000-0000-0000DF130000}"/>
    <cellStyle name="20% - Accent3 5 2 2 2 2 2 2" xfId="24677" xr:uid="{00000000-0005-0000-0000-0000E0130000}"/>
    <cellStyle name="20% - Accent3 5 2 2 2 2 3" xfId="18646" xr:uid="{00000000-0005-0000-0000-0000E1130000}"/>
    <cellStyle name="20% - Accent3 5 2 2 2 3" xfId="1324" xr:uid="{00000000-0005-0000-0000-0000E2130000}"/>
    <cellStyle name="20% - Accent3 5 2 2 2 3 2" xfId="12496" xr:uid="{00000000-0005-0000-0000-0000E3130000}"/>
    <cellStyle name="20% - Accent3 5 2 2 2 3 2 2" xfId="26208" xr:uid="{00000000-0005-0000-0000-0000E4130000}"/>
    <cellStyle name="20% - Accent3 5 2 2 2 3 3" xfId="18647" xr:uid="{00000000-0005-0000-0000-0000E5130000}"/>
    <cellStyle name="20% - Accent3 5 2 2 2 4" xfId="1325" xr:uid="{00000000-0005-0000-0000-0000E6130000}"/>
    <cellStyle name="20% - Accent3 5 2 2 2 4 2" xfId="14818" xr:uid="{00000000-0005-0000-0000-0000E7130000}"/>
    <cellStyle name="20% - Accent3 5 2 2 2 4 2 2" xfId="28367" xr:uid="{00000000-0005-0000-0000-0000E8130000}"/>
    <cellStyle name="20% - Accent3 5 2 2 2 4 3" xfId="18648" xr:uid="{00000000-0005-0000-0000-0000E9130000}"/>
    <cellStyle name="20% - Accent3 5 2 2 2 5" xfId="1326" xr:uid="{00000000-0005-0000-0000-0000EA130000}"/>
    <cellStyle name="20% - Accent3 5 2 2 2 5 2" xfId="16877" xr:uid="{00000000-0005-0000-0000-0000EB130000}"/>
    <cellStyle name="20% - Accent3 5 2 2 2 5 2 2" xfId="30284" xr:uid="{00000000-0005-0000-0000-0000EC130000}"/>
    <cellStyle name="20% - Accent3 5 2 2 2 5 3" xfId="18649" xr:uid="{00000000-0005-0000-0000-0000ED130000}"/>
    <cellStyle name="20% - Accent3 5 2 2 2 6" xfId="9010" xr:uid="{00000000-0005-0000-0000-0000EE130000}"/>
    <cellStyle name="20% - Accent3 5 2 2 2 6 2" xfId="23485" xr:uid="{00000000-0005-0000-0000-0000EF130000}"/>
    <cellStyle name="20% - Accent3 5 2 2 2 7" xfId="18645" xr:uid="{00000000-0005-0000-0000-0000F0130000}"/>
    <cellStyle name="20% - Accent3 5 2 2 3" xfId="1327" xr:uid="{00000000-0005-0000-0000-0000F1130000}"/>
    <cellStyle name="20% - Accent3 5 2 2 3 2" xfId="1328" xr:uid="{00000000-0005-0000-0000-0000F2130000}"/>
    <cellStyle name="20% - Accent3 5 2 2 3 2 2" xfId="14819" xr:uid="{00000000-0005-0000-0000-0000F3130000}"/>
    <cellStyle name="20% - Accent3 5 2 2 3 2 2 2" xfId="28368" xr:uid="{00000000-0005-0000-0000-0000F4130000}"/>
    <cellStyle name="20% - Accent3 5 2 2 3 2 3" xfId="18651" xr:uid="{00000000-0005-0000-0000-0000F5130000}"/>
    <cellStyle name="20% - Accent3 5 2 2 3 3" xfId="10734" xr:uid="{00000000-0005-0000-0000-0000F6130000}"/>
    <cellStyle name="20% - Accent3 5 2 2 3 3 2" xfId="24676" xr:uid="{00000000-0005-0000-0000-0000F7130000}"/>
    <cellStyle name="20% - Accent3 5 2 2 3 4" xfId="18650" xr:uid="{00000000-0005-0000-0000-0000F8130000}"/>
    <cellStyle name="20% - Accent3 5 2 2 4" xfId="1329" xr:uid="{00000000-0005-0000-0000-0000F9130000}"/>
    <cellStyle name="20% - Accent3 5 2 2 4 2" xfId="12265" xr:uid="{00000000-0005-0000-0000-0000FA130000}"/>
    <cellStyle name="20% - Accent3 5 2 2 4 2 2" xfId="25977" xr:uid="{00000000-0005-0000-0000-0000FB130000}"/>
    <cellStyle name="20% - Accent3 5 2 2 4 3" xfId="18652" xr:uid="{00000000-0005-0000-0000-0000FC130000}"/>
    <cellStyle name="20% - Accent3 5 2 2 5" xfId="1330" xr:uid="{00000000-0005-0000-0000-0000FD130000}"/>
    <cellStyle name="20% - Accent3 5 2 2 5 2" xfId="12695" xr:uid="{00000000-0005-0000-0000-0000FE130000}"/>
    <cellStyle name="20% - Accent3 5 2 2 5 2 2" xfId="26407" xr:uid="{00000000-0005-0000-0000-0000FF130000}"/>
    <cellStyle name="20% - Accent3 5 2 2 5 3" xfId="18653" xr:uid="{00000000-0005-0000-0000-000000140000}"/>
    <cellStyle name="20% - Accent3 5 2 2 6" xfId="1331" xr:uid="{00000000-0005-0000-0000-000001140000}"/>
    <cellStyle name="20% - Accent3 5 2 2 6 2" xfId="13829" xr:uid="{00000000-0005-0000-0000-000002140000}"/>
    <cellStyle name="20% - Accent3 5 2 2 6 2 2" xfId="27378" xr:uid="{00000000-0005-0000-0000-000003140000}"/>
    <cellStyle name="20% - Accent3 5 2 2 6 3" xfId="18654" xr:uid="{00000000-0005-0000-0000-000004140000}"/>
    <cellStyle name="20% - Accent3 5 2 2 7" xfId="1332" xr:uid="{00000000-0005-0000-0000-000005140000}"/>
    <cellStyle name="20% - Accent3 5 2 2 7 2" xfId="14410" xr:uid="{00000000-0005-0000-0000-000006140000}"/>
    <cellStyle name="20% - Accent3 5 2 2 7 2 2" xfId="27959" xr:uid="{00000000-0005-0000-0000-000007140000}"/>
    <cellStyle name="20% - Accent3 5 2 2 7 3" xfId="18655" xr:uid="{00000000-0005-0000-0000-000008140000}"/>
    <cellStyle name="20% - Accent3 5 2 2 8" xfId="1333" xr:uid="{00000000-0005-0000-0000-000009140000}"/>
    <cellStyle name="20% - Accent3 5 2 2 8 2" xfId="14817" xr:uid="{00000000-0005-0000-0000-00000A140000}"/>
    <cellStyle name="20% - Accent3 5 2 2 8 2 2" xfId="28366" xr:uid="{00000000-0005-0000-0000-00000B140000}"/>
    <cellStyle name="20% - Accent3 5 2 2 8 3" xfId="18656" xr:uid="{00000000-0005-0000-0000-00000C140000}"/>
    <cellStyle name="20% - Accent3 5 2 2 9" xfId="1334" xr:uid="{00000000-0005-0000-0000-00000D140000}"/>
    <cellStyle name="20% - Accent3 5 2 2 9 2" xfId="16296" xr:uid="{00000000-0005-0000-0000-00000E140000}"/>
    <cellStyle name="20% - Accent3 5 2 2 9 2 2" xfId="29703" xr:uid="{00000000-0005-0000-0000-00000F140000}"/>
    <cellStyle name="20% - Accent3 5 2 2 9 3" xfId="18657" xr:uid="{00000000-0005-0000-0000-000010140000}"/>
    <cellStyle name="20% - Accent3 5 2 3" xfId="1335" xr:uid="{00000000-0005-0000-0000-000011140000}"/>
    <cellStyle name="20% - Accent3 5 2 3 2" xfId="1336" xr:uid="{00000000-0005-0000-0000-000012140000}"/>
    <cellStyle name="20% - Accent3 5 2 3 2 2" xfId="10736" xr:uid="{00000000-0005-0000-0000-000013140000}"/>
    <cellStyle name="20% - Accent3 5 2 3 2 2 2" xfId="24678" xr:uid="{00000000-0005-0000-0000-000014140000}"/>
    <cellStyle name="20% - Accent3 5 2 3 2 3" xfId="18659" xr:uid="{00000000-0005-0000-0000-000015140000}"/>
    <cellStyle name="20% - Accent3 5 2 3 3" xfId="1337" xr:uid="{00000000-0005-0000-0000-000016140000}"/>
    <cellStyle name="20% - Accent3 5 2 3 3 2" xfId="12711" xr:uid="{00000000-0005-0000-0000-000017140000}"/>
    <cellStyle name="20% - Accent3 5 2 3 3 2 2" xfId="26423" xr:uid="{00000000-0005-0000-0000-000018140000}"/>
    <cellStyle name="20% - Accent3 5 2 3 3 3" xfId="18660" xr:uid="{00000000-0005-0000-0000-000019140000}"/>
    <cellStyle name="20% - Accent3 5 2 3 4" xfId="1338" xr:uid="{00000000-0005-0000-0000-00001A140000}"/>
    <cellStyle name="20% - Accent3 5 2 3 4 2" xfId="14820" xr:uid="{00000000-0005-0000-0000-00001B140000}"/>
    <cellStyle name="20% - Accent3 5 2 3 4 2 2" xfId="28369" xr:uid="{00000000-0005-0000-0000-00001C140000}"/>
    <cellStyle name="20% - Accent3 5 2 3 4 3" xfId="18661" xr:uid="{00000000-0005-0000-0000-00001D140000}"/>
    <cellStyle name="20% - Accent3 5 2 3 5" xfId="1339" xr:uid="{00000000-0005-0000-0000-00001E140000}"/>
    <cellStyle name="20% - Accent3 5 2 3 5 2" xfId="16588" xr:uid="{00000000-0005-0000-0000-00001F140000}"/>
    <cellStyle name="20% - Accent3 5 2 3 5 2 2" xfId="29995" xr:uid="{00000000-0005-0000-0000-000020140000}"/>
    <cellStyle name="20% - Accent3 5 2 3 5 3" xfId="18662" xr:uid="{00000000-0005-0000-0000-000021140000}"/>
    <cellStyle name="20% - Accent3 5 2 3 6" xfId="9011" xr:uid="{00000000-0005-0000-0000-000022140000}"/>
    <cellStyle name="20% - Accent3 5 2 3 6 2" xfId="23486" xr:uid="{00000000-0005-0000-0000-000023140000}"/>
    <cellStyle name="20% - Accent3 5 2 3 7" xfId="18658" xr:uid="{00000000-0005-0000-0000-000024140000}"/>
    <cellStyle name="20% - Accent3 5 2 4" xfId="1340" xr:uid="{00000000-0005-0000-0000-000025140000}"/>
    <cellStyle name="20% - Accent3 5 2 4 2" xfId="1341" xr:uid="{00000000-0005-0000-0000-000026140000}"/>
    <cellStyle name="20% - Accent3 5 2 4 2 2" xfId="14821" xr:uid="{00000000-0005-0000-0000-000027140000}"/>
    <cellStyle name="20% - Accent3 5 2 4 2 2 2" xfId="28370" xr:uid="{00000000-0005-0000-0000-000028140000}"/>
    <cellStyle name="20% - Accent3 5 2 4 2 3" xfId="18664" xr:uid="{00000000-0005-0000-0000-000029140000}"/>
    <cellStyle name="20% - Accent3 5 2 4 3" xfId="10733" xr:uid="{00000000-0005-0000-0000-00002A140000}"/>
    <cellStyle name="20% - Accent3 5 2 4 3 2" xfId="24675" xr:uid="{00000000-0005-0000-0000-00002B140000}"/>
    <cellStyle name="20% - Accent3 5 2 4 4" xfId="18663" xr:uid="{00000000-0005-0000-0000-00002C140000}"/>
    <cellStyle name="20% - Accent3 5 2 5" xfId="1342" xr:uid="{00000000-0005-0000-0000-00002D140000}"/>
    <cellStyle name="20% - Accent3 5 2 5 2" xfId="11965" xr:uid="{00000000-0005-0000-0000-00002E140000}"/>
    <cellStyle name="20% - Accent3 5 2 5 2 2" xfId="25680" xr:uid="{00000000-0005-0000-0000-00002F140000}"/>
    <cellStyle name="20% - Accent3 5 2 5 3" xfId="18665" xr:uid="{00000000-0005-0000-0000-000030140000}"/>
    <cellStyle name="20% - Accent3 5 2 6" xfId="1343" xr:uid="{00000000-0005-0000-0000-000031140000}"/>
    <cellStyle name="20% - Accent3 5 2 6 2" xfId="12803" xr:uid="{00000000-0005-0000-0000-000032140000}"/>
    <cellStyle name="20% - Accent3 5 2 6 2 2" xfId="26515" xr:uid="{00000000-0005-0000-0000-000033140000}"/>
    <cellStyle name="20% - Accent3 5 2 6 3" xfId="18666" xr:uid="{00000000-0005-0000-0000-000034140000}"/>
    <cellStyle name="20% - Accent3 5 2 7" xfId="1344" xr:uid="{00000000-0005-0000-0000-000035140000}"/>
    <cellStyle name="20% - Accent3 5 2 7 2" xfId="13540" xr:uid="{00000000-0005-0000-0000-000036140000}"/>
    <cellStyle name="20% - Accent3 5 2 7 2 2" xfId="27089" xr:uid="{00000000-0005-0000-0000-000037140000}"/>
    <cellStyle name="20% - Accent3 5 2 7 3" xfId="18667" xr:uid="{00000000-0005-0000-0000-000038140000}"/>
    <cellStyle name="20% - Accent3 5 2 8" xfId="1345" xr:uid="{00000000-0005-0000-0000-000039140000}"/>
    <cellStyle name="20% - Accent3 5 2 8 2" xfId="14121" xr:uid="{00000000-0005-0000-0000-00003A140000}"/>
    <cellStyle name="20% - Accent3 5 2 8 2 2" xfId="27670" xr:uid="{00000000-0005-0000-0000-00003B140000}"/>
    <cellStyle name="20% - Accent3 5 2 8 3" xfId="18668" xr:uid="{00000000-0005-0000-0000-00003C140000}"/>
    <cellStyle name="20% - Accent3 5 2 9" xfId="1346" xr:uid="{00000000-0005-0000-0000-00003D140000}"/>
    <cellStyle name="20% - Accent3 5 2 9 2" xfId="14816" xr:uid="{00000000-0005-0000-0000-00003E140000}"/>
    <cellStyle name="20% - Accent3 5 2 9 2 2" xfId="28365" xr:uid="{00000000-0005-0000-0000-00003F140000}"/>
    <cellStyle name="20% - Accent3 5 2 9 3" xfId="18669" xr:uid="{00000000-0005-0000-0000-000040140000}"/>
    <cellStyle name="20% - Accent3 5 3" xfId="1347" xr:uid="{00000000-0005-0000-0000-000041140000}"/>
    <cellStyle name="20% - Accent3 5 3 10" xfId="9012" xr:uid="{00000000-0005-0000-0000-000042140000}"/>
    <cellStyle name="20% - Accent3 5 3 10 2" xfId="23487" xr:uid="{00000000-0005-0000-0000-000043140000}"/>
    <cellStyle name="20% - Accent3 5 3 11" xfId="18670" xr:uid="{00000000-0005-0000-0000-000044140000}"/>
    <cellStyle name="20% - Accent3 5 3 2" xfId="1348" xr:uid="{00000000-0005-0000-0000-000045140000}"/>
    <cellStyle name="20% - Accent3 5 3 2 2" xfId="1349" xr:uid="{00000000-0005-0000-0000-000046140000}"/>
    <cellStyle name="20% - Accent3 5 3 2 2 2" xfId="10738" xr:uid="{00000000-0005-0000-0000-000047140000}"/>
    <cellStyle name="20% - Accent3 5 3 2 2 2 2" xfId="24680" xr:uid="{00000000-0005-0000-0000-000048140000}"/>
    <cellStyle name="20% - Accent3 5 3 2 2 3" xfId="18672" xr:uid="{00000000-0005-0000-0000-000049140000}"/>
    <cellStyle name="20% - Accent3 5 3 2 3" xfId="1350" xr:uid="{00000000-0005-0000-0000-00004A140000}"/>
    <cellStyle name="20% - Accent3 5 3 2 3 2" xfId="12611" xr:uid="{00000000-0005-0000-0000-00004B140000}"/>
    <cellStyle name="20% - Accent3 5 3 2 3 2 2" xfId="26323" xr:uid="{00000000-0005-0000-0000-00004C140000}"/>
    <cellStyle name="20% - Accent3 5 3 2 3 3" xfId="18673" xr:uid="{00000000-0005-0000-0000-00004D140000}"/>
    <cellStyle name="20% - Accent3 5 3 2 4" xfId="1351" xr:uid="{00000000-0005-0000-0000-00004E140000}"/>
    <cellStyle name="20% - Accent3 5 3 2 4 2" xfId="14823" xr:uid="{00000000-0005-0000-0000-00004F140000}"/>
    <cellStyle name="20% - Accent3 5 3 2 4 2 2" xfId="28372" xr:uid="{00000000-0005-0000-0000-000050140000}"/>
    <cellStyle name="20% - Accent3 5 3 2 4 3" xfId="18674" xr:uid="{00000000-0005-0000-0000-000051140000}"/>
    <cellStyle name="20% - Accent3 5 3 2 5" xfId="1352" xr:uid="{00000000-0005-0000-0000-000052140000}"/>
    <cellStyle name="20% - Accent3 5 3 2 5 2" xfId="16737" xr:uid="{00000000-0005-0000-0000-000053140000}"/>
    <cellStyle name="20% - Accent3 5 3 2 5 2 2" xfId="30144" xr:uid="{00000000-0005-0000-0000-000054140000}"/>
    <cellStyle name="20% - Accent3 5 3 2 5 3" xfId="18675" xr:uid="{00000000-0005-0000-0000-000055140000}"/>
    <cellStyle name="20% - Accent3 5 3 2 6" xfId="9013" xr:uid="{00000000-0005-0000-0000-000056140000}"/>
    <cellStyle name="20% - Accent3 5 3 2 6 2" xfId="23488" xr:uid="{00000000-0005-0000-0000-000057140000}"/>
    <cellStyle name="20% - Accent3 5 3 2 7" xfId="18671" xr:uid="{00000000-0005-0000-0000-000058140000}"/>
    <cellStyle name="20% - Accent3 5 3 3" xfId="1353" xr:uid="{00000000-0005-0000-0000-000059140000}"/>
    <cellStyle name="20% - Accent3 5 3 3 2" xfId="1354" xr:uid="{00000000-0005-0000-0000-00005A140000}"/>
    <cellStyle name="20% - Accent3 5 3 3 2 2" xfId="14824" xr:uid="{00000000-0005-0000-0000-00005B140000}"/>
    <cellStyle name="20% - Accent3 5 3 3 2 2 2" xfId="28373" xr:uid="{00000000-0005-0000-0000-00005C140000}"/>
    <cellStyle name="20% - Accent3 5 3 3 2 3" xfId="18677" xr:uid="{00000000-0005-0000-0000-00005D140000}"/>
    <cellStyle name="20% - Accent3 5 3 3 3" xfId="10737" xr:uid="{00000000-0005-0000-0000-00005E140000}"/>
    <cellStyle name="20% - Accent3 5 3 3 3 2" xfId="24679" xr:uid="{00000000-0005-0000-0000-00005F140000}"/>
    <cellStyle name="20% - Accent3 5 3 3 4" xfId="18676" xr:uid="{00000000-0005-0000-0000-000060140000}"/>
    <cellStyle name="20% - Accent3 5 3 4" xfId="1355" xr:uid="{00000000-0005-0000-0000-000061140000}"/>
    <cellStyle name="20% - Accent3 5 3 4 2" xfId="12125" xr:uid="{00000000-0005-0000-0000-000062140000}"/>
    <cellStyle name="20% - Accent3 5 3 4 2 2" xfId="25837" xr:uid="{00000000-0005-0000-0000-000063140000}"/>
    <cellStyle name="20% - Accent3 5 3 4 3" xfId="18678" xr:uid="{00000000-0005-0000-0000-000064140000}"/>
    <cellStyle name="20% - Accent3 5 3 5" xfId="1356" xr:uid="{00000000-0005-0000-0000-000065140000}"/>
    <cellStyle name="20% - Accent3 5 3 5 2" xfId="12607" xr:uid="{00000000-0005-0000-0000-000066140000}"/>
    <cellStyle name="20% - Accent3 5 3 5 2 2" xfId="26319" xr:uid="{00000000-0005-0000-0000-000067140000}"/>
    <cellStyle name="20% - Accent3 5 3 5 3" xfId="18679" xr:uid="{00000000-0005-0000-0000-000068140000}"/>
    <cellStyle name="20% - Accent3 5 3 6" xfId="1357" xr:uid="{00000000-0005-0000-0000-000069140000}"/>
    <cellStyle name="20% - Accent3 5 3 6 2" xfId="13689" xr:uid="{00000000-0005-0000-0000-00006A140000}"/>
    <cellStyle name="20% - Accent3 5 3 6 2 2" xfId="27238" xr:uid="{00000000-0005-0000-0000-00006B140000}"/>
    <cellStyle name="20% - Accent3 5 3 6 3" xfId="18680" xr:uid="{00000000-0005-0000-0000-00006C140000}"/>
    <cellStyle name="20% - Accent3 5 3 7" xfId="1358" xr:uid="{00000000-0005-0000-0000-00006D140000}"/>
    <cellStyle name="20% - Accent3 5 3 7 2" xfId="14270" xr:uid="{00000000-0005-0000-0000-00006E140000}"/>
    <cellStyle name="20% - Accent3 5 3 7 2 2" xfId="27819" xr:uid="{00000000-0005-0000-0000-00006F140000}"/>
    <cellStyle name="20% - Accent3 5 3 7 3" xfId="18681" xr:uid="{00000000-0005-0000-0000-000070140000}"/>
    <cellStyle name="20% - Accent3 5 3 8" xfId="1359" xr:uid="{00000000-0005-0000-0000-000071140000}"/>
    <cellStyle name="20% - Accent3 5 3 8 2" xfId="14822" xr:uid="{00000000-0005-0000-0000-000072140000}"/>
    <cellStyle name="20% - Accent3 5 3 8 2 2" xfId="28371" xr:uid="{00000000-0005-0000-0000-000073140000}"/>
    <cellStyle name="20% - Accent3 5 3 8 3" xfId="18682" xr:uid="{00000000-0005-0000-0000-000074140000}"/>
    <cellStyle name="20% - Accent3 5 3 9" xfId="1360" xr:uid="{00000000-0005-0000-0000-000075140000}"/>
    <cellStyle name="20% - Accent3 5 3 9 2" xfId="16156" xr:uid="{00000000-0005-0000-0000-000076140000}"/>
    <cellStyle name="20% - Accent3 5 3 9 2 2" xfId="29563" xr:uid="{00000000-0005-0000-0000-000077140000}"/>
    <cellStyle name="20% - Accent3 5 3 9 3" xfId="18683" xr:uid="{00000000-0005-0000-0000-000078140000}"/>
    <cellStyle name="20% - Accent3 5 4" xfId="1361" xr:uid="{00000000-0005-0000-0000-000079140000}"/>
    <cellStyle name="20% - Accent3 5 4 2" xfId="1362" xr:uid="{00000000-0005-0000-0000-00007A140000}"/>
    <cellStyle name="20% - Accent3 5 4 2 2" xfId="10739" xr:uid="{00000000-0005-0000-0000-00007B140000}"/>
    <cellStyle name="20% - Accent3 5 4 2 2 2" xfId="24681" xr:uid="{00000000-0005-0000-0000-00007C140000}"/>
    <cellStyle name="20% - Accent3 5 4 2 3" xfId="18685" xr:uid="{00000000-0005-0000-0000-00007D140000}"/>
    <cellStyle name="20% - Accent3 5 4 3" xfId="1363" xr:uid="{00000000-0005-0000-0000-00007E140000}"/>
    <cellStyle name="20% - Accent3 5 4 3 2" xfId="12422" xr:uid="{00000000-0005-0000-0000-00007F140000}"/>
    <cellStyle name="20% - Accent3 5 4 3 2 2" xfId="26134" xr:uid="{00000000-0005-0000-0000-000080140000}"/>
    <cellStyle name="20% - Accent3 5 4 3 3" xfId="18686" xr:uid="{00000000-0005-0000-0000-000081140000}"/>
    <cellStyle name="20% - Accent3 5 4 4" xfId="1364" xr:uid="{00000000-0005-0000-0000-000082140000}"/>
    <cellStyle name="20% - Accent3 5 4 4 2" xfId="14825" xr:uid="{00000000-0005-0000-0000-000083140000}"/>
    <cellStyle name="20% - Accent3 5 4 4 2 2" xfId="28374" xr:uid="{00000000-0005-0000-0000-000084140000}"/>
    <cellStyle name="20% - Accent3 5 4 4 3" xfId="18687" xr:uid="{00000000-0005-0000-0000-000085140000}"/>
    <cellStyle name="20% - Accent3 5 4 5" xfId="1365" xr:uid="{00000000-0005-0000-0000-000086140000}"/>
    <cellStyle name="20% - Accent3 5 4 5 2" xfId="16445" xr:uid="{00000000-0005-0000-0000-000087140000}"/>
    <cellStyle name="20% - Accent3 5 4 5 2 2" xfId="29852" xr:uid="{00000000-0005-0000-0000-000088140000}"/>
    <cellStyle name="20% - Accent3 5 4 5 3" xfId="18688" xr:uid="{00000000-0005-0000-0000-000089140000}"/>
    <cellStyle name="20% - Accent3 5 4 6" xfId="9014" xr:uid="{00000000-0005-0000-0000-00008A140000}"/>
    <cellStyle name="20% - Accent3 5 4 6 2" xfId="23489" xr:uid="{00000000-0005-0000-0000-00008B140000}"/>
    <cellStyle name="20% - Accent3 5 4 7" xfId="18684" xr:uid="{00000000-0005-0000-0000-00008C140000}"/>
    <cellStyle name="20% - Accent3 5 5" xfId="1366" xr:uid="{00000000-0005-0000-0000-00008D140000}"/>
    <cellStyle name="20% - Accent3 5 5 2" xfId="1367" xr:uid="{00000000-0005-0000-0000-00008E140000}"/>
    <cellStyle name="20% - Accent3 5 5 2 2" xfId="14826" xr:uid="{00000000-0005-0000-0000-00008F140000}"/>
    <cellStyle name="20% - Accent3 5 5 2 2 2" xfId="28375" xr:uid="{00000000-0005-0000-0000-000090140000}"/>
    <cellStyle name="20% - Accent3 5 5 2 3" xfId="18690" xr:uid="{00000000-0005-0000-0000-000091140000}"/>
    <cellStyle name="20% - Accent3 5 5 3" xfId="10732" xr:uid="{00000000-0005-0000-0000-000092140000}"/>
    <cellStyle name="20% - Accent3 5 5 3 2" xfId="24674" xr:uid="{00000000-0005-0000-0000-000093140000}"/>
    <cellStyle name="20% - Accent3 5 5 4" xfId="18689" xr:uid="{00000000-0005-0000-0000-000094140000}"/>
    <cellStyle name="20% - Accent3 5 6" xfId="1368" xr:uid="{00000000-0005-0000-0000-000095140000}"/>
    <cellStyle name="20% - Accent3 5 6 2" xfId="11796" xr:uid="{00000000-0005-0000-0000-000096140000}"/>
    <cellStyle name="20% - Accent3 5 6 2 2" xfId="25511" xr:uid="{00000000-0005-0000-0000-000097140000}"/>
    <cellStyle name="20% - Accent3 5 6 3" xfId="18691" xr:uid="{00000000-0005-0000-0000-000098140000}"/>
    <cellStyle name="20% - Accent3 5 7" xfId="1369" xr:uid="{00000000-0005-0000-0000-000099140000}"/>
    <cellStyle name="20% - Accent3 5 7 2" xfId="12585" xr:uid="{00000000-0005-0000-0000-00009A140000}"/>
    <cellStyle name="20% - Accent3 5 7 2 2" xfId="26297" xr:uid="{00000000-0005-0000-0000-00009B140000}"/>
    <cellStyle name="20% - Accent3 5 7 3" xfId="18692" xr:uid="{00000000-0005-0000-0000-00009C140000}"/>
    <cellStyle name="20% - Accent3 5 8" xfId="1370" xr:uid="{00000000-0005-0000-0000-00009D140000}"/>
    <cellStyle name="20% - Accent3 5 8 2" xfId="13397" xr:uid="{00000000-0005-0000-0000-00009E140000}"/>
    <cellStyle name="20% - Accent3 5 8 2 2" xfId="26946" xr:uid="{00000000-0005-0000-0000-00009F140000}"/>
    <cellStyle name="20% - Accent3 5 8 3" xfId="18693" xr:uid="{00000000-0005-0000-0000-0000A0140000}"/>
    <cellStyle name="20% - Accent3 5 9" xfId="1371" xr:uid="{00000000-0005-0000-0000-0000A1140000}"/>
    <cellStyle name="20% - Accent3 5 9 2" xfId="13978" xr:uid="{00000000-0005-0000-0000-0000A2140000}"/>
    <cellStyle name="20% - Accent3 5 9 2 2" xfId="27527" xr:uid="{00000000-0005-0000-0000-0000A3140000}"/>
    <cellStyle name="20% - Accent3 5 9 3" xfId="18694" xr:uid="{00000000-0005-0000-0000-0000A4140000}"/>
    <cellStyle name="20% - Accent3 6" xfId="1372" xr:uid="{00000000-0005-0000-0000-0000A5140000}"/>
    <cellStyle name="20% - Accent3 6 10" xfId="1373" xr:uid="{00000000-0005-0000-0000-0000A6140000}"/>
    <cellStyle name="20% - Accent3 6 10 2" xfId="14827" xr:uid="{00000000-0005-0000-0000-0000A7140000}"/>
    <cellStyle name="20% - Accent3 6 10 2 2" xfId="28376" xr:uid="{00000000-0005-0000-0000-0000A8140000}"/>
    <cellStyle name="20% - Accent3 6 10 3" xfId="18696" xr:uid="{00000000-0005-0000-0000-0000A9140000}"/>
    <cellStyle name="20% - Accent3 6 11" xfId="1374" xr:uid="{00000000-0005-0000-0000-0000AA140000}"/>
    <cellStyle name="20% - Accent3 6 11 2" xfId="15970" xr:uid="{00000000-0005-0000-0000-0000AB140000}"/>
    <cellStyle name="20% - Accent3 6 11 2 2" xfId="29377" xr:uid="{00000000-0005-0000-0000-0000AC140000}"/>
    <cellStyle name="20% - Accent3 6 11 3" xfId="18697" xr:uid="{00000000-0005-0000-0000-0000AD140000}"/>
    <cellStyle name="20% - Accent3 6 12" xfId="9015" xr:uid="{00000000-0005-0000-0000-0000AE140000}"/>
    <cellStyle name="20% - Accent3 6 12 2" xfId="23490" xr:uid="{00000000-0005-0000-0000-0000AF140000}"/>
    <cellStyle name="20% - Accent3 6 13" xfId="18695" xr:uid="{00000000-0005-0000-0000-0000B0140000}"/>
    <cellStyle name="20% - Accent3 6 2" xfId="1375" xr:uid="{00000000-0005-0000-0000-0000B1140000}"/>
    <cellStyle name="20% - Accent3 6 2 10" xfId="1376" xr:uid="{00000000-0005-0000-0000-0000B2140000}"/>
    <cellStyle name="20% - Accent3 6 2 10 2" xfId="16113" xr:uid="{00000000-0005-0000-0000-0000B3140000}"/>
    <cellStyle name="20% - Accent3 6 2 10 2 2" xfId="29520" xr:uid="{00000000-0005-0000-0000-0000B4140000}"/>
    <cellStyle name="20% - Accent3 6 2 10 3" xfId="18699" xr:uid="{00000000-0005-0000-0000-0000B5140000}"/>
    <cellStyle name="20% - Accent3 6 2 11" xfId="9016" xr:uid="{00000000-0005-0000-0000-0000B6140000}"/>
    <cellStyle name="20% - Accent3 6 2 11 2" xfId="23491" xr:uid="{00000000-0005-0000-0000-0000B7140000}"/>
    <cellStyle name="20% - Accent3 6 2 12" xfId="18698" xr:uid="{00000000-0005-0000-0000-0000B8140000}"/>
    <cellStyle name="20% - Accent3 6 2 2" xfId="1377" xr:uid="{00000000-0005-0000-0000-0000B9140000}"/>
    <cellStyle name="20% - Accent3 6 2 2 10" xfId="9017" xr:uid="{00000000-0005-0000-0000-0000BA140000}"/>
    <cellStyle name="20% - Accent3 6 2 2 10 2" xfId="23492" xr:uid="{00000000-0005-0000-0000-0000BB140000}"/>
    <cellStyle name="20% - Accent3 6 2 2 11" xfId="18700" xr:uid="{00000000-0005-0000-0000-0000BC140000}"/>
    <cellStyle name="20% - Accent3 6 2 2 2" xfId="1378" xr:uid="{00000000-0005-0000-0000-0000BD140000}"/>
    <cellStyle name="20% - Accent3 6 2 2 2 2" xfId="1379" xr:uid="{00000000-0005-0000-0000-0000BE140000}"/>
    <cellStyle name="20% - Accent3 6 2 2 2 2 2" xfId="10743" xr:uid="{00000000-0005-0000-0000-0000BF140000}"/>
    <cellStyle name="20% - Accent3 6 2 2 2 2 2 2" xfId="24685" xr:uid="{00000000-0005-0000-0000-0000C0140000}"/>
    <cellStyle name="20% - Accent3 6 2 2 2 2 3" xfId="18702" xr:uid="{00000000-0005-0000-0000-0000C1140000}"/>
    <cellStyle name="20% - Accent3 6 2 2 2 3" xfId="1380" xr:uid="{00000000-0005-0000-0000-0000C2140000}"/>
    <cellStyle name="20% - Accent3 6 2 2 2 3 2" xfId="12795" xr:uid="{00000000-0005-0000-0000-0000C3140000}"/>
    <cellStyle name="20% - Accent3 6 2 2 2 3 2 2" xfId="26507" xr:uid="{00000000-0005-0000-0000-0000C4140000}"/>
    <cellStyle name="20% - Accent3 6 2 2 2 3 3" xfId="18703" xr:uid="{00000000-0005-0000-0000-0000C5140000}"/>
    <cellStyle name="20% - Accent3 6 2 2 2 4" xfId="1381" xr:uid="{00000000-0005-0000-0000-0000C6140000}"/>
    <cellStyle name="20% - Accent3 6 2 2 2 4 2" xfId="14830" xr:uid="{00000000-0005-0000-0000-0000C7140000}"/>
    <cellStyle name="20% - Accent3 6 2 2 2 4 2 2" xfId="28379" xr:uid="{00000000-0005-0000-0000-0000C8140000}"/>
    <cellStyle name="20% - Accent3 6 2 2 2 4 3" xfId="18704" xr:uid="{00000000-0005-0000-0000-0000C9140000}"/>
    <cellStyle name="20% - Accent3 6 2 2 2 5" xfId="1382" xr:uid="{00000000-0005-0000-0000-0000CA140000}"/>
    <cellStyle name="20% - Accent3 6 2 2 2 5 2" xfId="16983" xr:uid="{00000000-0005-0000-0000-0000CB140000}"/>
    <cellStyle name="20% - Accent3 6 2 2 2 5 2 2" xfId="30390" xr:uid="{00000000-0005-0000-0000-0000CC140000}"/>
    <cellStyle name="20% - Accent3 6 2 2 2 5 3" xfId="18705" xr:uid="{00000000-0005-0000-0000-0000CD140000}"/>
    <cellStyle name="20% - Accent3 6 2 2 2 6" xfId="9018" xr:uid="{00000000-0005-0000-0000-0000CE140000}"/>
    <cellStyle name="20% - Accent3 6 2 2 2 6 2" xfId="23493" xr:uid="{00000000-0005-0000-0000-0000CF140000}"/>
    <cellStyle name="20% - Accent3 6 2 2 2 7" xfId="18701" xr:uid="{00000000-0005-0000-0000-0000D0140000}"/>
    <cellStyle name="20% - Accent3 6 2 2 3" xfId="1383" xr:uid="{00000000-0005-0000-0000-0000D1140000}"/>
    <cellStyle name="20% - Accent3 6 2 2 3 2" xfId="1384" xr:uid="{00000000-0005-0000-0000-0000D2140000}"/>
    <cellStyle name="20% - Accent3 6 2 2 3 2 2" xfId="14831" xr:uid="{00000000-0005-0000-0000-0000D3140000}"/>
    <cellStyle name="20% - Accent3 6 2 2 3 2 2 2" xfId="28380" xr:uid="{00000000-0005-0000-0000-0000D4140000}"/>
    <cellStyle name="20% - Accent3 6 2 2 3 2 3" xfId="18707" xr:uid="{00000000-0005-0000-0000-0000D5140000}"/>
    <cellStyle name="20% - Accent3 6 2 2 3 3" xfId="10742" xr:uid="{00000000-0005-0000-0000-0000D6140000}"/>
    <cellStyle name="20% - Accent3 6 2 2 3 3 2" xfId="24684" xr:uid="{00000000-0005-0000-0000-0000D7140000}"/>
    <cellStyle name="20% - Accent3 6 2 2 3 4" xfId="18706" xr:uid="{00000000-0005-0000-0000-0000D8140000}"/>
    <cellStyle name="20% - Accent3 6 2 2 4" xfId="1385" xr:uid="{00000000-0005-0000-0000-0000D9140000}"/>
    <cellStyle name="20% - Accent3 6 2 2 4 2" xfId="12371" xr:uid="{00000000-0005-0000-0000-0000DA140000}"/>
    <cellStyle name="20% - Accent3 6 2 2 4 2 2" xfId="26083" xr:uid="{00000000-0005-0000-0000-0000DB140000}"/>
    <cellStyle name="20% - Accent3 6 2 2 4 3" xfId="18708" xr:uid="{00000000-0005-0000-0000-0000DC140000}"/>
    <cellStyle name="20% - Accent3 6 2 2 5" xfId="1386" xr:uid="{00000000-0005-0000-0000-0000DD140000}"/>
    <cellStyle name="20% - Accent3 6 2 2 5 2" xfId="12655" xr:uid="{00000000-0005-0000-0000-0000DE140000}"/>
    <cellStyle name="20% - Accent3 6 2 2 5 2 2" xfId="26367" xr:uid="{00000000-0005-0000-0000-0000DF140000}"/>
    <cellStyle name="20% - Accent3 6 2 2 5 3" xfId="18709" xr:uid="{00000000-0005-0000-0000-0000E0140000}"/>
    <cellStyle name="20% - Accent3 6 2 2 6" xfId="1387" xr:uid="{00000000-0005-0000-0000-0000E1140000}"/>
    <cellStyle name="20% - Accent3 6 2 2 6 2" xfId="13935" xr:uid="{00000000-0005-0000-0000-0000E2140000}"/>
    <cellStyle name="20% - Accent3 6 2 2 6 2 2" xfId="27484" xr:uid="{00000000-0005-0000-0000-0000E3140000}"/>
    <cellStyle name="20% - Accent3 6 2 2 6 3" xfId="18710" xr:uid="{00000000-0005-0000-0000-0000E4140000}"/>
    <cellStyle name="20% - Accent3 6 2 2 7" xfId="1388" xr:uid="{00000000-0005-0000-0000-0000E5140000}"/>
    <cellStyle name="20% - Accent3 6 2 2 7 2" xfId="14516" xr:uid="{00000000-0005-0000-0000-0000E6140000}"/>
    <cellStyle name="20% - Accent3 6 2 2 7 2 2" xfId="28065" xr:uid="{00000000-0005-0000-0000-0000E7140000}"/>
    <cellStyle name="20% - Accent3 6 2 2 7 3" xfId="18711" xr:uid="{00000000-0005-0000-0000-0000E8140000}"/>
    <cellStyle name="20% - Accent3 6 2 2 8" xfId="1389" xr:uid="{00000000-0005-0000-0000-0000E9140000}"/>
    <cellStyle name="20% - Accent3 6 2 2 8 2" xfId="14829" xr:uid="{00000000-0005-0000-0000-0000EA140000}"/>
    <cellStyle name="20% - Accent3 6 2 2 8 2 2" xfId="28378" xr:uid="{00000000-0005-0000-0000-0000EB140000}"/>
    <cellStyle name="20% - Accent3 6 2 2 8 3" xfId="18712" xr:uid="{00000000-0005-0000-0000-0000EC140000}"/>
    <cellStyle name="20% - Accent3 6 2 2 9" xfId="1390" xr:uid="{00000000-0005-0000-0000-0000ED140000}"/>
    <cellStyle name="20% - Accent3 6 2 2 9 2" xfId="16402" xr:uid="{00000000-0005-0000-0000-0000EE140000}"/>
    <cellStyle name="20% - Accent3 6 2 2 9 2 2" xfId="29809" xr:uid="{00000000-0005-0000-0000-0000EF140000}"/>
    <cellStyle name="20% - Accent3 6 2 2 9 3" xfId="18713" xr:uid="{00000000-0005-0000-0000-0000F0140000}"/>
    <cellStyle name="20% - Accent3 6 2 3" xfId="1391" xr:uid="{00000000-0005-0000-0000-0000F1140000}"/>
    <cellStyle name="20% - Accent3 6 2 3 2" xfId="1392" xr:uid="{00000000-0005-0000-0000-0000F2140000}"/>
    <cellStyle name="20% - Accent3 6 2 3 2 2" xfId="10744" xr:uid="{00000000-0005-0000-0000-0000F3140000}"/>
    <cellStyle name="20% - Accent3 6 2 3 2 2 2" xfId="24686" xr:uid="{00000000-0005-0000-0000-0000F4140000}"/>
    <cellStyle name="20% - Accent3 6 2 3 2 3" xfId="18715" xr:uid="{00000000-0005-0000-0000-0000F5140000}"/>
    <cellStyle name="20% - Accent3 6 2 3 3" xfId="1393" xr:uid="{00000000-0005-0000-0000-0000F6140000}"/>
    <cellStyle name="20% - Accent3 6 2 3 3 2" xfId="11860" xr:uid="{00000000-0005-0000-0000-0000F7140000}"/>
    <cellStyle name="20% - Accent3 6 2 3 3 2 2" xfId="25575" xr:uid="{00000000-0005-0000-0000-0000F8140000}"/>
    <cellStyle name="20% - Accent3 6 2 3 3 3" xfId="18716" xr:uid="{00000000-0005-0000-0000-0000F9140000}"/>
    <cellStyle name="20% - Accent3 6 2 3 4" xfId="1394" xr:uid="{00000000-0005-0000-0000-0000FA140000}"/>
    <cellStyle name="20% - Accent3 6 2 3 4 2" xfId="14832" xr:uid="{00000000-0005-0000-0000-0000FB140000}"/>
    <cellStyle name="20% - Accent3 6 2 3 4 2 2" xfId="28381" xr:uid="{00000000-0005-0000-0000-0000FC140000}"/>
    <cellStyle name="20% - Accent3 6 2 3 4 3" xfId="18717" xr:uid="{00000000-0005-0000-0000-0000FD140000}"/>
    <cellStyle name="20% - Accent3 6 2 3 5" xfId="1395" xr:uid="{00000000-0005-0000-0000-0000FE140000}"/>
    <cellStyle name="20% - Accent3 6 2 3 5 2" xfId="16694" xr:uid="{00000000-0005-0000-0000-0000FF140000}"/>
    <cellStyle name="20% - Accent3 6 2 3 5 2 2" xfId="30101" xr:uid="{00000000-0005-0000-0000-000000150000}"/>
    <cellStyle name="20% - Accent3 6 2 3 5 3" xfId="18718" xr:uid="{00000000-0005-0000-0000-000001150000}"/>
    <cellStyle name="20% - Accent3 6 2 3 6" xfId="9019" xr:uid="{00000000-0005-0000-0000-000002150000}"/>
    <cellStyle name="20% - Accent3 6 2 3 6 2" xfId="23494" xr:uid="{00000000-0005-0000-0000-000003150000}"/>
    <cellStyle name="20% - Accent3 6 2 3 7" xfId="18714" xr:uid="{00000000-0005-0000-0000-000004150000}"/>
    <cellStyle name="20% - Accent3 6 2 4" xfId="1396" xr:uid="{00000000-0005-0000-0000-000005150000}"/>
    <cellStyle name="20% - Accent3 6 2 4 2" xfId="1397" xr:uid="{00000000-0005-0000-0000-000006150000}"/>
    <cellStyle name="20% - Accent3 6 2 4 2 2" xfId="14833" xr:uid="{00000000-0005-0000-0000-000007150000}"/>
    <cellStyle name="20% - Accent3 6 2 4 2 2 2" xfId="28382" xr:uid="{00000000-0005-0000-0000-000008150000}"/>
    <cellStyle name="20% - Accent3 6 2 4 2 3" xfId="18720" xr:uid="{00000000-0005-0000-0000-000009150000}"/>
    <cellStyle name="20% - Accent3 6 2 4 3" xfId="10741" xr:uid="{00000000-0005-0000-0000-00000A150000}"/>
    <cellStyle name="20% - Accent3 6 2 4 3 2" xfId="24683" xr:uid="{00000000-0005-0000-0000-00000B150000}"/>
    <cellStyle name="20% - Accent3 6 2 4 4" xfId="18719" xr:uid="{00000000-0005-0000-0000-00000C150000}"/>
    <cellStyle name="20% - Accent3 6 2 5" xfId="1398" xr:uid="{00000000-0005-0000-0000-00000D150000}"/>
    <cellStyle name="20% - Accent3 6 2 5 2" xfId="12071" xr:uid="{00000000-0005-0000-0000-00000E150000}"/>
    <cellStyle name="20% - Accent3 6 2 5 2 2" xfId="25786" xr:uid="{00000000-0005-0000-0000-00000F150000}"/>
    <cellStyle name="20% - Accent3 6 2 5 3" xfId="18721" xr:uid="{00000000-0005-0000-0000-000010150000}"/>
    <cellStyle name="20% - Accent3 6 2 6" xfId="1399" xr:uid="{00000000-0005-0000-0000-000011150000}"/>
    <cellStyle name="20% - Accent3 6 2 6 2" xfId="12409" xr:uid="{00000000-0005-0000-0000-000012150000}"/>
    <cellStyle name="20% - Accent3 6 2 6 2 2" xfId="26121" xr:uid="{00000000-0005-0000-0000-000013150000}"/>
    <cellStyle name="20% - Accent3 6 2 6 3" xfId="18722" xr:uid="{00000000-0005-0000-0000-000014150000}"/>
    <cellStyle name="20% - Accent3 6 2 7" xfId="1400" xr:uid="{00000000-0005-0000-0000-000015150000}"/>
    <cellStyle name="20% - Accent3 6 2 7 2" xfId="13646" xr:uid="{00000000-0005-0000-0000-000016150000}"/>
    <cellStyle name="20% - Accent3 6 2 7 2 2" xfId="27195" xr:uid="{00000000-0005-0000-0000-000017150000}"/>
    <cellStyle name="20% - Accent3 6 2 7 3" xfId="18723" xr:uid="{00000000-0005-0000-0000-000018150000}"/>
    <cellStyle name="20% - Accent3 6 2 8" xfId="1401" xr:uid="{00000000-0005-0000-0000-000019150000}"/>
    <cellStyle name="20% - Accent3 6 2 8 2" xfId="14227" xr:uid="{00000000-0005-0000-0000-00001A150000}"/>
    <cellStyle name="20% - Accent3 6 2 8 2 2" xfId="27776" xr:uid="{00000000-0005-0000-0000-00001B150000}"/>
    <cellStyle name="20% - Accent3 6 2 8 3" xfId="18724" xr:uid="{00000000-0005-0000-0000-00001C150000}"/>
    <cellStyle name="20% - Accent3 6 2 9" xfId="1402" xr:uid="{00000000-0005-0000-0000-00001D150000}"/>
    <cellStyle name="20% - Accent3 6 2 9 2" xfId="14828" xr:uid="{00000000-0005-0000-0000-00001E150000}"/>
    <cellStyle name="20% - Accent3 6 2 9 2 2" xfId="28377" xr:uid="{00000000-0005-0000-0000-00001F150000}"/>
    <cellStyle name="20% - Accent3 6 2 9 3" xfId="18725" xr:uid="{00000000-0005-0000-0000-000020150000}"/>
    <cellStyle name="20% - Accent3 6 3" xfId="1403" xr:uid="{00000000-0005-0000-0000-000021150000}"/>
    <cellStyle name="20% - Accent3 6 3 10" xfId="9020" xr:uid="{00000000-0005-0000-0000-000022150000}"/>
    <cellStyle name="20% - Accent3 6 3 10 2" xfId="23495" xr:uid="{00000000-0005-0000-0000-000023150000}"/>
    <cellStyle name="20% - Accent3 6 3 11" xfId="18726" xr:uid="{00000000-0005-0000-0000-000024150000}"/>
    <cellStyle name="20% - Accent3 6 3 2" xfId="1404" xr:uid="{00000000-0005-0000-0000-000025150000}"/>
    <cellStyle name="20% - Accent3 6 3 2 2" xfId="1405" xr:uid="{00000000-0005-0000-0000-000026150000}"/>
    <cellStyle name="20% - Accent3 6 3 2 2 2" xfId="10746" xr:uid="{00000000-0005-0000-0000-000027150000}"/>
    <cellStyle name="20% - Accent3 6 3 2 2 2 2" xfId="24688" xr:uid="{00000000-0005-0000-0000-000028150000}"/>
    <cellStyle name="20% - Accent3 6 3 2 2 3" xfId="18728" xr:uid="{00000000-0005-0000-0000-000029150000}"/>
    <cellStyle name="20% - Accent3 6 3 2 3" xfId="1406" xr:uid="{00000000-0005-0000-0000-00002A150000}"/>
    <cellStyle name="20% - Accent3 6 3 2 3 2" xfId="12648" xr:uid="{00000000-0005-0000-0000-00002B150000}"/>
    <cellStyle name="20% - Accent3 6 3 2 3 2 2" xfId="26360" xr:uid="{00000000-0005-0000-0000-00002C150000}"/>
    <cellStyle name="20% - Accent3 6 3 2 3 3" xfId="18729" xr:uid="{00000000-0005-0000-0000-00002D150000}"/>
    <cellStyle name="20% - Accent3 6 3 2 4" xfId="1407" xr:uid="{00000000-0005-0000-0000-00002E150000}"/>
    <cellStyle name="20% - Accent3 6 3 2 4 2" xfId="14835" xr:uid="{00000000-0005-0000-0000-00002F150000}"/>
    <cellStyle name="20% - Accent3 6 3 2 4 2 2" xfId="28384" xr:uid="{00000000-0005-0000-0000-000030150000}"/>
    <cellStyle name="20% - Accent3 6 3 2 4 3" xfId="18730" xr:uid="{00000000-0005-0000-0000-000031150000}"/>
    <cellStyle name="20% - Accent3 6 3 2 5" xfId="1408" xr:uid="{00000000-0005-0000-0000-000032150000}"/>
    <cellStyle name="20% - Accent3 6 3 2 5 2" xfId="16840" xr:uid="{00000000-0005-0000-0000-000033150000}"/>
    <cellStyle name="20% - Accent3 6 3 2 5 2 2" xfId="30247" xr:uid="{00000000-0005-0000-0000-000034150000}"/>
    <cellStyle name="20% - Accent3 6 3 2 5 3" xfId="18731" xr:uid="{00000000-0005-0000-0000-000035150000}"/>
    <cellStyle name="20% - Accent3 6 3 2 6" xfId="9021" xr:uid="{00000000-0005-0000-0000-000036150000}"/>
    <cellStyle name="20% - Accent3 6 3 2 6 2" xfId="23496" xr:uid="{00000000-0005-0000-0000-000037150000}"/>
    <cellStyle name="20% - Accent3 6 3 2 7" xfId="18727" xr:uid="{00000000-0005-0000-0000-000038150000}"/>
    <cellStyle name="20% - Accent3 6 3 3" xfId="1409" xr:uid="{00000000-0005-0000-0000-000039150000}"/>
    <cellStyle name="20% - Accent3 6 3 3 2" xfId="1410" xr:uid="{00000000-0005-0000-0000-00003A150000}"/>
    <cellStyle name="20% - Accent3 6 3 3 2 2" xfId="14836" xr:uid="{00000000-0005-0000-0000-00003B150000}"/>
    <cellStyle name="20% - Accent3 6 3 3 2 2 2" xfId="28385" xr:uid="{00000000-0005-0000-0000-00003C150000}"/>
    <cellStyle name="20% - Accent3 6 3 3 2 3" xfId="18733" xr:uid="{00000000-0005-0000-0000-00003D150000}"/>
    <cellStyle name="20% - Accent3 6 3 3 3" xfId="10745" xr:uid="{00000000-0005-0000-0000-00003E150000}"/>
    <cellStyle name="20% - Accent3 6 3 3 3 2" xfId="24687" xr:uid="{00000000-0005-0000-0000-00003F150000}"/>
    <cellStyle name="20% - Accent3 6 3 3 4" xfId="18732" xr:uid="{00000000-0005-0000-0000-000040150000}"/>
    <cellStyle name="20% - Accent3 6 3 4" xfId="1411" xr:uid="{00000000-0005-0000-0000-000041150000}"/>
    <cellStyle name="20% - Accent3 6 3 4 2" xfId="12228" xr:uid="{00000000-0005-0000-0000-000042150000}"/>
    <cellStyle name="20% - Accent3 6 3 4 2 2" xfId="25940" xr:uid="{00000000-0005-0000-0000-000043150000}"/>
    <cellStyle name="20% - Accent3 6 3 4 3" xfId="18734" xr:uid="{00000000-0005-0000-0000-000044150000}"/>
    <cellStyle name="20% - Accent3 6 3 5" xfId="1412" xr:uid="{00000000-0005-0000-0000-000045150000}"/>
    <cellStyle name="20% - Accent3 6 3 5 2" xfId="12728" xr:uid="{00000000-0005-0000-0000-000046150000}"/>
    <cellStyle name="20% - Accent3 6 3 5 2 2" xfId="26440" xr:uid="{00000000-0005-0000-0000-000047150000}"/>
    <cellStyle name="20% - Accent3 6 3 5 3" xfId="18735" xr:uid="{00000000-0005-0000-0000-000048150000}"/>
    <cellStyle name="20% - Accent3 6 3 6" xfId="1413" xr:uid="{00000000-0005-0000-0000-000049150000}"/>
    <cellStyle name="20% - Accent3 6 3 6 2" xfId="13792" xr:uid="{00000000-0005-0000-0000-00004A150000}"/>
    <cellStyle name="20% - Accent3 6 3 6 2 2" xfId="27341" xr:uid="{00000000-0005-0000-0000-00004B150000}"/>
    <cellStyle name="20% - Accent3 6 3 6 3" xfId="18736" xr:uid="{00000000-0005-0000-0000-00004C150000}"/>
    <cellStyle name="20% - Accent3 6 3 7" xfId="1414" xr:uid="{00000000-0005-0000-0000-00004D150000}"/>
    <cellStyle name="20% - Accent3 6 3 7 2" xfId="14373" xr:uid="{00000000-0005-0000-0000-00004E150000}"/>
    <cellStyle name="20% - Accent3 6 3 7 2 2" xfId="27922" xr:uid="{00000000-0005-0000-0000-00004F150000}"/>
    <cellStyle name="20% - Accent3 6 3 7 3" xfId="18737" xr:uid="{00000000-0005-0000-0000-000050150000}"/>
    <cellStyle name="20% - Accent3 6 3 8" xfId="1415" xr:uid="{00000000-0005-0000-0000-000051150000}"/>
    <cellStyle name="20% - Accent3 6 3 8 2" xfId="14834" xr:uid="{00000000-0005-0000-0000-000052150000}"/>
    <cellStyle name="20% - Accent3 6 3 8 2 2" xfId="28383" xr:uid="{00000000-0005-0000-0000-000053150000}"/>
    <cellStyle name="20% - Accent3 6 3 8 3" xfId="18738" xr:uid="{00000000-0005-0000-0000-000054150000}"/>
    <cellStyle name="20% - Accent3 6 3 9" xfId="1416" xr:uid="{00000000-0005-0000-0000-000055150000}"/>
    <cellStyle name="20% - Accent3 6 3 9 2" xfId="16259" xr:uid="{00000000-0005-0000-0000-000056150000}"/>
    <cellStyle name="20% - Accent3 6 3 9 2 2" xfId="29666" xr:uid="{00000000-0005-0000-0000-000057150000}"/>
    <cellStyle name="20% - Accent3 6 3 9 3" xfId="18739" xr:uid="{00000000-0005-0000-0000-000058150000}"/>
    <cellStyle name="20% - Accent3 6 4" xfId="1417" xr:uid="{00000000-0005-0000-0000-000059150000}"/>
    <cellStyle name="20% - Accent3 6 4 2" xfId="1418" xr:uid="{00000000-0005-0000-0000-00005A150000}"/>
    <cellStyle name="20% - Accent3 6 4 2 2" xfId="10747" xr:uid="{00000000-0005-0000-0000-00005B150000}"/>
    <cellStyle name="20% - Accent3 6 4 2 2 2" xfId="24689" xr:uid="{00000000-0005-0000-0000-00005C150000}"/>
    <cellStyle name="20% - Accent3 6 4 2 3" xfId="18741" xr:uid="{00000000-0005-0000-0000-00005D150000}"/>
    <cellStyle name="20% - Accent3 6 4 3" xfId="1419" xr:uid="{00000000-0005-0000-0000-00005E150000}"/>
    <cellStyle name="20% - Accent3 6 4 3 2" xfId="12675" xr:uid="{00000000-0005-0000-0000-00005F150000}"/>
    <cellStyle name="20% - Accent3 6 4 3 2 2" xfId="26387" xr:uid="{00000000-0005-0000-0000-000060150000}"/>
    <cellStyle name="20% - Accent3 6 4 3 3" xfId="18742" xr:uid="{00000000-0005-0000-0000-000061150000}"/>
    <cellStyle name="20% - Accent3 6 4 4" xfId="1420" xr:uid="{00000000-0005-0000-0000-000062150000}"/>
    <cellStyle name="20% - Accent3 6 4 4 2" xfId="14837" xr:uid="{00000000-0005-0000-0000-000063150000}"/>
    <cellStyle name="20% - Accent3 6 4 4 2 2" xfId="28386" xr:uid="{00000000-0005-0000-0000-000064150000}"/>
    <cellStyle name="20% - Accent3 6 4 4 3" xfId="18743" xr:uid="{00000000-0005-0000-0000-000065150000}"/>
    <cellStyle name="20% - Accent3 6 4 5" xfId="1421" xr:uid="{00000000-0005-0000-0000-000066150000}"/>
    <cellStyle name="20% - Accent3 6 4 5 2" xfId="16551" xr:uid="{00000000-0005-0000-0000-000067150000}"/>
    <cellStyle name="20% - Accent3 6 4 5 2 2" xfId="29958" xr:uid="{00000000-0005-0000-0000-000068150000}"/>
    <cellStyle name="20% - Accent3 6 4 5 3" xfId="18744" xr:uid="{00000000-0005-0000-0000-000069150000}"/>
    <cellStyle name="20% - Accent3 6 4 6" xfId="9022" xr:uid="{00000000-0005-0000-0000-00006A150000}"/>
    <cellStyle name="20% - Accent3 6 4 6 2" xfId="23497" xr:uid="{00000000-0005-0000-0000-00006B150000}"/>
    <cellStyle name="20% - Accent3 6 4 7" xfId="18740" xr:uid="{00000000-0005-0000-0000-00006C150000}"/>
    <cellStyle name="20% - Accent3 6 5" xfId="1422" xr:uid="{00000000-0005-0000-0000-00006D150000}"/>
    <cellStyle name="20% - Accent3 6 5 2" xfId="1423" xr:uid="{00000000-0005-0000-0000-00006E150000}"/>
    <cellStyle name="20% - Accent3 6 5 2 2" xfId="14838" xr:uid="{00000000-0005-0000-0000-00006F150000}"/>
    <cellStyle name="20% - Accent3 6 5 2 2 2" xfId="28387" xr:uid="{00000000-0005-0000-0000-000070150000}"/>
    <cellStyle name="20% - Accent3 6 5 2 3" xfId="18746" xr:uid="{00000000-0005-0000-0000-000071150000}"/>
    <cellStyle name="20% - Accent3 6 5 3" xfId="10740" xr:uid="{00000000-0005-0000-0000-000072150000}"/>
    <cellStyle name="20% - Accent3 6 5 3 2" xfId="24682" xr:uid="{00000000-0005-0000-0000-000073150000}"/>
    <cellStyle name="20% - Accent3 6 5 4" xfId="18745" xr:uid="{00000000-0005-0000-0000-000074150000}"/>
    <cellStyle name="20% - Accent3 6 6" xfId="1424" xr:uid="{00000000-0005-0000-0000-000075150000}"/>
    <cellStyle name="20% - Accent3 6 6 2" xfId="11926" xr:uid="{00000000-0005-0000-0000-000076150000}"/>
    <cellStyle name="20% - Accent3 6 6 2 2" xfId="25641" xr:uid="{00000000-0005-0000-0000-000077150000}"/>
    <cellStyle name="20% - Accent3 6 6 3" xfId="18747" xr:uid="{00000000-0005-0000-0000-000078150000}"/>
    <cellStyle name="20% - Accent3 6 7" xfId="1425" xr:uid="{00000000-0005-0000-0000-000079150000}"/>
    <cellStyle name="20% - Accent3 6 7 2" xfId="12429" xr:uid="{00000000-0005-0000-0000-00007A150000}"/>
    <cellStyle name="20% - Accent3 6 7 2 2" xfId="26141" xr:uid="{00000000-0005-0000-0000-00007B150000}"/>
    <cellStyle name="20% - Accent3 6 7 3" xfId="18748" xr:uid="{00000000-0005-0000-0000-00007C150000}"/>
    <cellStyle name="20% - Accent3 6 8" xfId="1426" xr:uid="{00000000-0005-0000-0000-00007D150000}"/>
    <cellStyle name="20% - Accent3 6 8 2" xfId="13503" xr:uid="{00000000-0005-0000-0000-00007E150000}"/>
    <cellStyle name="20% - Accent3 6 8 2 2" xfId="27052" xr:uid="{00000000-0005-0000-0000-00007F150000}"/>
    <cellStyle name="20% - Accent3 6 8 3" xfId="18749" xr:uid="{00000000-0005-0000-0000-000080150000}"/>
    <cellStyle name="20% - Accent3 6 9" xfId="1427" xr:uid="{00000000-0005-0000-0000-000081150000}"/>
    <cellStyle name="20% - Accent3 6 9 2" xfId="14084" xr:uid="{00000000-0005-0000-0000-000082150000}"/>
    <cellStyle name="20% - Accent3 6 9 2 2" xfId="27633" xr:uid="{00000000-0005-0000-0000-000083150000}"/>
    <cellStyle name="20% - Accent3 6 9 3" xfId="18750" xr:uid="{00000000-0005-0000-0000-000084150000}"/>
    <cellStyle name="20% - Accent3 7" xfId="1428" xr:uid="{00000000-0005-0000-0000-000085150000}"/>
    <cellStyle name="20% - Accent3 7 10" xfId="1429" xr:uid="{00000000-0005-0000-0000-000086150000}"/>
    <cellStyle name="20% - Accent3 7 10 2" xfId="15992" xr:uid="{00000000-0005-0000-0000-000087150000}"/>
    <cellStyle name="20% - Accent3 7 10 2 2" xfId="29399" xr:uid="{00000000-0005-0000-0000-000088150000}"/>
    <cellStyle name="20% - Accent3 7 10 3" xfId="18752" xr:uid="{00000000-0005-0000-0000-000089150000}"/>
    <cellStyle name="20% - Accent3 7 11" xfId="9023" xr:uid="{00000000-0005-0000-0000-00008A150000}"/>
    <cellStyle name="20% - Accent3 7 11 2" xfId="23498" xr:uid="{00000000-0005-0000-0000-00008B150000}"/>
    <cellStyle name="20% - Accent3 7 12" xfId="18751" xr:uid="{00000000-0005-0000-0000-00008C150000}"/>
    <cellStyle name="20% - Accent3 7 2" xfId="1430" xr:uid="{00000000-0005-0000-0000-00008D150000}"/>
    <cellStyle name="20% - Accent3 7 2 10" xfId="9024" xr:uid="{00000000-0005-0000-0000-00008E150000}"/>
    <cellStyle name="20% - Accent3 7 2 10 2" xfId="23499" xr:uid="{00000000-0005-0000-0000-00008F150000}"/>
    <cellStyle name="20% - Accent3 7 2 11" xfId="18753" xr:uid="{00000000-0005-0000-0000-000090150000}"/>
    <cellStyle name="20% - Accent3 7 2 2" xfId="1431" xr:uid="{00000000-0005-0000-0000-000091150000}"/>
    <cellStyle name="20% - Accent3 7 2 2 2" xfId="1432" xr:uid="{00000000-0005-0000-0000-000092150000}"/>
    <cellStyle name="20% - Accent3 7 2 2 2 2" xfId="10750" xr:uid="{00000000-0005-0000-0000-000093150000}"/>
    <cellStyle name="20% - Accent3 7 2 2 2 2 2" xfId="24692" xr:uid="{00000000-0005-0000-0000-000094150000}"/>
    <cellStyle name="20% - Accent3 7 2 2 2 3" xfId="18755" xr:uid="{00000000-0005-0000-0000-000095150000}"/>
    <cellStyle name="20% - Accent3 7 2 2 3" xfId="1433" xr:uid="{00000000-0005-0000-0000-000096150000}"/>
    <cellStyle name="20% - Accent3 7 2 2 3 2" xfId="12532" xr:uid="{00000000-0005-0000-0000-000097150000}"/>
    <cellStyle name="20% - Accent3 7 2 2 3 2 2" xfId="26244" xr:uid="{00000000-0005-0000-0000-000098150000}"/>
    <cellStyle name="20% - Accent3 7 2 2 3 3" xfId="18756" xr:uid="{00000000-0005-0000-0000-000099150000}"/>
    <cellStyle name="20% - Accent3 7 2 2 4" xfId="1434" xr:uid="{00000000-0005-0000-0000-00009A150000}"/>
    <cellStyle name="20% - Accent3 7 2 2 4 2" xfId="14841" xr:uid="{00000000-0005-0000-0000-00009B150000}"/>
    <cellStyle name="20% - Accent3 7 2 2 4 2 2" xfId="28390" xr:uid="{00000000-0005-0000-0000-00009C150000}"/>
    <cellStyle name="20% - Accent3 7 2 2 4 3" xfId="18757" xr:uid="{00000000-0005-0000-0000-00009D150000}"/>
    <cellStyle name="20% - Accent3 7 2 2 5" xfId="1435" xr:uid="{00000000-0005-0000-0000-00009E150000}"/>
    <cellStyle name="20% - Accent3 7 2 2 5 2" xfId="16862" xr:uid="{00000000-0005-0000-0000-00009F150000}"/>
    <cellStyle name="20% - Accent3 7 2 2 5 2 2" xfId="30269" xr:uid="{00000000-0005-0000-0000-0000A0150000}"/>
    <cellStyle name="20% - Accent3 7 2 2 5 3" xfId="18758" xr:uid="{00000000-0005-0000-0000-0000A1150000}"/>
    <cellStyle name="20% - Accent3 7 2 2 6" xfId="9025" xr:uid="{00000000-0005-0000-0000-0000A2150000}"/>
    <cellStyle name="20% - Accent3 7 2 2 6 2" xfId="23500" xr:uid="{00000000-0005-0000-0000-0000A3150000}"/>
    <cellStyle name="20% - Accent3 7 2 2 7" xfId="18754" xr:uid="{00000000-0005-0000-0000-0000A4150000}"/>
    <cellStyle name="20% - Accent3 7 2 3" xfId="1436" xr:uid="{00000000-0005-0000-0000-0000A5150000}"/>
    <cellStyle name="20% - Accent3 7 2 3 2" xfId="1437" xr:uid="{00000000-0005-0000-0000-0000A6150000}"/>
    <cellStyle name="20% - Accent3 7 2 3 2 2" xfId="14842" xr:uid="{00000000-0005-0000-0000-0000A7150000}"/>
    <cellStyle name="20% - Accent3 7 2 3 2 2 2" xfId="28391" xr:uid="{00000000-0005-0000-0000-0000A8150000}"/>
    <cellStyle name="20% - Accent3 7 2 3 2 3" xfId="18760" xr:uid="{00000000-0005-0000-0000-0000A9150000}"/>
    <cellStyle name="20% - Accent3 7 2 3 3" xfId="10749" xr:uid="{00000000-0005-0000-0000-0000AA150000}"/>
    <cellStyle name="20% - Accent3 7 2 3 3 2" xfId="24691" xr:uid="{00000000-0005-0000-0000-0000AB150000}"/>
    <cellStyle name="20% - Accent3 7 2 3 4" xfId="18759" xr:uid="{00000000-0005-0000-0000-0000AC150000}"/>
    <cellStyle name="20% - Accent3 7 2 4" xfId="1438" xr:uid="{00000000-0005-0000-0000-0000AD150000}"/>
    <cellStyle name="20% - Accent3 7 2 4 2" xfId="12250" xr:uid="{00000000-0005-0000-0000-0000AE150000}"/>
    <cellStyle name="20% - Accent3 7 2 4 2 2" xfId="25962" xr:uid="{00000000-0005-0000-0000-0000AF150000}"/>
    <cellStyle name="20% - Accent3 7 2 4 3" xfId="18761" xr:uid="{00000000-0005-0000-0000-0000B0150000}"/>
    <cellStyle name="20% - Accent3 7 2 5" xfId="1439" xr:uid="{00000000-0005-0000-0000-0000B1150000}"/>
    <cellStyle name="20% - Accent3 7 2 5 2" xfId="12531" xr:uid="{00000000-0005-0000-0000-0000B2150000}"/>
    <cellStyle name="20% - Accent3 7 2 5 2 2" xfId="26243" xr:uid="{00000000-0005-0000-0000-0000B3150000}"/>
    <cellStyle name="20% - Accent3 7 2 5 3" xfId="18762" xr:uid="{00000000-0005-0000-0000-0000B4150000}"/>
    <cellStyle name="20% - Accent3 7 2 6" xfId="1440" xr:uid="{00000000-0005-0000-0000-0000B5150000}"/>
    <cellStyle name="20% - Accent3 7 2 6 2" xfId="13814" xr:uid="{00000000-0005-0000-0000-0000B6150000}"/>
    <cellStyle name="20% - Accent3 7 2 6 2 2" xfId="27363" xr:uid="{00000000-0005-0000-0000-0000B7150000}"/>
    <cellStyle name="20% - Accent3 7 2 6 3" xfId="18763" xr:uid="{00000000-0005-0000-0000-0000B8150000}"/>
    <cellStyle name="20% - Accent3 7 2 7" xfId="1441" xr:uid="{00000000-0005-0000-0000-0000B9150000}"/>
    <cellStyle name="20% - Accent3 7 2 7 2" xfId="14395" xr:uid="{00000000-0005-0000-0000-0000BA150000}"/>
    <cellStyle name="20% - Accent3 7 2 7 2 2" xfId="27944" xr:uid="{00000000-0005-0000-0000-0000BB150000}"/>
    <cellStyle name="20% - Accent3 7 2 7 3" xfId="18764" xr:uid="{00000000-0005-0000-0000-0000BC150000}"/>
    <cellStyle name="20% - Accent3 7 2 8" xfId="1442" xr:uid="{00000000-0005-0000-0000-0000BD150000}"/>
    <cellStyle name="20% - Accent3 7 2 8 2" xfId="14840" xr:uid="{00000000-0005-0000-0000-0000BE150000}"/>
    <cellStyle name="20% - Accent3 7 2 8 2 2" xfId="28389" xr:uid="{00000000-0005-0000-0000-0000BF150000}"/>
    <cellStyle name="20% - Accent3 7 2 8 3" xfId="18765" xr:uid="{00000000-0005-0000-0000-0000C0150000}"/>
    <cellStyle name="20% - Accent3 7 2 9" xfId="1443" xr:uid="{00000000-0005-0000-0000-0000C1150000}"/>
    <cellStyle name="20% - Accent3 7 2 9 2" xfId="16281" xr:uid="{00000000-0005-0000-0000-0000C2150000}"/>
    <cellStyle name="20% - Accent3 7 2 9 2 2" xfId="29688" xr:uid="{00000000-0005-0000-0000-0000C3150000}"/>
    <cellStyle name="20% - Accent3 7 2 9 3" xfId="18766" xr:uid="{00000000-0005-0000-0000-0000C4150000}"/>
    <cellStyle name="20% - Accent3 7 3" xfId="1444" xr:uid="{00000000-0005-0000-0000-0000C5150000}"/>
    <cellStyle name="20% - Accent3 7 3 2" xfId="1445" xr:uid="{00000000-0005-0000-0000-0000C6150000}"/>
    <cellStyle name="20% - Accent3 7 3 2 2" xfId="10751" xr:uid="{00000000-0005-0000-0000-0000C7150000}"/>
    <cellStyle name="20% - Accent3 7 3 2 2 2" xfId="24693" xr:uid="{00000000-0005-0000-0000-0000C8150000}"/>
    <cellStyle name="20% - Accent3 7 3 2 3" xfId="18768" xr:uid="{00000000-0005-0000-0000-0000C9150000}"/>
    <cellStyle name="20% - Accent3 7 3 3" xfId="1446" xr:uid="{00000000-0005-0000-0000-0000CA150000}"/>
    <cellStyle name="20% - Accent3 7 3 3 2" xfId="12709" xr:uid="{00000000-0005-0000-0000-0000CB150000}"/>
    <cellStyle name="20% - Accent3 7 3 3 2 2" xfId="26421" xr:uid="{00000000-0005-0000-0000-0000CC150000}"/>
    <cellStyle name="20% - Accent3 7 3 3 3" xfId="18769" xr:uid="{00000000-0005-0000-0000-0000CD150000}"/>
    <cellStyle name="20% - Accent3 7 3 4" xfId="1447" xr:uid="{00000000-0005-0000-0000-0000CE150000}"/>
    <cellStyle name="20% - Accent3 7 3 4 2" xfId="14843" xr:uid="{00000000-0005-0000-0000-0000CF150000}"/>
    <cellStyle name="20% - Accent3 7 3 4 2 2" xfId="28392" xr:uid="{00000000-0005-0000-0000-0000D0150000}"/>
    <cellStyle name="20% - Accent3 7 3 4 3" xfId="18770" xr:uid="{00000000-0005-0000-0000-0000D1150000}"/>
    <cellStyle name="20% - Accent3 7 3 5" xfId="1448" xr:uid="{00000000-0005-0000-0000-0000D2150000}"/>
    <cellStyle name="20% - Accent3 7 3 5 2" xfId="16573" xr:uid="{00000000-0005-0000-0000-0000D3150000}"/>
    <cellStyle name="20% - Accent3 7 3 5 2 2" xfId="29980" xr:uid="{00000000-0005-0000-0000-0000D4150000}"/>
    <cellStyle name="20% - Accent3 7 3 5 3" xfId="18771" xr:uid="{00000000-0005-0000-0000-0000D5150000}"/>
    <cellStyle name="20% - Accent3 7 3 6" xfId="9026" xr:uid="{00000000-0005-0000-0000-0000D6150000}"/>
    <cellStyle name="20% - Accent3 7 3 6 2" xfId="23501" xr:uid="{00000000-0005-0000-0000-0000D7150000}"/>
    <cellStyle name="20% - Accent3 7 3 7" xfId="18767" xr:uid="{00000000-0005-0000-0000-0000D8150000}"/>
    <cellStyle name="20% - Accent3 7 4" xfId="1449" xr:uid="{00000000-0005-0000-0000-0000D9150000}"/>
    <cellStyle name="20% - Accent3 7 4 2" xfId="1450" xr:uid="{00000000-0005-0000-0000-0000DA150000}"/>
    <cellStyle name="20% - Accent3 7 4 2 2" xfId="14844" xr:uid="{00000000-0005-0000-0000-0000DB150000}"/>
    <cellStyle name="20% - Accent3 7 4 2 2 2" xfId="28393" xr:uid="{00000000-0005-0000-0000-0000DC150000}"/>
    <cellStyle name="20% - Accent3 7 4 2 3" xfId="18773" xr:uid="{00000000-0005-0000-0000-0000DD150000}"/>
    <cellStyle name="20% - Accent3 7 4 3" xfId="10748" xr:uid="{00000000-0005-0000-0000-0000DE150000}"/>
    <cellStyle name="20% - Accent3 7 4 3 2" xfId="24690" xr:uid="{00000000-0005-0000-0000-0000DF150000}"/>
    <cellStyle name="20% - Accent3 7 4 4" xfId="18772" xr:uid="{00000000-0005-0000-0000-0000E0150000}"/>
    <cellStyle name="20% - Accent3 7 5" xfId="1451" xr:uid="{00000000-0005-0000-0000-0000E1150000}"/>
    <cellStyle name="20% - Accent3 7 5 2" xfId="11948" xr:uid="{00000000-0005-0000-0000-0000E2150000}"/>
    <cellStyle name="20% - Accent3 7 5 2 2" xfId="25663" xr:uid="{00000000-0005-0000-0000-0000E3150000}"/>
    <cellStyle name="20% - Accent3 7 5 3" xfId="18774" xr:uid="{00000000-0005-0000-0000-0000E4150000}"/>
    <cellStyle name="20% - Accent3 7 6" xfId="1452" xr:uid="{00000000-0005-0000-0000-0000E5150000}"/>
    <cellStyle name="20% - Accent3 7 6 2" xfId="12495" xr:uid="{00000000-0005-0000-0000-0000E6150000}"/>
    <cellStyle name="20% - Accent3 7 6 2 2" xfId="26207" xr:uid="{00000000-0005-0000-0000-0000E7150000}"/>
    <cellStyle name="20% - Accent3 7 6 3" xfId="18775" xr:uid="{00000000-0005-0000-0000-0000E8150000}"/>
    <cellStyle name="20% - Accent3 7 7" xfId="1453" xr:uid="{00000000-0005-0000-0000-0000E9150000}"/>
    <cellStyle name="20% - Accent3 7 7 2" xfId="13525" xr:uid="{00000000-0005-0000-0000-0000EA150000}"/>
    <cellStyle name="20% - Accent3 7 7 2 2" xfId="27074" xr:uid="{00000000-0005-0000-0000-0000EB150000}"/>
    <cellStyle name="20% - Accent3 7 7 3" xfId="18776" xr:uid="{00000000-0005-0000-0000-0000EC150000}"/>
    <cellStyle name="20% - Accent3 7 8" xfId="1454" xr:uid="{00000000-0005-0000-0000-0000ED150000}"/>
    <cellStyle name="20% - Accent3 7 8 2" xfId="14106" xr:uid="{00000000-0005-0000-0000-0000EE150000}"/>
    <cellStyle name="20% - Accent3 7 8 2 2" xfId="27655" xr:uid="{00000000-0005-0000-0000-0000EF150000}"/>
    <cellStyle name="20% - Accent3 7 8 3" xfId="18777" xr:uid="{00000000-0005-0000-0000-0000F0150000}"/>
    <cellStyle name="20% - Accent3 7 9" xfId="1455" xr:uid="{00000000-0005-0000-0000-0000F1150000}"/>
    <cellStyle name="20% - Accent3 7 9 2" xfId="14839" xr:uid="{00000000-0005-0000-0000-0000F2150000}"/>
    <cellStyle name="20% - Accent3 7 9 2 2" xfId="28388" xr:uid="{00000000-0005-0000-0000-0000F3150000}"/>
    <cellStyle name="20% - Accent3 7 9 3" xfId="18778" xr:uid="{00000000-0005-0000-0000-0000F4150000}"/>
    <cellStyle name="20% - Accent3 8" xfId="1456" xr:uid="{00000000-0005-0000-0000-0000F5150000}"/>
    <cellStyle name="20% - Accent3 8 10" xfId="9027" xr:uid="{00000000-0005-0000-0000-0000F6150000}"/>
    <cellStyle name="20% - Accent3 8 10 2" xfId="23502" xr:uid="{00000000-0005-0000-0000-0000F7150000}"/>
    <cellStyle name="20% - Accent3 8 11" xfId="18779" xr:uid="{00000000-0005-0000-0000-0000F8150000}"/>
    <cellStyle name="20% - Accent3 8 2" xfId="1457" xr:uid="{00000000-0005-0000-0000-0000F9150000}"/>
    <cellStyle name="20% - Accent3 8 2 2" xfId="1458" xr:uid="{00000000-0005-0000-0000-0000FA150000}"/>
    <cellStyle name="20% - Accent3 8 2 2 2" xfId="10753" xr:uid="{00000000-0005-0000-0000-0000FB150000}"/>
    <cellStyle name="20% - Accent3 8 2 2 2 2" xfId="24695" xr:uid="{00000000-0005-0000-0000-0000FC150000}"/>
    <cellStyle name="20% - Accent3 8 2 2 3" xfId="18781" xr:uid="{00000000-0005-0000-0000-0000FD150000}"/>
    <cellStyle name="20% - Accent3 8 2 3" xfId="1459" xr:uid="{00000000-0005-0000-0000-0000FE150000}"/>
    <cellStyle name="20% - Accent3 8 2 3 2" xfId="12111" xr:uid="{00000000-0005-0000-0000-0000FF150000}"/>
    <cellStyle name="20% - Accent3 8 2 3 2 2" xfId="25823" xr:uid="{00000000-0005-0000-0000-000000160000}"/>
    <cellStyle name="20% - Accent3 8 2 3 3" xfId="18782" xr:uid="{00000000-0005-0000-0000-000001160000}"/>
    <cellStyle name="20% - Accent3 8 2 4" xfId="1460" xr:uid="{00000000-0005-0000-0000-000002160000}"/>
    <cellStyle name="20% - Accent3 8 2 4 2" xfId="14846" xr:uid="{00000000-0005-0000-0000-000003160000}"/>
    <cellStyle name="20% - Accent3 8 2 4 2 2" xfId="28395" xr:uid="{00000000-0005-0000-0000-000004160000}"/>
    <cellStyle name="20% - Accent3 8 2 4 3" xfId="18783" xr:uid="{00000000-0005-0000-0000-000005160000}"/>
    <cellStyle name="20% - Accent3 8 2 5" xfId="1461" xr:uid="{00000000-0005-0000-0000-000006160000}"/>
    <cellStyle name="20% - Accent3 8 2 5 2" xfId="16714" xr:uid="{00000000-0005-0000-0000-000007160000}"/>
    <cellStyle name="20% - Accent3 8 2 5 2 2" xfId="30121" xr:uid="{00000000-0005-0000-0000-000008160000}"/>
    <cellStyle name="20% - Accent3 8 2 5 3" xfId="18784" xr:uid="{00000000-0005-0000-0000-000009160000}"/>
    <cellStyle name="20% - Accent3 8 2 6" xfId="9028" xr:uid="{00000000-0005-0000-0000-00000A160000}"/>
    <cellStyle name="20% - Accent3 8 2 6 2" xfId="23503" xr:uid="{00000000-0005-0000-0000-00000B160000}"/>
    <cellStyle name="20% - Accent3 8 2 7" xfId="18780" xr:uid="{00000000-0005-0000-0000-00000C160000}"/>
    <cellStyle name="20% - Accent3 8 3" xfId="1462" xr:uid="{00000000-0005-0000-0000-00000D160000}"/>
    <cellStyle name="20% - Accent3 8 3 2" xfId="1463" xr:uid="{00000000-0005-0000-0000-00000E160000}"/>
    <cellStyle name="20% - Accent3 8 3 2 2" xfId="14847" xr:uid="{00000000-0005-0000-0000-00000F160000}"/>
    <cellStyle name="20% - Accent3 8 3 2 2 2" xfId="28396" xr:uid="{00000000-0005-0000-0000-000010160000}"/>
    <cellStyle name="20% - Accent3 8 3 2 3" xfId="18786" xr:uid="{00000000-0005-0000-0000-000011160000}"/>
    <cellStyle name="20% - Accent3 8 3 3" xfId="10752" xr:uid="{00000000-0005-0000-0000-000012160000}"/>
    <cellStyle name="20% - Accent3 8 3 3 2" xfId="24694" xr:uid="{00000000-0005-0000-0000-000013160000}"/>
    <cellStyle name="20% - Accent3 8 3 4" xfId="18785" xr:uid="{00000000-0005-0000-0000-000014160000}"/>
    <cellStyle name="20% - Accent3 8 4" xfId="1464" xr:uid="{00000000-0005-0000-0000-000015160000}"/>
    <cellStyle name="20% - Accent3 8 4 2" xfId="12092" xr:uid="{00000000-0005-0000-0000-000016160000}"/>
    <cellStyle name="20% - Accent3 8 4 2 2" xfId="25806" xr:uid="{00000000-0005-0000-0000-000017160000}"/>
    <cellStyle name="20% - Accent3 8 4 3" xfId="18787" xr:uid="{00000000-0005-0000-0000-000018160000}"/>
    <cellStyle name="20% - Accent3 8 5" xfId="1465" xr:uid="{00000000-0005-0000-0000-000019160000}"/>
    <cellStyle name="20% - Accent3 8 5 2" xfId="12107" xr:uid="{00000000-0005-0000-0000-00001A160000}"/>
    <cellStyle name="20% - Accent3 8 5 2 2" xfId="25819" xr:uid="{00000000-0005-0000-0000-00001B160000}"/>
    <cellStyle name="20% - Accent3 8 5 3" xfId="18788" xr:uid="{00000000-0005-0000-0000-00001C160000}"/>
    <cellStyle name="20% - Accent3 8 6" xfId="1466" xr:uid="{00000000-0005-0000-0000-00001D160000}"/>
    <cellStyle name="20% - Accent3 8 6 2" xfId="13666" xr:uid="{00000000-0005-0000-0000-00001E160000}"/>
    <cellStyle name="20% - Accent3 8 6 2 2" xfId="27215" xr:uid="{00000000-0005-0000-0000-00001F160000}"/>
    <cellStyle name="20% - Accent3 8 6 3" xfId="18789" xr:uid="{00000000-0005-0000-0000-000020160000}"/>
    <cellStyle name="20% - Accent3 8 7" xfId="1467" xr:uid="{00000000-0005-0000-0000-000021160000}"/>
    <cellStyle name="20% - Accent3 8 7 2" xfId="14247" xr:uid="{00000000-0005-0000-0000-000022160000}"/>
    <cellStyle name="20% - Accent3 8 7 2 2" xfId="27796" xr:uid="{00000000-0005-0000-0000-000023160000}"/>
    <cellStyle name="20% - Accent3 8 7 3" xfId="18790" xr:uid="{00000000-0005-0000-0000-000024160000}"/>
    <cellStyle name="20% - Accent3 8 8" xfId="1468" xr:uid="{00000000-0005-0000-0000-000025160000}"/>
    <cellStyle name="20% - Accent3 8 8 2" xfId="14845" xr:uid="{00000000-0005-0000-0000-000026160000}"/>
    <cellStyle name="20% - Accent3 8 8 2 2" xfId="28394" xr:uid="{00000000-0005-0000-0000-000027160000}"/>
    <cellStyle name="20% - Accent3 8 8 3" xfId="18791" xr:uid="{00000000-0005-0000-0000-000028160000}"/>
    <cellStyle name="20% - Accent3 8 9" xfId="1469" xr:uid="{00000000-0005-0000-0000-000029160000}"/>
    <cellStyle name="20% - Accent3 8 9 2" xfId="16133" xr:uid="{00000000-0005-0000-0000-00002A160000}"/>
    <cellStyle name="20% - Accent3 8 9 2 2" xfId="29540" xr:uid="{00000000-0005-0000-0000-00002B160000}"/>
    <cellStyle name="20% - Accent3 8 9 3" xfId="18792" xr:uid="{00000000-0005-0000-0000-00002C160000}"/>
    <cellStyle name="20% - Accent3 9" xfId="1470" xr:uid="{00000000-0005-0000-0000-00002D160000}"/>
    <cellStyle name="20% - Accent3 9 2" xfId="1471" xr:uid="{00000000-0005-0000-0000-00002E160000}"/>
    <cellStyle name="20% - Accent3 9 2 2" xfId="10754" xr:uid="{00000000-0005-0000-0000-00002F160000}"/>
    <cellStyle name="20% - Accent3 9 2 2 2" xfId="24696" xr:uid="{00000000-0005-0000-0000-000030160000}"/>
    <cellStyle name="20% - Accent3 9 2 3" xfId="18794" xr:uid="{00000000-0005-0000-0000-000031160000}"/>
    <cellStyle name="20% - Accent3 9 3" xfId="1472" xr:uid="{00000000-0005-0000-0000-000032160000}"/>
    <cellStyle name="20% - Accent3 9 3 2" xfId="11761" xr:uid="{00000000-0005-0000-0000-000033160000}"/>
    <cellStyle name="20% - Accent3 9 3 2 2" xfId="25476" xr:uid="{00000000-0005-0000-0000-000034160000}"/>
    <cellStyle name="20% - Accent3 9 3 3" xfId="18795" xr:uid="{00000000-0005-0000-0000-000035160000}"/>
    <cellStyle name="20% - Accent3 9 4" xfId="1473" xr:uid="{00000000-0005-0000-0000-000036160000}"/>
    <cellStyle name="20% - Accent3 9 4 2" xfId="14848" xr:uid="{00000000-0005-0000-0000-000037160000}"/>
    <cellStyle name="20% - Accent3 9 4 2 2" xfId="28397" xr:uid="{00000000-0005-0000-0000-000038160000}"/>
    <cellStyle name="20% - Accent3 9 4 3" xfId="18796" xr:uid="{00000000-0005-0000-0000-000039160000}"/>
    <cellStyle name="20% - Accent3 9 5" xfId="1474" xr:uid="{00000000-0005-0000-0000-00003A160000}"/>
    <cellStyle name="20% - Accent3 9 5 2" xfId="17098" xr:uid="{00000000-0005-0000-0000-00003B160000}"/>
    <cellStyle name="20% - Accent3 9 5 2 2" xfId="30457" xr:uid="{00000000-0005-0000-0000-00003C160000}"/>
    <cellStyle name="20% - Accent3 9 5 3" xfId="18797" xr:uid="{00000000-0005-0000-0000-00003D160000}"/>
    <cellStyle name="20% - Accent3 9 6" xfId="9029" xr:uid="{00000000-0005-0000-0000-00003E160000}"/>
    <cellStyle name="20% - Accent3 9 6 2" xfId="23504" xr:uid="{00000000-0005-0000-0000-00003F160000}"/>
    <cellStyle name="20% - Accent3 9 7" xfId="18793" xr:uid="{00000000-0005-0000-0000-000040160000}"/>
    <cellStyle name="20% - Accent4" xfId="40" builtinId="42" customBuiltin="1"/>
    <cellStyle name="20% - Accent4 10" xfId="1475" xr:uid="{00000000-0005-0000-0000-000042160000}"/>
    <cellStyle name="20% - Accent4 10 2" xfId="1476" xr:uid="{00000000-0005-0000-0000-000043160000}"/>
    <cellStyle name="20% - Accent4 10 2 2" xfId="1477" xr:uid="{00000000-0005-0000-0000-000044160000}"/>
    <cellStyle name="20% - Accent4 10 2 2 2" xfId="12458" xr:uid="{00000000-0005-0000-0000-000045160000}"/>
    <cellStyle name="20% - Accent4 10 2 2 2 2" xfId="26170" xr:uid="{00000000-0005-0000-0000-000046160000}"/>
    <cellStyle name="20% - Accent4 10 2 2 3" xfId="18800" xr:uid="{00000000-0005-0000-0000-000047160000}"/>
    <cellStyle name="20% - Accent4 10 2 3" xfId="1478" xr:uid="{00000000-0005-0000-0000-000048160000}"/>
    <cellStyle name="20% - Accent4 10 2 3 2" xfId="14851" xr:uid="{00000000-0005-0000-0000-000049160000}"/>
    <cellStyle name="20% - Accent4 10 2 3 2 2" xfId="28400" xr:uid="{00000000-0005-0000-0000-00004A160000}"/>
    <cellStyle name="20% - Accent4 10 2 3 3" xfId="18801" xr:uid="{00000000-0005-0000-0000-00004B160000}"/>
    <cellStyle name="20% - Accent4 10 2 4" xfId="10756" xr:uid="{00000000-0005-0000-0000-00004C160000}"/>
    <cellStyle name="20% - Accent4 10 2 4 2" xfId="24698" xr:uid="{00000000-0005-0000-0000-00004D160000}"/>
    <cellStyle name="20% - Accent4 10 2 5" xfId="18799" xr:uid="{00000000-0005-0000-0000-00004E160000}"/>
    <cellStyle name="20% - Accent4 10 3" xfId="1479" xr:uid="{00000000-0005-0000-0000-00004F160000}"/>
    <cellStyle name="20% - Accent4 10 3 2" xfId="12697" xr:uid="{00000000-0005-0000-0000-000050160000}"/>
    <cellStyle name="20% - Accent4 10 3 2 2" xfId="26409" xr:uid="{00000000-0005-0000-0000-000051160000}"/>
    <cellStyle name="20% - Accent4 10 3 3" xfId="18802" xr:uid="{00000000-0005-0000-0000-000052160000}"/>
    <cellStyle name="20% - Accent4 10 4" xfId="1480" xr:uid="{00000000-0005-0000-0000-000053160000}"/>
    <cellStyle name="20% - Accent4 10 4 2" xfId="14850" xr:uid="{00000000-0005-0000-0000-000054160000}"/>
    <cellStyle name="20% - Accent4 10 4 2 2" xfId="28399" xr:uid="{00000000-0005-0000-0000-000055160000}"/>
    <cellStyle name="20% - Accent4 10 4 3" xfId="18803" xr:uid="{00000000-0005-0000-0000-000056160000}"/>
    <cellStyle name="20% - Accent4 10 5" xfId="1481" xr:uid="{00000000-0005-0000-0000-000057160000}"/>
    <cellStyle name="20% - Accent4 10 5 2" xfId="17188" xr:uid="{00000000-0005-0000-0000-000058160000}"/>
    <cellStyle name="20% - Accent4 10 5 2 2" xfId="30547" xr:uid="{00000000-0005-0000-0000-000059160000}"/>
    <cellStyle name="20% - Accent4 10 5 3" xfId="18804" xr:uid="{00000000-0005-0000-0000-00005A160000}"/>
    <cellStyle name="20% - Accent4 10 6" xfId="9031" xr:uid="{00000000-0005-0000-0000-00005B160000}"/>
    <cellStyle name="20% - Accent4 10 6 2" xfId="23506" xr:uid="{00000000-0005-0000-0000-00005C160000}"/>
    <cellStyle name="20% - Accent4 10 7" xfId="18798" xr:uid="{00000000-0005-0000-0000-00005D160000}"/>
    <cellStyle name="20% - Accent4 11" xfId="1482" xr:uid="{00000000-0005-0000-0000-00005E160000}"/>
    <cellStyle name="20% - Accent4 11 2" xfId="1483" xr:uid="{00000000-0005-0000-0000-00005F160000}"/>
    <cellStyle name="20% - Accent4 11 2 2" xfId="10757" xr:uid="{00000000-0005-0000-0000-000060160000}"/>
    <cellStyle name="20% - Accent4 11 2 2 2" xfId="24699" xr:uid="{00000000-0005-0000-0000-000061160000}"/>
    <cellStyle name="20% - Accent4 11 2 3" xfId="18806" xr:uid="{00000000-0005-0000-0000-000062160000}"/>
    <cellStyle name="20% - Accent4 11 3" xfId="1484" xr:uid="{00000000-0005-0000-0000-000063160000}"/>
    <cellStyle name="20% - Accent4 11 3 2" xfId="12588" xr:uid="{00000000-0005-0000-0000-000064160000}"/>
    <cellStyle name="20% - Accent4 11 3 2 2" xfId="26300" xr:uid="{00000000-0005-0000-0000-000065160000}"/>
    <cellStyle name="20% - Accent4 11 3 3" xfId="18807" xr:uid="{00000000-0005-0000-0000-000066160000}"/>
    <cellStyle name="20% - Accent4 11 4" xfId="1485" xr:uid="{00000000-0005-0000-0000-000067160000}"/>
    <cellStyle name="20% - Accent4 11 4 2" xfId="14852" xr:uid="{00000000-0005-0000-0000-000068160000}"/>
    <cellStyle name="20% - Accent4 11 4 2 2" xfId="28401" xr:uid="{00000000-0005-0000-0000-000069160000}"/>
    <cellStyle name="20% - Accent4 11 4 3" xfId="18808" xr:uid="{00000000-0005-0000-0000-00006A160000}"/>
    <cellStyle name="20% - Accent4 11 5" xfId="1486" xr:uid="{00000000-0005-0000-0000-00006B160000}"/>
    <cellStyle name="20% - Accent4 11 5 2" xfId="17277" xr:uid="{00000000-0005-0000-0000-00006C160000}"/>
    <cellStyle name="20% - Accent4 11 5 2 2" xfId="30636" xr:uid="{00000000-0005-0000-0000-00006D160000}"/>
    <cellStyle name="20% - Accent4 11 5 3" xfId="18809" xr:uid="{00000000-0005-0000-0000-00006E160000}"/>
    <cellStyle name="20% - Accent4 11 6" xfId="9032" xr:uid="{00000000-0005-0000-0000-00006F160000}"/>
    <cellStyle name="20% - Accent4 11 6 2" xfId="23507" xr:uid="{00000000-0005-0000-0000-000070160000}"/>
    <cellStyle name="20% - Accent4 11 7" xfId="18805" xr:uid="{00000000-0005-0000-0000-000071160000}"/>
    <cellStyle name="20% - Accent4 12" xfId="1487" xr:uid="{00000000-0005-0000-0000-000072160000}"/>
    <cellStyle name="20% - Accent4 12 2" xfId="1488" xr:uid="{00000000-0005-0000-0000-000073160000}"/>
    <cellStyle name="20% - Accent4 12 2 2" xfId="1489" xr:uid="{00000000-0005-0000-0000-000074160000}"/>
    <cellStyle name="20% - Accent4 12 2 2 2" xfId="10759" xr:uid="{00000000-0005-0000-0000-000075160000}"/>
    <cellStyle name="20% - Accent4 12 2 2 2 2" xfId="24701" xr:uid="{00000000-0005-0000-0000-000076160000}"/>
    <cellStyle name="20% - Accent4 12 2 2 3" xfId="18812" xr:uid="{00000000-0005-0000-0000-000077160000}"/>
    <cellStyle name="20% - Accent4 12 2 3" xfId="1490" xr:uid="{00000000-0005-0000-0000-000078160000}"/>
    <cellStyle name="20% - Accent4 12 2 3 2" xfId="12773" xr:uid="{00000000-0005-0000-0000-000079160000}"/>
    <cellStyle name="20% - Accent4 12 2 3 2 2" xfId="26485" xr:uid="{00000000-0005-0000-0000-00007A160000}"/>
    <cellStyle name="20% - Accent4 12 2 3 3" xfId="18813" xr:uid="{00000000-0005-0000-0000-00007B160000}"/>
    <cellStyle name="20% - Accent4 12 2 4" xfId="1491" xr:uid="{00000000-0005-0000-0000-00007C160000}"/>
    <cellStyle name="20% - Accent4 12 2 4 2" xfId="14854" xr:uid="{00000000-0005-0000-0000-00007D160000}"/>
    <cellStyle name="20% - Accent4 12 2 4 2 2" xfId="28403" xr:uid="{00000000-0005-0000-0000-00007E160000}"/>
    <cellStyle name="20% - Accent4 12 2 4 3" xfId="18814" xr:uid="{00000000-0005-0000-0000-00007F160000}"/>
    <cellStyle name="20% - Accent4 12 2 5" xfId="9034" xr:uid="{00000000-0005-0000-0000-000080160000}"/>
    <cellStyle name="20% - Accent4 12 2 5 2" xfId="23509" xr:uid="{00000000-0005-0000-0000-000081160000}"/>
    <cellStyle name="20% - Accent4 12 2 6" xfId="18811" xr:uid="{00000000-0005-0000-0000-000082160000}"/>
    <cellStyle name="20% - Accent4 12 3" xfId="1492" xr:uid="{00000000-0005-0000-0000-000083160000}"/>
    <cellStyle name="20% - Accent4 12 3 2" xfId="10758" xr:uid="{00000000-0005-0000-0000-000084160000}"/>
    <cellStyle name="20% - Accent4 12 3 2 2" xfId="24700" xr:uid="{00000000-0005-0000-0000-000085160000}"/>
    <cellStyle name="20% - Accent4 12 3 3" xfId="18815" xr:uid="{00000000-0005-0000-0000-000086160000}"/>
    <cellStyle name="20% - Accent4 12 4" xfId="1493" xr:uid="{00000000-0005-0000-0000-000087160000}"/>
    <cellStyle name="20% - Accent4 12 4 2" xfId="12465" xr:uid="{00000000-0005-0000-0000-000088160000}"/>
    <cellStyle name="20% - Accent4 12 4 2 2" xfId="26177" xr:uid="{00000000-0005-0000-0000-000089160000}"/>
    <cellStyle name="20% - Accent4 12 4 3" xfId="18816" xr:uid="{00000000-0005-0000-0000-00008A160000}"/>
    <cellStyle name="20% - Accent4 12 5" xfId="1494" xr:uid="{00000000-0005-0000-0000-00008B160000}"/>
    <cellStyle name="20% - Accent4 12 5 2" xfId="14853" xr:uid="{00000000-0005-0000-0000-00008C160000}"/>
    <cellStyle name="20% - Accent4 12 5 2 2" xfId="28402" xr:uid="{00000000-0005-0000-0000-00008D160000}"/>
    <cellStyle name="20% - Accent4 12 5 3" xfId="18817" xr:uid="{00000000-0005-0000-0000-00008E160000}"/>
    <cellStyle name="20% - Accent4 12 6" xfId="1495" xr:uid="{00000000-0005-0000-0000-00008F160000}"/>
    <cellStyle name="20% - Accent4 12 6 2" xfId="16429" xr:uid="{00000000-0005-0000-0000-000090160000}"/>
    <cellStyle name="20% - Accent4 12 6 2 2" xfId="29836" xr:uid="{00000000-0005-0000-0000-000091160000}"/>
    <cellStyle name="20% - Accent4 12 6 3" xfId="18818" xr:uid="{00000000-0005-0000-0000-000092160000}"/>
    <cellStyle name="20% - Accent4 12 7" xfId="9033" xr:uid="{00000000-0005-0000-0000-000093160000}"/>
    <cellStyle name="20% - Accent4 12 7 2" xfId="23508" xr:uid="{00000000-0005-0000-0000-000094160000}"/>
    <cellStyle name="20% - Accent4 12 8" xfId="18810" xr:uid="{00000000-0005-0000-0000-000095160000}"/>
    <cellStyle name="20% - Accent4 13" xfId="1496" xr:uid="{00000000-0005-0000-0000-000096160000}"/>
    <cellStyle name="20% - Accent4 13 2" xfId="1497" xr:uid="{00000000-0005-0000-0000-000097160000}"/>
    <cellStyle name="20% - Accent4 13 2 2" xfId="10760" xr:uid="{00000000-0005-0000-0000-000098160000}"/>
    <cellStyle name="20% - Accent4 13 2 2 2" xfId="24702" xr:uid="{00000000-0005-0000-0000-000099160000}"/>
    <cellStyle name="20% - Accent4 13 2 3" xfId="18820" xr:uid="{00000000-0005-0000-0000-00009A160000}"/>
    <cellStyle name="20% - Accent4 13 3" xfId="1498" xr:uid="{00000000-0005-0000-0000-00009B160000}"/>
    <cellStyle name="20% - Accent4 13 3 2" xfId="12484" xr:uid="{00000000-0005-0000-0000-00009C160000}"/>
    <cellStyle name="20% - Accent4 13 3 2 2" xfId="26196" xr:uid="{00000000-0005-0000-0000-00009D160000}"/>
    <cellStyle name="20% - Accent4 13 3 3" xfId="18821" xr:uid="{00000000-0005-0000-0000-00009E160000}"/>
    <cellStyle name="20% - Accent4 13 4" xfId="1499" xr:uid="{00000000-0005-0000-0000-00009F160000}"/>
    <cellStyle name="20% - Accent4 13 4 2" xfId="14855" xr:uid="{00000000-0005-0000-0000-0000A0160000}"/>
    <cellStyle name="20% - Accent4 13 4 2 2" xfId="28404" xr:uid="{00000000-0005-0000-0000-0000A1160000}"/>
    <cellStyle name="20% - Accent4 13 4 3" xfId="18822" xr:uid="{00000000-0005-0000-0000-0000A2160000}"/>
    <cellStyle name="20% - Accent4 13 5" xfId="9035" xr:uid="{00000000-0005-0000-0000-0000A3160000}"/>
    <cellStyle name="20% - Accent4 13 5 2" xfId="23510" xr:uid="{00000000-0005-0000-0000-0000A4160000}"/>
    <cellStyle name="20% - Accent4 13 6" xfId="18819" xr:uid="{00000000-0005-0000-0000-0000A5160000}"/>
    <cellStyle name="20% - Accent4 14" xfId="1500" xr:uid="{00000000-0005-0000-0000-0000A6160000}"/>
    <cellStyle name="20% - Accent4 14 2" xfId="1501" xr:uid="{00000000-0005-0000-0000-0000A7160000}"/>
    <cellStyle name="20% - Accent4 14 2 2" xfId="10761" xr:uid="{00000000-0005-0000-0000-0000A8160000}"/>
    <cellStyle name="20% - Accent4 14 2 2 2" xfId="24703" xr:uid="{00000000-0005-0000-0000-0000A9160000}"/>
    <cellStyle name="20% - Accent4 14 2 3" xfId="18824" xr:uid="{00000000-0005-0000-0000-0000AA160000}"/>
    <cellStyle name="20% - Accent4 14 3" xfId="1502" xr:uid="{00000000-0005-0000-0000-0000AB160000}"/>
    <cellStyle name="20% - Accent4 14 3 2" xfId="12575" xr:uid="{00000000-0005-0000-0000-0000AC160000}"/>
    <cellStyle name="20% - Accent4 14 3 2 2" xfId="26287" xr:uid="{00000000-0005-0000-0000-0000AD160000}"/>
    <cellStyle name="20% - Accent4 14 3 3" xfId="18825" xr:uid="{00000000-0005-0000-0000-0000AE160000}"/>
    <cellStyle name="20% - Accent4 14 4" xfId="1503" xr:uid="{00000000-0005-0000-0000-0000AF160000}"/>
    <cellStyle name="20% - Accent4 14 4 2" xfId="14856" xr:uid="{00000000-0005-0000-0000-0000B0160000}"/>
    <cellStyle name="20% - Accent4 14 4 2 2" xfId="28405" xr:uid="{00000000-0005-0000-0000-0000B1160000}"/>
    <cellStyle name="20% - Accent4 14 4 3" xfId="18826" xr:uid="{00000000-0005-0000-0000-0000B2160000}"/>
    <cellStyle name="20% - Accent4 14 5" xfId="9036" xr:uid="{00000000-0005-0000-0000-0000B3160000}"/>
    <cellStyle name="20% - Accent4 14 5 2" xfId="23511" xr:uid="{00000000-0005-0000-0000-0000B4160000}"/>
    <cellStyle name="20% - Accent4 14 6" xfId="18823" xr:uid="{00000000-0005-0000-0000-0000B5160000}"/>
    <cellStyle name="20% - Accent4 15" xfId="1504" xr:uid="{00000000-0005-0000-0000-0000B6160000}"/>
    <cellStyle name="20% - Accent4 15 2" xfId="1505" xr:uid="{00000000-0005-0000-0000-0000B7160000}"/>
    <cellStyle name="20% - Accent4 15 2 2" xfId="10762" xr:uid="{00000000-0005-0000-0000-0000B8160000}"/>
    <cellStyle name="20% - Accent4 15 2 2 2" xfId="24704" xr:uid="{00000000-0005-0000-0000-0000B9160000}"/>
    <cellStyle name="20% - Accent4 15 2 3" xfId="18828" xr:uid="{00000000-0005-0000-0000-0000BA160000}"/>
    <cellStyle name="20% - Accent4 15 3" xfId="1506" xr:uid="{00000000-0005-0000-0000-0000BB160000}"/>
    <cellStyle name="20% - Accent4 15 3 2" xfId="12491" xr:uid="{00000000-0005-0000-0000-0000BC160000}"/>
    <cellStyle name="20% - Accent4 15 3 2 2" xfId="26203" xr:uid="{00000000-0005-0000-0000-0000BD160000}"/>
    <cellStyle name="20% - Accent4 15 3 3" xfId="18829" xr:uid="{00000000-0005-0000-0000-0000BE160000}"/>
    <cellStyle name="20% - Accent4 15 4" xfId="1507" xr:uid="{00000000-0005-0000-0000-0000BF160000}"/>
    <cellStyle name="20% - Accent4 15 4 2" xfId="14857" xr:uid="{00000000-0005-0000-0000-0000C0160000}"/>
    <cellStyle name="20% - Accent4 15 4 2 2" xfId="28406" xr:uid="{00000000-0005-0000-0000-0000C1160000}"/>
    <cellStyle name="20% - Accent4 15 4 3" xfId="18830" xr:uid="{00000000-0005-0000-0000-0000C2160000}"/>
    <cellStyle name="20% - Accent4 15 5" xfId="9037" xr:uid="{00000000-0005-0000-0000-0000C3160000}"/>
    <cellStyle name="20% - Accent4 15 5 2" xfId="23512" xr:uid="{00000000-0005-0000-0000-0000C4160000}"/>
    <cellStyle name="20% - Accent4 15 6" xfId="18827" xr:uid="{00000000-0005-0000-0000-0000C5160000}"/>
    <cellStyle name="20% - Accent4 16" xfId="1508" xr:uid="{00000000-0005-0000-0000-0000C6160000}"/>
    <cellStyle name="20% - Accent4 16 2" xfId="1509" xr:uid="{00000000-0005-0000-0000-0000C7160000}"/>
    <cellStyle name="20% - Accent4 16 2 2" xfId="10763" xr:uid="{00000000-0005-0000-0000-0000C8160000}"/>
    <cellStyle name="20% - Accent4 16 2 2 2" xfId="24705" xr:uid="{00000000-0005-0000-0000-0000C9160000}"/>
    <cellStyle name="20% - Accent4 16 2 3" xfId="18832" xr:uid="{00000000-0005-0000-0000-0000CA160000}"/>
    <cellStyle name="20% - Accent4 16 3" xfId="1510" xr:uid="{00000000-0005-0000-0000-0000CB160000}"/>
    <cellStyle name="20% - Accent4 16 3 2" xfId="12741" xr:uid="{00000000-0005-0000-0000-0000CC160000}"/>
    <cellStyle name="20% - Accent4 16 3 2 2" xfId="26453" xr:uid="{00000000-0005-0000-0000-0000CD160000}"/>
    <cellStyle name="20% - Accent4 16 3 3" xfId="18833" xr:uid="{00000000-0005-0000-0000-0000CE160000}"/>
    <cellStyle name="20% - Accent4 16 4" xfId="1511" xr:uid="{00000000-0005-0000-0000-0000CF160000}"/>
    <cellStyle name="20% - Accent4 16 4 2" xfId="14858" xr:uid="{00000000-0005-0000-0000-0000D0160000}"/>
    <cellStyle name="20% - Accent4 16 4 2 2" xfId="28407" xr:uid="{00000000-0005-0000-0000-0000D1160000}"/>
    <cellStyle name="20% - Accent4 16 4 3" xfId="18834" xr:uid="{00000000-0005-0000-0000-0000D2160000}"/>
    <cellStyle name="20% - Accent4 16 5" xfId="9038" xr:uid="{00000000-0005-0000-0000-0000D3160000}"/>
    <cellStyle name="20% - Accent4 16 5 2" xfId="23513" xr:uid="{00000000-0005-0000-0000-0000D4160000}"/>
    <cellStyle name="20% - Accent4 16 6" xfId="18831" xr:uid="{00000000-0005-0000-0000-0000D5160000}"/>
    <cellStyle name="20% - Accent4 17" xfId="1512" xr:uid="{00000000-0005-0000-0000-0000D6160000}"/>
    <cellStyle name="20% - Accent4 17 2" xfId="1513" xr:uid="{00000000-0005-0000-0000-0000D7160000}"/>
    <cellStyle name="20% - Accent4 17 2 2" xfId="10764" xr:uid="{00000000-0005-0000-0000-0000D8160000}"/>
    <cellStyle name="20% - Accent4 17 2 2 2" xfId="24706" xr:uid="{00000000-0005-0000-0000-0000D9160000}"/>
    <cellStyle name="20% - Accent4 17 2 3" xfId="18836" xr:uid="{00000000-0005-0000-0000-0000DA160000}"/>
    <cellStyle name="20% - Accent4 17 3" xfId="1514" xr:uid="{00000000-0005-0000-0000-0000DB160000}"/>
    <cellStyle name="20% - Accent4 17 3 2" xfId="12779" xr:uid="{00000000-0005-0000-0000-0000DC160000}"/>
    <cellStyle name="20% - Accent4 17 3 2 2" xfId="26491" xr:uid="{00000000-0005-0000-0000-0000DD160000}"/>
    <cellStyle name="20% - Accent4 17 3 3" xfId="18837" xr:uid="{00000000-0005-0000-0000-0000DE160000}"/>
    <cellStyle name="20% - Accent4 17 4" xfId="1515" xr:uid="{00000000-0005-0000-0000-0000DF160000}"/>
    <cellStyle name="20% - Accent4 17 4 2" xfId="14859" xr:uid="{00000000-0005-0000-0000-0000E0160000}"/>
    <cellStyle name="20% - Accent4 17 4 2 2" xfId="28408" xr:uid="{00000000-0005-0000-0000-0000E1160000}"/>
    <cellStyle name="20% - Accent4 17 4 3" xfId="18838" xr:uid="{00000000-0005-0000-0000-0000E2160000}"/>
    <cellStyle name="20% - Accent4 17 5" xfId="9039" xr:uid="{00000000-0005-0000-0000-0000E3160000}"/>
    <cellStyle name="20% - Accent4 17 5 2" xfId="23514" xr:uid="{00000000-0005-0000-0000-0000E4160000}"/>
    <cellStyle name="20% - Accent4 17 6" xfId="18835" xr:uid="{00000000-0005-0000-0000-0000E5160000}"/>
    <cellStyle name="20% - Accent4 18" xfId="1516" xr:uid="{00000000-0005-0000-0000-0000E6160000}"/>
    <cellStyle name="20% - Accent4 18 2" xfId="1517" xr:uid="{00000000-0005-0000-0000-0000E7160000}"/>
    <cellStyle name="20% - Accent4 18 2 2" xfId="10765" xr:uid="{00000000-0005-0000-0000-0000E8160000}"/>
    <cellStyle name="20% - Accent4 18 2 2 2" xfId="24707" xr:uid="{00000000-0005-0000-0000-0000E9160000}"/>
    <cellStyle name="20% - Accent4 18 2 3" xfId="18840" xr:uid="{00000000-0005-0000-0000-0000EA160000}"/>
    <cellStyle name="20% - Accent4 18 3" xfId="1518" xr:uid="{00000000-0005-0000-0000-0000EB160000}"/>
    <cellStyle name="20% - Accent4 18 3 2" xfId="12490" xr:uid="{00000000-0005-0000-0000-0000EC160000}"/>
    <cellStyle name="20% - Accent4 18 3 2 2" xfId="26202" xr:uid="{00000000-0005-0000-0000-0000ED160000}"/>
    <cellStyle name="20% - Accent4 18 3 3" xfId="18841" xr:uid="{00000000-0005-0000-0000-0000EE160000}"/>
    <cellStyle name="20% - Accent4 18 4" xfId="1519" xr:uid="{00000000-0005-0000-0000-0000EF160000}"/>
    <cellStyle name="20% - Accent4 18 4 2" xfId="14860" xr:uid="{00000000-0005-0000-0000-0000F0160000}"/>
    <cellStyle name="20% - Accent4 18 4 2 2" xfId="28409" xr:uid="{00000000-0005-0000-0000-0000F1160000}"/>
    <cellStyle name="20% - Accent4 18 4 3" xfId="18842" xr:uid="{00000000-0005-0000-0000-0000F2160000}"/>
    <cellStyle name="20% - Accent4 18 5" xfId="9040" xr:uid="{00000000-0005-0000-0000-0000F3160000}"/>
    <cellStyle name="20% - Accent4 18 5 2" xfId="23515" xr:uid="{00000000-0005-0000-0000-0000F4160000}"/>
    <cellStyle name="20% - Accent4 18 6" xfId="18839" xr:uid="{00000000-0005-0000-0000-0000F5160000}"/>
    <cellStyle name="20% - Accent4 19" xfId="1520" xr:uid="{00000000-0005-0000-0000-0000F6160000}"/>
    <cellStyle name="20% - Accent4 19 2" xfId="1521" xr:uid="{00000000-0005-0000-0000-0000F7160000}"/>
    <cellStyle name="20% - Accent4 19 2 2" xfId="11713" xr:uid="{00000000-0005-0000-0000-0000F8160000}"/>
    <cellStyle name="20% - Accent4 19 2 2 2" xfId="25433" xr:uid="{00000000-0005-0000-0000-0000F9160000}"/>
    <cellStyle name="20% - Accent4 19 2 3" xfId="18844" xr:uid="{00000000-0005-0000-0000-0000FA160000}"/>
    <cellStyle name="20% - Accent4 19 3" xfId="1522" xr:uid="{00000000-0005-0000-0000-0000FB160000}"/>
    <cellStyle name="20% - Accent4 19 3 2" xfId="12450" xr:uid="{00000000-0005-0000-0000-0000FC160000}"/>
    <cellStyle name="20% - Accent4 19 3 2 2" xfId="26162" xr:uid="{00000000-0005-0000-0000-0000FD160000}"/>
    <cellStyle name="20% - Accent4 19 3 3" xfId="18845" xr:uid="{00000000-0005-0000-0000-0000FE160000}"/>
    <cellStyle name="20% - Accent4 19 4" xfId="1523" xr:uid="{00000000-0005-0000-0000-0000FF160000}"/>
    <cellStyle name="20% - Accent4 19 4 2" xfId="14861" xr:uid="{00000000-0005-0000-0000-000000170000}"/>
    <cellStyle name="20% - Accent4 19 4 2 2" xfId="28410" xr:uid="{00000000-0005-0000-0000-000001170000}"/>
    <cellStyle name="20% - Accent4 19 4 3" xfId="18846" xr:uid="{00000000-0005-0000-0000-000002170000}"/>
    <cellStyle name="20% - Accent4 19 5" xfId="10465" xr:uid="{00000000-0005-0000-0000-000003170000}"/>
    <cellStyle name="20% - Accent4 19 5 2" xfId="24424" xr:uid="{00000000-0005-0000-0000-000004170000}"/>
    <cellStyle name="20% - Accent4 19 6" xfId="18843" xr:uid="{00000000-0005-0000-0000-000005170000}"/>
    <cellStyle name="20% - Accent4 2" xfId="1524" xr:uid="{00000000-0005-0000-0000-000006170000}"/>
    <cellStyle name="20% - Accent4 2 10" xfId="1525" xr:uid="{00000000-0005-0000-0000-000007170000}"/>
    <cellStyle name="20% - Accent4 2 10 2" xfId="1526" xr:uid="{00000000-0005-0000-0000-000008170000}"/>
    <cellStyle name="20% - Accent4 2 10 2 2" xfId="14863" xr:uid="{00000000-0005-0000-0000-000009170000}"/>
    <cellStyle name="20% - Accent4 2 10 2 2 2" xfId="28412" xr:uid="{00000000-0005-0000-0000-00000A170000}"/>
    <cellStyle name="20% - Accent4 2 10 2 3" xfId="18849" xr:uid="{00000000-0005-0000-0000-00000B170000}"/>
    <cellStyle name="20% - Accent4 2 10 3" xfId="11842" xr:uid="{00000000-0005-0000-0000-00000C170000}"/>
    <cellStyle name="20% - Accent4 2 10 3 2" xfId="25557" xr:uid="{00000000-0005-0000-0000-00000D170000}"/>
    <cellStyle name="20% - Accent4 2 10 4" xfId="18848" xr:uid="{00000000-0005-0000-0000-00000E170000}"/>
    <cellStyle name="20% - Accent4 2 11" xfId="1527" xr:uid="{00000000-0005-0000-0000-00000F170000}"/>
    <cellStyle name="20% - Accent4 2 11 2" xfId="12543" xr:uid="{00000000-0005-0000-0000-000010170000}"/>
    <cellStyle name="20% - Accent4 2 11 2 2" xfId="26255" xr:uid="{00000000-0005-0000-0000-000011170000}"/>
    <cellStyle name="20% - Accent4 2 11 3" xfId="18850" xr:uid="{00000000-0005-0000-0000-000012170000}"/>
    <cellStyle name="20% - Accent4 2 12" xfId="1528" xr:uid="{00000000-0005-0000-0000-000013170000}"/>
    <cellStyle name="20% - Accent4 2 12 2" xfId="13441" xr:uid="{00000000-0005-0000-0000-000014170000}"/>
    <cellStyle name="20% - Accent4 2 12 2 2" xfId="26990" xr:uid="{00000000-0005-0000-0000-000015170000}"/>
    <cellStyle name="20% - Accent4 2 12 3" xfId="18851" xr:uid="{00000000-0005-0000-0000-000016170000}"/>
    <cellStyle name="20% - Accent4 2 13" xfId="1529" xr:uid="{00000000-0005-0000-0000-000017170000}"/>
    <cellStyle name="20% - Accent4 2 13 2" xfId="14022" xr:uid="{00000000-0005-0000-0000-000018170000}"/>
    <cellStyle name="20% - Accent4 2 13 2 2" xfId="27571" xr:uid="{00000000-0005-0000-0000-000019170000}"/>
    <cellStyle name="20% - Accent4 2 13 3" xfId="18852" xr:uid="{00000000-0005-0000-0000-00001A170000}"/>
    <cellStyle name="20% - Accent4 2 14" xfId="1530" xr:uid="{00000000-0005-0000-0000-00001B170000}"/>
    <cellStyle name="20% - Accent4 2 14 2" xfId="14862" xr:uid="{00000000-0005-0000-0000-00001C170000}"/>
    <cellStyle name="20% - Accent4 2 14 2 2" xfId="28411" xr:uid="{00000000-0005-0000-0000-00001D170000}"/>
    <cellStyle name="20% - Accent4 2 14 3" xfId="18853" xr:uid="{00000000-0005-0000-0000-00001E170000}"/>
    <cellStyle name="20% - Accent4 2 15" xfId="1531" xr:uid="{00000000-0005-0000-0000-00001F170000}"/>
    <cellStyle name="20% - Accent4 2 15 2" xfId="15908" xr:uid="{00000000-0005-0000-0000-000020170000}"/>
    <cellStyle name="20% - Accent4 2 15 2 2" xfId="29315" xr:uid="{00000000-0005-0000-0000-000021170000}"/>
    <cellStyle name="20% - Accent4 2 15 3" xfId="18854" xr:uid="{00000000-0005-0000-0000-000022170000}"/>
    <cellStyle name="20% - Accent4 2 16" xfId="9041" xr:uid="{00000000-0005-0000-0000-000023170000}"/>
    <cellStyle name="20% - Accent4 2 16 2" xfId="23516" xr:uid="{00000000-0005-0000-0000-000024170000}"/>
    <cellStyle name="20% - Accent4 2 17" xfId="18847" xr:uid="{00000000-0005-0000-0000-000025170000}"/>
    <cellStyle name="20% - Accent4 2 18" xfId="33074" xr:uid="{00000000-0005-0000-0000-000026170000}"/>
    <cellStyle name="20% - Accent4 2 2" xfId="1532" xr:uid="{00000000-0005-0000-0000-000027170000}"/>
    <cellStyle name="20% - Accent4 2 2 10" xfId="1533" xr:uid="{00000000-0005-0000-0000-000028170000}"/>
    <cellStyle name="20% - Accent4 2 2 10 2" xfId="14864" xr:uid="{00000000-0005-0000-0000-000029170000}"/>
    <cellStyle name="20% - Accent4 2 2 10 2 2" xfId="28413" xr:uid="{00000000-0005-0000-0000-00002A170000}"/>
    <cellStyle name="20% - Accent4 2 2 10 3" xfId="18856" xr:uid="{00000000-0005-0000-0000-00002B170000}"/>
    <cellStyle name="20% - Accent4 2 2 11" xfId="1534" xr:uid="{00000000-0005-0000-0000-00002C170000}"/>
    <cellStyle name="20% - Accent4 2 2 11 2" xfId="15954" xr:uid="{00000000-0005-0000-0000-00002D170000}"/>
    <cellStyle name="20% - Accent4 2 2 11 2 2" xfId="29361" xr:uid="{00000000-0005-0000-0000-00002E170000}"/>
    <cellStyle name="20% - Accent4 2 2 11 3" xfId="18857" xr:uid="{00000000-0005-0000-0000-00002F170000}"/>
    <cellStyle name="20% - Accent4 2 2 12" xfId="9042" xr:uid="{00000000-0005-0000-0000-000030170000}"/>
    <cellStyle name="20% - Accent4 2 2 12 2" xfId="23517" xr:uid="{00000000-0005-0000-0000-000031170000}"/>
    <cellStyle name="20% - Accent4 2 2 13" xfId="18855" xr:uid="{00000000-0005-0000-0000-000032170000}"/>
    <cellStyle name="20% - Accent4 2 2 2" xfId="1535" xr:uid="{00000000-0005-0000-0000-000033170000}"/>
    <cellStyle name="20% - Accent4 2 2 2 10" xfId="1536" xr:uid="{00000000-0005-0000-0000-000034170000}"/>
    <cellStyle name="20% - Accent4 2 2 2 10 2" xfId="16097" xr:uid="{00000000-0005-0000-0000-000035170000}"/>
    <cellStyle name="20% - Accent4 2 2 2 10 2 2" xfId="29504" xr:uid="{00000000-0005-0000-0000-000036170000}"/>
    <cellStyle name="20% - Accent4 2 2 2 10 3" xfId="18859" xr:uid="{00000000-0005-0000-0000-000037170000}"/>
    <cellStyle name="20% - Accent4 2 2 2 11" xfId="9043" xr:uid="{00000000-0005-0000-0000-000038170000}"/>
    <cellStyle name="20% - Accent4 2 2 2 11 2" xfId="23518" xr:uid="{00000000-0005-0000-0000-000039170000}"/>
    <cellStyle name="20% - Accent4 2 2 2 12" xfId="18858" xr:uid="{00000000-0005-0000-0000-00003A170000}"/>
    <cellStyle name="20% - Accent4 2 2 2 2" xfId="1537" xr:uid="{00000000-0005-0000-0000-00003B170000}"/>
    <cellStyle name="20% - Accent4 2 2 2 2 10" xfId="9044" xr:uid="{00000000-0005-0000-0000-00003C170000}"/>
    <cellStyle name="20% - Accent4 2 2 2 2 10 2" xfId="23519" xr:uid="{00000000-0005-0000-0000-00003D170000}"/>
    <cellStyle name="20% - Accent4 2 2 2 2 11" xfId="18860" xr:uid="{00000000-0005-0000-0000-00003E170000}"/>
    <cellStyle name="20% - Accent4 2 2 2 2 2" xfId="1538" xr:uid="{00000000-0005-0000-0000-00003F170000}"/>
    <cellStyle name="20% - Accent4 2 2 2 2 2 2" xfId="1539" xr:uid="{00000000-0005-0000-0000-000040170000}"/>
    <cellStyle name="20% - Accent4 2 2 2 2 2 2 2" xfId="10770" xr:uid="{00000000-0005-0000-0000-000041170000}"/>
    <cellStyle name="20% - Accent4 2 2 2 2 2 2 2 2" xfId="24712" xr:uid="{00000000-0005-0000-0000-000042170000}"/>
    <cellStyle name="20% - Accent4 2 2 2 2 2 2 3" xfId="18862" xr:uid="{00000000-0005-0000-0000-000043170000}"/>
    <cellStyle name="20% - Accent4 2 2 2 2 2 3" xfId="1540" xr:uid="{00000000-0005-0000-0000-000044170000}"/>
    <cellStyle name="20% - Accent4 2 2 2 2 2 3 2" xfId="12623" xr:uid="{00000000-0005-0000-0000-000045170000}"/>
    <cellStyle name="20% - Accent4 2 2 2 2 2 3 2 2" xfId="26335" xr:uid="{00000000-0005-0000-0000-000046170000}"/>
    <cellStyle name="20% - Accent4 2 2 2 2 2 3 3" xfId="18863" xr:uid="{00000000-0005-0000-0000-000047170000}"/>
    <cellStyle name="20% - Accent4 2 2 2 2 2 4" xfId="1541" xr:uid="{00000000-0005-0000-0000-000048170000}"/>
    <cellStyle name="20% - Accent4 2 2 2 2 2 4 2" xfId="14867" xr:uid="{00000000-0005-0000-0000-000049170000}"/>
    <cellStyle name="20% - Accent4 2 2 2 2 2 4 2 2" xfId="28416" xr:uid="{00000000-0005-0000-0000-00004A170000}"/>
    <cellStyle name="20% - Accent4 2 2 2 2 2 4 3" xfId="18864" xr:uid="{00000000-0005-0000-0000-00004B170000}"/>
    <cellStyle name="20% - Accent4 2 2 2 2 2 5" xfId="1542" xr:uid="{00000000-0005-0000-0000-00004C170000}"/>
    <cellStyle name="20% - Accent4 2 2 2 2 2 5 2" xfId="16967" xr:uid="{00000000-0005-0000-0000-00004D170000}"/>
    <cellStyle name="20% - Accent4 2 2 2 2 2 5 2 2" xfId="30374" xr:uid="{00000000-0005-0000-0000-00004E170000}"/>
    <cellStyle name="20% - Accent4 2 2 2 2 2 5 3" xfId="18865" xr:uid="{00000000-0005-0000-0000-00004F170000}"/>
    <cellStyle name="20% - Accent4 2 2 2 2 2 6" xfId="9045" xr:uid="{00000000-0005-0000-0000-000050170000}"/>
    <cellStyle name="20% - Accent4 2 2 2 2 2 6 2" xfId="23520" xr:uid="{00000000-0005-0000-0000-000051170000}"/>
    <cellStyle name="20% - Accent4 2 2 2 2 2 7" xfId="18861" xr:uid="{00000000-0005-0000-0000-000052170000}"/>
    <cellStyle name="20% - Accent4 2 2 2 2 3" xfId="1543" xr:uid="{00000000-0005-0000-0000-000053170000}"/>
    <cellStyle name="20% - Accent4 2 2 2 2 3 2" xfId="1544" xr:uid="{00000000-0005-0000-0000-000054170000}"/>
    <cellStyle name="20% - Accent4 2 2 2 2 3 2 2" xfId="14868" xr:uid="{00000000-0005-0000-0000-000055170000}"/>
    <cellStyle name="20% - Accent4 2 2 2 2 3 2 2 2" xfId="28417" xr:uid="{00000000-0005-0000-0000-000056170000}"/>
    <cellStyle name="20% - Accent4 2 2 2 2 3 2 3" xfId="18867" xr:uid="{00000000-0005-0000-0000-000057170000}"/>
    <cellStyle name="20% - Accent4 2 2 2 2 3 3" xfId="10769" xr:uid="{00000000-0005-0000-0000-000058170000}"/>
    <cellStyle name="20% - Accent4 2 2 2 2 3 3 2" xfId="24711" xr:uid="{00000000-0005-0000-0000-000059170000}"/>
    <cellStyle name="20% - Accent4 2 2 2 2 3 4" xfId="18866" xr:uid="{00000000-0005-0000-0000-00005A170000}"/>
    <cellStyle name="20% - Accent4 2 2 2 2 4" xfId="1545" xr:uid="{00000000-0005-0000-0000-00005B170000}"/>
    <cellStyle name="20% - Accent4 2 2 2 2 4 2" xfId="12355" xr:uid="{00000000-0005-0000-0000-00005C170000}"/>
    <cellStyle name="20% - Accent4 2 2 2 2 4 2 2" xfId="26067" xr:uid="{00000000-0005-0000-0000-00005D170000}"/>
    <cellStyle name="20% - Accent4 2 2 2 2 4 3" xfId="18868" xr:uid="{00000000-0005-0000-0000-00005E170000}"/>
    <cellStyle name="20% - Accent4 2 2 2 2 5" xfId="1546" xr:uid="{00000000-0005-0000-0000-00005F170000}"/>
    <cellStyle name="20% - Accent4 2 2 2 2 5 2" xfId="11850" xr:uid="{00000000-0005-0000-0000-000060170000}"/>
    <cellStyle name="20% - Accent4 2 2 2 2 5 2 2" xfId="25565" xr:uid="{00000000-0005-0000-0000-000061170000}"/>
    <cellStyle name="20% - Accent4 2 2 2 2 5 3" xfId="18869" xr:uid="{00000000-0005-0000-0000-000062170000}"/>
    <cellStyle name="20% - Accent4 2 2 2 2 6" xfId="1547" xr:uid="{00000000-0005-0000-0000-000063170000}"/>
    <cellStyle name="20% - Accent4 2 2 2 2 6 2" xfId="13919" xr:uid="{00000000-0005-0000-0000-000064170000}"/>
    <cellStyle name="20% - Accent4 2 2 2 2 6 2 2" xfId="27468" xr:uid="{00000000-0005-0000-0000-000065170000}"/>
    <cellStyle name="20% - Accent4 2 2 2 2 6 3" xfId="18870" xr:uid="{00000000-0005-0000-0000-000066170000}"/>
    <cellStyle name="20% - Accent4 2 2 2 2 7" xfId="1548" xr:uid="{00000000-0005-0000-0000-000067170000}"/>
    <cellStyle name="20% - Accent4 2 2 2 2 7 2" xfId="14500" xr:uid="{00000000-0005-0000-0000-000068170000}"/>
    <cellStyle name="20% - Accent4 2 2 2 2 7 2 2" xfId="28049" xr:uid="{00000000-0005-0000-0000-000069170000}"/>
    <cellStyle name="20% - Accent4 2 2 2 2 7 3" xfId="18871" xr:uid="{00000000-0005-0000-0000-00006A170000}"/>
    <cellStyle name="20% - Accent4 2 2 2 2 8" xfId="1549" xr:uid="{00000000-0005-0000-0000-00006B170000}"/>
    <cellStyle name="20% - Accent4 2 2 2 2 8 2" xfId="14866" xr:uid="{00000000-0005-0000-0000-00006C170000}"/>
    <cellStyle name="20% - Accent4 2 2 2 2 8 2 2" xfId="28415" xr:uid="{00000000-0005-0000-0000-00006D170000}"/>
    <cellStyle name="20% - Accent4 2 2 2 2 8 3" xfId="18872" xr:uid="{00000000-0005-0000-0000-00006E170000}"/>
    <cellStyle name="20% - Accent4 2 2 2 2 9" xfId="1550" xr:uid="{00000000-0005-0000-0000-00006F170000}"/>
    <cellStyle name="20% - Accent4 2 2 2 2 9 2" xfId="16386" xr:uid="{00000000-0005-0000-0000-000070170000}"/>
    <cellStyle name="20% - Accent4 2 2 2 2 9 2 2" xfId="29793" xr:uid="{00000000-0005-0000-0000-000071170000}"/>
    <cellStyle name="20% - Accent4 2 2 2 2 9 3" xfId="18873" xr:uid="{00000000-0005-0000-0000-000072170000}"/>
    <cellStyle name="20% - Accent4 2 2 2 3" xfId="1551" xr:uid="{00000000-0005-0000-0000-000073170000}"/>
    <cellStyle name="20% - Accent4 2 2 2 3 2" xfId="1552" xr:uid="{00000000-0005-0000-0000-000074170000}"/>
    <cellStyle name="20% - Accent4 2 2 2 3 2 2" xfId="10771" xr:uid="{00000000-0005-0000-0000-000075170000}"/>
    <cellStyle name="20% - Accent4 2 2 2 3 2 2 2" xfId="24713" xr:uid="{00000000-0005-0000-0000-000076170000}"/>
    <cellStyle name="20% - Accent4 2 2 2 3 2 3" xfId="18875" xr:uid="{00000000-0005-0000-0000-000077170000}"/>
    <cellStyle name="20% - Accent4 2 2 2 3 3" xfId="1553" xr:uid="{00000000-0005-0000-0000-000078170000}"/>
    <cellStyle name="20% - Accent4 2 2 2 3 3 2" xfId="11754" xr:uid="{00000000-0005-0000-0000-000079170000}"/>
    <cellStyle name="20% - Accent4 2 2 2 3 3 2 2" xfId="25469" xr:uid="{00000000-0005-0000-0000-00007A170000}"/>
    <cellStyle name="20% - Accent4 2 2 2 3 3 3" xfId="18876" xr:uid="{00000000-0005-0000-0000-00007B170000}"/>
    <cellStyle name="20% - Accent4 2 2 2 3 4" xfId="1554" xr:uid="{00000000-0005-0000-0000-00007C170000}"/>
    <cellStyle name="20% - Accent4 2 2 2 3 4 2" xfId="14869" xr:uid="{00000000-0005-0000-0000-00007D170000}"/>
    <cellStyle name="20% - Accent4 2 2 2 3 4 2 2" xfId="28418" xr:uid="{00000000-0005-0000-0000-00007E170000}"/>
    <cellStyle name="20% - Accent4 2 2 2 3 4 3" xfId="18877" xr:uid="{00000000-0005-0000-0000-00007F170000}"/>
    <cellStyle name="20% - Accent4 2 2 2 3 5" xfId="1555" xr:uid="{00000000-0005-0000-0000-000080170000}"/>
    <cellStyle name="20% - Accent4 2 2 2 3 5 2" xfId="16678" xr:uid="{00000000-0005-0000-0000-000081170000}"/>
    <cellStyle name="20% - Accent4 2 2 2 3 5 2 2" xfId="30085" xr:uid="{00000000-0005-0000-0000-000082170000}"/>
    <cellStyle name="20% - Accent4 2 2 2 3 5 3" xfId="18878" xr:uid="{00000000-0005-0000-0000-000083170000}"/>
    <cellStyle name="20% - Accent4 2 2 2 3 6" xfId="9046" xr:uid="{00000000-0005-0000-0000-000084170000}"/>
    <cellStyle name="20% - Accent4 2 2 2 3 6 2" xfId="23521" xr:uid="{00000000-0005-0000-0000-000085170000}"/>
    <cellStyle name="20% - Accent4 2 2 2 3 7" xfId="18874" xr:uid="{00000000-0005-0000-0000-000086170000}"/>
    <cellStyle name="20% - Accent4 2 2 2 4" xfId="1556" xr:uid="{00000000-0005-0000-0000-000087170000}"/>
    <cellStyle name="20% - Accent4 2 2 2 4 2" xfId="1557" xr:uid="{00000000-0005-0000-0000-000088170000}"/>
    <cellStyle name="20% - Accent4 2 2 2 4 2 2" xfId="14870" xr:uid="{00000000-0005-0000-0000-000089170000}"/>
    <cellStyle name="20% - Accent4 2 2 2 4 2 2 2" xfId="28419" xr:uid="{00000000-0005-0000-0000-00008A170000}"/>
    <cellStyle name="20% - Accent4 2 2 2 4 2 3" xfId="18880" xr:uid="{00000000-0005-0000-0000-00008B170000}"/>
    <cellStyle name="20% - Accent4 2 2 2 4 3" xfId="10768" xr:uid="{00000000-0005-0000-0000-00008C170000}"/>
    <cellStyle name="20% - Accent4 2 2 2 4 3 2" xfId="24710" xr:uid="{00000000-0005-0000-0000-00008D170000}"/>
    <cellStyle name="20% - Accent4 2 2 2 4 4" xfId="18879" xr:uid="{00000000-0005-0000-0000-00008E170000}"/>
    <cellStyle name="20% - Accent4 2 2 2 5" xfId="1558" xr:uid="{00000000-0005-0000-0000-00008F170000}"/>
    <cellStyle name="20% - Accent4 2 2 2 5 2" xfId="12055" xr:uid="{00000000-0005-0000-0000-000090170000}"/>
    <cellStyle name="20% - Accent4 2 2 2 5 2 2" xfId="25770" xr:uid="{00000000-0005-0000-0000-000091170000}"/>
    <cellStyle name="20% - Accent4 2 2 2 5 3" xfId="18881" xr:uid="{00000000-0005-0000-0000-000092170000}"/>
    <cellStyle name="20% - Accent4 2 2 2 6" xfId="1559" xr:uid="{00000000-0005-0000-0000-000093170000}"/>
    <cellStyle name="20% - Accent4 2 2 2 6 2" xfId="12488" xr:uid="{00000000-0005-0000-0000-000094170000}"/>
    <cellStyle name="20% - Accent4 2 2 2 6 2 2" xfId="26200" xr:uid="{00000000-0005-0000-0000-000095170000}"/>
    <cellStyle name="20% - Accent4 2 2 2 6 3" xfId="18882" xr:uid="{00000000-0005-0000-0000-000096170000}"/>
    <cellStyle name="20% - Accent4 2 2 2 7" xfId="1560" xr:uid="{00000000-0005-0000-0000-000097170000}"/>
    <cellStyle name="20% - Accent4 2 2 2 7 2" xfId="13630" xr:uid="{00000000-0005-0000-0000-000098170000}"/>
    <cellStyle name="20% - Accent4 2 2 2 7 2 2" xfId="27179" xr:uid="{00000000-0005-0000-0000-000099170000}"/>
    <cellStyle name="20% - Accent4 2 2 2 7 3" xfId="18883" xr:uid="{00000000-0005-0000-0000-00009A170000}"/>
    <cellStyle name="20% - Accent4 2 2 2 8" xfId="1561" xr:uid="{00000000-0005-0000-0000-00009B170000}"/>
    <cellStyle name="20% - Accent4 2 2 2 8 2" xfId="14211" xr:uid="{00000000-0005-0000-0000-00009C170000}"/>
    <cellStyle name="20% - Accent4 2 2 2 8 2 2" xfId="27760" xr:uid="{00000000-0005-0000-0000-00009D170000}"/>
    <cellStyle name="20% - Accent4 2 2 2 8 3" xfId="18884" xr:uid="{00000000-0005-0000-0000-00009E170000}"/>
    <cellStyle name="20% - Accent4 2 2 2 9" xfId="1562" xr:uid="{00000000-0005-0000-0000-00009F170000}"/>
    <cellStyle name="20% - Accent4 2 2 2 9 2" xfId="14865" xr:uid="{00000000-0005-0000-0000-0000A0170000}"/>
    <cellStyle name="20% - Accent4 2 2 2 9 2 2" xfId="28414" xr:uid="{00000000-0005-0000-0000-0000A1170000}"/>
    <cellStyle name="20% - Accent4 2 2 2 9 3" xfId="18885" xr:uid="{00000000-0005-0000-0000-0000A2170000}"/>
    <cellStyle name="20% - Accent4 2 2 3" xfId="1563" xr:uid="{00000000-0005-0000-0000-0000A3170000}"/>
    <cellStyle name="20% - Accent4 2 2 3 10" xfId="9047" xr:uid="{00000000-0005-0000-0000-0000A4170000}"/>
    <cellStyle name="20% - Accent4 2 2 3 10 2" xfId="23522" xr:uid="{00000000-0005-0000-0000-0000A5170000}"/>
    <cellStyle name="20% - Accent4 2 2 3 11" xfId="18886" xr:uid="{00000000-0005-0000-0000-0000A6170000}"/>
    <cellStyle name="20% - Accent4 2 2 3 2" xfId="1564" xr:uid="{00000000-0005-0000-0000-0000A7170000}"/>
    <cellStyle name="20% - Accent4 2 2 3 2 2" xfId="1565" xr:uid="{00000000-0005-0000-0000-0000A8170000}"/>
    <cellStyle name="20% - Accent4 2 2 3 2 2 2" xfId="10773" xr:uid="{00000000-0005-0000-0000-0000A9170000}"/>
    <cellStyle name="20% - Accent4 2 2 3 2 2 2 2" xfId="24715" xr:uid="{00000000-0005-0000-0000-0000AA170000}"/>
    <cellStyle name="20% - Accent4 2 2 3 2 2 3" xfId="18888" xr:uid="{00000000-0005-0000-0000-0000AB170000}"/>
    <cellStyle name="20% - Accent4 2 2 3 2 3" xfId="1566" xr:uid="{00000000-0005-0000-0000-0000AC170000}"/>
    <cellStyle name="20% - Accent4 2 2 3 2 3 2" xfId="11775" xr:uid="{00000000-0005-0000-0000-0000AD170000}"/>
    <cellStyle name="20% - Accent4 2 2 3 2 3 2 2" xfId="25490" xr:uid="{00000000-0005-0000-0000-0000AE170000}"/>
    <cellStyle name="20% - Accent4 2 2 3 2 3 3" xfId="18889" xr:uid="{00000000-0005-0000-0000-0000AF170000}"/>
    <cellStyle name="20% - Accent4 2 2 3 2 4" xfId="1567" xr:uid="{00000000-0005-0000-0000-0000B0170000}"/>
    <cellStyle name="20% - Accent4 2 2 3 2 4 2" xfId="14872" xr:uid="{00000000-0005-0000-0000-0000B1170000}"/>
    <cellStyle name="20% - Accent4 2 2 3 2 4 2 2" xfId="28421" xr:uid="{00000000-0005-0000-0000-0000B2170000}"/>
    <cellStyle name="20% - Accent4 2 2 3 2 4 3" xfId="18890" xr:uid="{00000000-0005-0000-0000-0000B3170000}"/>
    <cellStyle name="20% - Accent4 2 2 3 2 5" xfId="1568" xr:uid="{00000000-0005-0000-0000-0000B4170000}"/>
    <cellStyle name="20% - Accent4 2 2 3 2 5 2" xfId="16824" xr:uid="{00000000-0005-0000-0000-0000B5170000}"/>
    <cellStyle name="20% - Accent4 2 2 3 2 5 2 2" xfId="30231" xr:uid="{00000000-0005-0000-0000-0000B6170000}"/>
    <cellStyle name="20% - Accent4 2 2 3 2 5 3" xfId="18891" xr:uid="{00000000-0005-0000-0000-0000B7170000}"/>
    <cellStyle name="20% - Accent4 2 2 3 2 6" xfId="9048" xr:uid="{00000000-0005-0000-0000-0000B8170000}"/>
    <cellStyle name="20% - Accent4 2 2 3 2 6 2" xfId="23523" xr:uid="{00000000-0005-0000-0000-0000B9170000}"/>
    <cellStyle name="20% - Accent4 2 2 3 2 7" xfId="18887" xr:uid="{00000000-0005-0000-0000-0000BA170000}"/>
    <cellStyle name="20% - Accent4 2 2 3 3" xfId="1569" xr:uid="{00000000-0005-0000-0000-0000BB170000}"/>
    <cellStyle name="20% - Accent4 2 2 3 3 2" xfId="1570" xr:uid="{00000000-0005-0000-0000-0000BC170000}"/>
    <cellStyle name="20% - Accent4 2 2 3 3 2 2" xfId="14873" xr:uid="{00000000-0005-0000-0000-0000BD170000}"/>
    <cellStyle name="20% - Accent4 2 2 3 3 2 2 2" xfId="28422" xr:uid="{00000000-0005-0000-0000-0000BE170000}"/>
    <cellStyle name="20% - Accent4 2 2 3 3 2 3" xfId="18893" xr:uid="{00000000-0005-0000-0000-0000BF170000}"/>
    <cellStyle name="20% - Accent4 2 2 3 3 3" xfId="10772" xr:uid="{00000000-0005-0000-0000-0000C0170000}"/>
    <cellStyle name="20% - Accent4 2 2 3 3 3 2" xfId="24714" xr:uid="{00000000-0005-0000-0000-0000C1170000}"/>
    <cellStyle name="20% - Accent4 2 2 3 3 4" xfId="18892" xr:uid="{00000000-0005-0000-0000-0000C2170000}"/>
    <cellStyle name="20% - Accent4 2 2 3 4" xfId="1571" xr:uid="{00000000-0005-0000-0000-0000C3170000}"/>
    <cellStyle name="20% - Accent4 2 2 3 4 2" xfId="12212" xr:uid="{00000000-0005-0000-0000-0000C4170000}"/>
    <cellStyle name="20% - Accent4 2 2 3 4 2 2" xfId="25924" xr:uid="{00000000-0005-0000-0000-0000C5170000}"/>
    <cellStyle name="20% - Accent4 2 2 3 4 3" xfId="18894" xr:uid="{00000000-0005-0000-0000-0000C6170000}"/>
    <cellStyle name="20% - Accent4 2 2 3 5" xfId="1572" xr:uid="{00000000-0005-0000-0000-0000C7170000}"/>
    <cellStyle name="20% - Accent4 2 2 3 5 2" xfId="12535" xr:uid="{00000000-0005-0000-0000-0000C8170000}"/>
    <cellStyle name="20% - Accent4 2 2 3 5 2 2" xfId="26247" xr:uid="{00000000-0005-0000-0000-0000C9170000}"/>
    <cellStyle name="20% - Accent4 2 2 3 5 3" xfId="18895" xr:uid="{00000000-0005-0000-0000-0000CA170000}"/>
    <cellStyle name="20% - Accent4 2 2 3 6" xfId="1573" xr:uid="{00000000-0005-0000-0000-0000CB170000}"/>
    <cellStyle name="20% - Accent4 2 2 3 6 2" xfId="13776" xr:uid="{00000000-0005-0000-0000-0000CC170000}"/>
    <cellStyle name="20% - Accent4 2 2 3 6 2 2" xfId="27325" xr:uid="{00000000-0005-0000-0000-0000CD170000}"/>
    <cellStyle name="20% - Accent4 2 2 3 6 3" xfId="18896" xr:uid="{00000000-0005-0000-0000-0000CE170000}"/>
    <cellStyle name="20% - Accent4 2 2 3 7" xfId="1574" xr:uid="{00000000-0005-0000-0000-0000CF170000}"/>
    <cellStyle name="20% - Accent4 2 2 3 7 2" xfId="14357" xr:uid="{00000000-0005-0000-0000-0000D0170000}"/>
    <cellStyle name="20% - Accent4 2 2 3 7 2 2" xfId="27906" xr:uid="{00000000-0005-0000-0000-0000D1170000}"/>
    <cellStyle name="20% - Accent4 2 2 3 7 3" xfId="18897" xr:uid="{00000000-0005-0000-0000-0000D2170000}"/>
    <cellStyle name="20% - Accent4 2 2 3 8" xfId="1575" xr:uid="{00000000-0005-0000-0000-0000D3170000}"/>
    <cellStyle name="20% - Accent4 2 2 3 8 2" xfId="14871" xr:uid="{00000000-0005-0000-0000-0000D4170000}"/>
    <cellStyle name="20% - Accent4 2 2 3 8 2 2" xfId="28420" xr:uid="{00000000-0005-0000-0000-0000D5170000}"/>
    <cellStyle name="20% - Accent4 2 2 3 8 3" xfId="18898" xr:uid="{00000000-0005-0000-0000-0000D6170000}"/>
    <cellStyle name="20% - Accent4 2 2 3 9" xfId="1576" xr:uid="{00000000-0005-0000-0000-0000D7170000}"/>
    <cellStyle name="20% - Accent4 2 2 3 9 2" xfId="16243" xr:uid="{00000000-0005-0000-0000-0000D8170000}"/>
    <cellStyle name="20% - Accent4 2 2 3 9 2 2" xfId="29650" xr:uid="{00000000-0005-0000-0000-0000D9170000}"/>
    <cellStyle name="20% - Accent4 2 2 3 9 3" xfId="18899" xr:uid="{00000000-0005-0000-0000-0000DA170000}"/>
    <cellStyle name="20% - Accent4 2 2 4" xfId="1577" xr:uid="{00000000-0005-0000-0000-0000DB170000}"/>
    <cellStyle name="20% - Accent4 2 2 4 2" xfId="1578" xr:uid="{00000000-0005-0000-0000-0000DC170000}"/>
    <cellStyle name="20% - Accent4 2 2 4 2 2" xfId="10774" xr:uid="{00000000-0005-0000-0000-0000DD170000}"/>
    <cellStyle name="20% - Accent4 2 2 4 2 2 2" xfId="24716" xr:uid="{00000000-0005-0000-0000-0000DE170000}"/>
    <cellStyle name="20% - Accent4 2 2 4 2 3" xfId="18901" xr:uid="{00000000-0005-0000-0000-0000DF170000}"/>
    <cellStyle name="20% - Accent4 2 2 4 3" xfId="1579" xr:uid="{00000000-0005-0000-0000-0000E0170000}"/>
    <cellStyle name="20% - Accent4 2 2 4 3 2" xfId="12747" xr:uid="{00000000-0005-0000-0000-0000E1170000}"/>
    <cellStyle name="20% - Accent4 2 2 4 3 2 2" xfId="26459" xr:uid="{00000000-0005-0000-0000-0000E2170000}"/>
    <cellStyle name="20% - Accent4 2 2 4 3 3" xfId="18902" xr:uid="{00000000-0005-0000-0000-0000E3170000}"/>
    <cellStyle name="20% - Accent4 2 2 4 4" xfId="1580" xr:uid="{00000000-0005-0000-0000-0000E4170000}"/>
    <cellStyle name="20% - Accent4 2 2 4 4 2" xfId="14874" xr:uid="{00000000-0005-0000-0000-0000E5170000}"/>
    <cellStyle name="20% - Accent4 2 2 4 4 2 2" xfId="28423" xr:uid="{00000000-0005-0000-0000-0000E6170000}"/>
    <cellStyle name="20% - Accent4 2 2 4 4 3" xfId="18903" xr:uid="{00000000-0005-0000-0000-0000E7170000}"/>
    <cellStyle name="20% - Accent4 2 2 4 5" xfId="1581" xr:uid="{00000000-0005-0000-0000-0000E8170000}"/>
    <cellStyle name="20% - Accent4 2 2 4 5 2" xfId="17171" xr:uid="{00000000-0005-0000-0000-0000E9170000}"/>
    <cellStyle name="20% - Accent4 2 2 4 5 2 2" xfId="30530" xr:uid="{00000000-0005-0000-0000-0000EA170000}"/>
    <cellStyle name="20% - Accent4 2 2 4 5 3" xfId="18904" xr:uid="{00000000-0005-0000-0000-0000EB170000}"/>
    <cellStyle name="20% - Accent4 2 2 4 6" xfId="9049" xr:uid="{00000000-0005-0000-0000-0000EC170000}"/>
    <cellStyle name="20% - Accent4 2 2 4 6 2" xfId="23524" xr:uid="{00000000-0005-0000-0000-0000ED170000}"/>
    <cellStyle name="20% - Accent4 2 2 4 7" xfId="18900" xr:uid="{00000000-0005-0000-0000-0000EE170000}"/>
    <cellStyle name="20% - Accent4 2 2 5" xfId="1582" xr:uid="{00000000-0005-0000-0000-0000EF170000}"/>
    <cellStyle name="20% - Accent4 2 2 5 2" xfId="1583" xr:uid="{00000000-0005-0000-0000-0000F0170000}"/>
    <cellStyle name="20% - Accent4 2 2 5 2 2" xfId="14875" xr:uid="{00000000-0005-0000-0000-0000F1170000}"/>
    <cellStyle name="20% - Accent4 2 2 5 2 2 2" xfId="28424" xr:uid="{00000000-0005-0000-0000-0000F2170000}"/>
    <cellStyle name="20% - Accent4 2 2 5 2 3" xfId="18906" xr:uid="{00000000-0005-0000-0000-0000F3170000}"/>
    <cellStyle name="20% - Accent4 2 2 5 3" xfId="1584" xr:uid="{00000000-0005-0000-0000-0000F4170000}"/>
    <cellStyle name="20% - Accent4 2 2 5 3 2" xfId="17260" xr:uid="{00000000-0005-0000-0000-0000F5170000}"/>
    <cellStyle name="20% - Accent4 2 2 5 3 2 2" xfId="30619" xr:uid="{00000000-0005-0000-0000-0000F6170000}"/>
    <cellStyle name="20% - Accent4 2 2 5 3 3" xfId="18907" xr:uid="{00000000-0005-0000-0000-0000F7170000}"/>
    <cellStyle name="20% - Accent4 2 2 5 4" xfId="10767" xr:uid="{00000000-0005-0000-0000-0000F8170000}"/>
    <cellStyle name="20% - Accent4 2 2 5 4 2" xfId="24709" xr:uid="{00000000-0005-0000-0000-0000F9170000}"/>
    <cellStyle name="20% - Accent4 2 2 5 5" xfId="18905" xr:uid="{00000000-0005-0000-0000-0000FA170000}"/>
    <cellStyle name="20% - Accent4 2 2 6" xfId="1585" xr:uid="{00000000-0005-0000-0000-0000FB170000}"/>
    <cellStyle name="20% - Accent4 2 2 6 2" xfId="1586" xr:uid="{00000000-0005-0000-0000-0000FC170000}"/>
    <cellStyle name="20% - Accent4 2 2 6 2 2" xfId="16535" xr:uid="{00000000-0005-0000-0000-0000FD170000}"/>
    <cellStyle name="20% - Accent4 2 2 6 2 2 2" xfId="29942" xr:uid="{00000000-0005-0000-0000-0000FE170000}"/>
    <cellStyle name="20% - Accent4 2 2 6 2 3" xfId="18909" xr:uid="{00000000-0005-0000-0000-0000FF170000}"/>
    <cellStyle name="20% - Accent4 2 2 6 3" xfId="11910" xr:uid="{00000000-0005-0000-0000-000000180000}"/>
    <cellStyle name="20% - Accent4 2 2 6 3 2" xfId="25625" xr:uid="{00000000-0005-0000-0000-000001180000}"/>
    <cellStyle name="20% - Accent4 2 2 6 4" xfId="18908" xr:uid="{00000000-0005-0000-0000-000002180000}"/>
    <cellStyle name="20% - Accent4 2 2 7" xfId="1587" xr:uid="{00000000-0005-0000-0000-000003180000}"/>
    <cellStyle name="20% - Accent4 2 2 7 2" xfId="12397" xr:uid="{00000000-0005-0000-0000-000004180000}"/>
    <cellStyle name="20% - Accent4 2 2 7 2 2" xfId="26109" xr:uid="{00000000-0005-0000-0000-000005180000}"/>
    <cellStyle name="20% - Accent4 2 2 7 3" xfId="18910" xr:uid="{00000000-0005-0000-0000-000006180000}"/>
    <cellStyle name="20% - Accent4 2 2 8" xfId="1588" xr:uid="{00000000-0005-0000-0000-000007180000}"/>
    <cellStyle name="20% - Accent4 2 2 8 2" xfId="13487" xr:uid="{00000000-0005-0000-0000-000008180000}"/>
    <cellStyle name="20% - Accent4 2 2 8 2 2" xfId="27036" xr:uid="{00000000-0005-0000-0000-000009180000}"/>
    <cellStyle name="20% - Accent4 2 2 8 3" xfId="18911" xr:uid="{00000000-0005-0000-0000-00000A180000}"/>
    <cellStyle name="20% - Accent4 2 2 9" xfId="1589" xr:uid="{00000000-0005-0000-0000-00000B180000}"/>
    <cellStyle name="20% - Accent4 2 2 9 2" xfId="14068" xr:uid="{00000000-0005-0000-0000-00000C180000}"/>
    <cellStyle name="20% - Accent4 2 2 9 2 2" xfId="27617" xr:uid="{00000000-0005-0000-0000-00000D180000}"/>
    <cellStyle name="20% - Accent4 2 2 9 3" xfId="18912" xr:uid="{00000000-0005-0000-0000-00000E180000}"/>
    <cellStyle name="20% - Accent4 2 3" xfId="1590" xr:uid="{00000000-0005-0000-0000-00000F180000}"/>
    <cellStyle name="20% - Accent4 2 3 10" xfId="1591" xr:uid="{00000000-0005-0000-0000-000010180000}"/>
    <cellStyle name="20% - Accent4 2 3 10 2" xfId="16051" xr:uid="{00000000-0005-0000-0000-000011180000}"/>
    <cellStyle name="20% - Accent4 2 3 10 2 2" xfId="29458" xr:uid="{00000000-0005-0000-0000-000012180000}"/>
    <cellStyle name="20% - Accent4 2 3 10 3" xfId="18914" xr:uid="{00000000-0005-0000-0000-000013180000}"/>
    <cellStyle name="20% - Accent4 2 3 11" xfId="9050" xr:uid="{00000000-0005-0000-0000-000014180000}"/>
    <cellStyle name="20% - Accent4 2 3 11 2" xfId="23525" xr:uid="{00000000-0005-0000-0000-000015180000}"/>
    <cellStyle name="20% - Accent4 2 3 12" xfId="18913" xr:uid="{00000000-0005-0000-0000-000016180000}"/>
    <cellStyle name="20% - Accent4 2 3 2" xfId="1592" xr:uid="{00000000-0005-0000-0000-000017180000}"/>
    <cellStyle name="20% - Accent4 2 3 2 10" xfId="9051" xr:uid="{00000000-0005-0000-0000-000018180000}"/>
    <cellStyle name="20% - Accent4 2 3 2 10 2" xfId="23526" xr:uid="{00000000-0005-0000-0000-000019180000}"/>
    <cellStyle name="20% - Accent4 2 3 2 11" xfId="18915" xr:uid="{00000000-0005-0000-0000-00001A180000}"/>
    <cellStyle name="20% - Accent4 2 3 2 2" xfId="1593" xr:uid="{00000000-0005-0000-0000-00001B180000}"/>
    <cellStyle name="20% - Accent4 2 3 2 2 2" xfId="1594" xr:uid="{00000000-0005-0000-0000-00001C180000}"/>
    <cellStyle name="20% - Accent4 2 3 2 2 2 2" xfId="10777" xr:uid="{00000000-0005-0000-0000-00001D180000}"/>
    <cellStyle name="20% - Accent4 2 3 2 2 2 2 2" xfId="24719" xr:uid="{00000000-0005-0000-0000-00001E180000}"/>
    <cellStyle name="20% - Accent4 2 3 2 2 2 3" xfId="18917" xr:uid="{00000000-0005-0000-0000-00001F180000}"/>
    <cellStyle name="20% - Accent4 2 3 2 2 3" xfId="1595" xr:uid="{00000000-0005-0000-0000-000020180000}"/>
    <cellStyle name="20% - Accent4 2 3 2 2 3 2" xfId="11769" xr:uid="{00000000-0005-0000-0000-000021180000}"/>
    <cellStyle name="20% - Accent4 2 3 2 2 3 2 2" xfId="25484" xr:uid="{00000000-0005-0000-0000-000022180000}"/>
    <cellStyle name="20% - Accent4 2 3 2 2 3 3" xfId="18918" xr:uid="{00000000-0005-0000-0000-000023180000}"/>
    <cellStyle name="20% - Accent4 2 3 2 2 4" xfId="1596" xr:uid="{00000000-0005-0000-0000-000024180000}"/>
    <cellStyle name="20% - Accent4 2 3 2 2 4 2" xfId="14878" xr:uid="{00000000-0005-0000-0000-000025180000}"/>
    <cellStyle name="20% - Accent4 2 3 2 2 4 2 2" xfId="28427" xr:uid="{00000000-0005-0000-0000-000026180000}"/>
    <cellStyle name="20% - Accent4 2 3 2 2 4 3" xfId="18919" xr:uid="{00000000-0005-0000-0000-000027180000}"/>
    <cellStyle name="20% - Accent4 2 3 2 2 5" xfId="1597" xr:uid="{00000000-0005-0000-0000-000028180000}"/>
    <cellStyle name="20% - Accent4 2 3 2 2 5 2" xfId="16921" xr:uid="{00000000-0005-0000-0000-000029180000}"/>
    <cellStyle name="20% - Accent4 2 3 2 2 5 2 2" xfId="30328" xr:uid="{00000000-0005-0000-0000-00002A180000}"/>
    <cellStyle name="20% - Accent4 2 3 2 2 5 3" xfId="18920" xr:uid="{00000000-0005-0000-0000-00002B180000}"/>
    <cellStyle name="20% - Accent4 2 3 2 2 6" xfId="9052" xr:uid="{00000000-0005-0000-0000-00002C180000}"/>
    <cellStyle name="20% - Accent4 2 3 2 2 6 2" xfId="23527" xr:uid="{00000000-0005-0000-0000-00002D180000}"/>
    <cellStyle name="20% - Accent4 2 3 2 2 7" xfId="18916" xr:uid="{00000000-0005-0000-0000-00002E180000}"/>
    <cellStyle name="20% - Accent4 2 3 2 3" xfId="1598" xr:uid="{00000000-0005-0000-0000-00002F180000}"/>
    <cellStyle name="20% - Accent4 2 3 2 3 2" xfId="1599" xr:uid="{00000000-0005-0000-0000-000030180000}"/>
    <cellStyle name="20% - Accent4 2 3 2 3 2 2" xfId="14879" xr:uid="{00000000-0005-0000-0000-000031180000}"/>
    <cellStyle name="20% - Accent4 2 3 2 3 2 2 2" xfId="28428" xr:uid="{00000000-0005-0000-0000-000032180000}"/>
    <cellStyle name="20% - Accent4 2 3 2 3 2 3" xfId="18922" xr:uid="{00000000-0005-0000-0000-000033180000}"/>
    <cellStyle name="20% - Accent4 2 3 2 3 3" xfId="10776" xr:uid="{00000000-0005-0000-0000-000034180000}"/>
    <cellStyle name="20% - Accent4 2 3 2 3 3 2" xfId="24718" xr:uid="{00000000-0005-0000-0000-000035180000}"/>
    <cellStyle name="20% - Accent4 2 3 2 3 4" xfId="18921" xr:uid="{00000000-0005-0000-0000-000036180000}"/>
    <cellStyle name="20% - Accent4 2 3 2 4" xfId="1600" xr:uid="{00000000-0005-0000-0000-000037180000}"/>
    <cellStyle name="20% - Accent4 2 3 2 4 2" xfId="12309" xr:uid="{00000000-0005-0000-0000-000038180000}"/>
    <cellStyle name="20% - Accent4 2 3 2 4 2 2" xfId="26021" xr:uid="{00000000-0005-0000-0000-000039180000}"/>
    <cellStyle name="20% - Accent4 2 3 2 4 3" xfId="18923" xr:uid="{00000000-0005-0000-0000-00003A180000}"/>
    <cellStyle name="20% - Accent4 2 3 2 5" xfId="1601" xr:uid="{00000000-0005-0000-0000-00003B180000}"/>
    <cellStyle name="20% - Accent4 2 3 2 5 2" xfId="12603" xr:uid="{00000000-0005-0000-0000-00003C180000}"/>
    <cellStyle name="20% - Accent4 2 3 2 5 2 2" xfId="26315" xr:uid="{00000000-0005-0000-0000-00003D180000}"/>
    <cellStyle name="20% - Accent4 2 3 2 5 3" xfId="18924" xr:uid="{00000000-0005-0000-0000-00003E180000}"/>
    <cellStyle name="20% - Accent4 2 3 2 6" xfId="1602" xr:uid="{00000000-0005-0000-0000-00003F180000}"/>
    <cellStyle name="20% - Accent4 2 3 2 6 2" xfId="13873" xr:uid="{00000000-0005-0000-0000-000040180000}"/>
    <cellStyle name="20% - Accent4 2 3 2 6 2 2" xfId="27422" xr:uid="{00000000-0005-0000-0000-000041180000}"/>
    <cellStyle name="20% - Accent4 2 3 2 6 3" xfId="18925" xr:uid="{00000000-0005-0000-0000-000042180000}"/>
    <cellStyle name="20% - Accent4 2 3 2 7" xfId="1603" xr:uid="{00000000-0005-0000-0000-000043180000}"/>
    <cellStyle name="20% - Accent4 2 3 2 7 2" xfId="14454" xr:uid="{00000000-0005-0000-0000-000044180000}"/>
    <cellStyle name="20% - Accent4 2 3 2 7 2 2" xfId="28003" xr:uid="{00000000-0005-0000-0000-000045180000}"/>
    <cellStyle name="20% - Accent4 2 3 2 7 3" xfId="18926" xr:uid="{00000000-0005-0000-0000-000046180000}"/>
    <cellStyle name="20% - Accent4 2 3 2 8" xfId="1604" xr:uid="{00000000-0005-0000-0000-000047180000}"/>
    <cellStyle name="20% - Accent4 2 3 2 8 2" xfId="14877" xr:uid="{00000000-0005-0000-0000-000048180000}"/>
    <cellStyle name="20% - Accent4 2 3 2 8 2 2" xfId="28426" xr:uid="{00000000-0005-0000-0000-000049180000}"/>
    <cellStyle name="20% - Accent4 2 3 2 8 3" xfId="18927" xr:uid="{00000000-0005-0000-0000-00004A180000}"/>
    <cellStyle name="20% - Accent4 2 3 2 9" xfId="1605" xr:uid="{00000000-0005-0000-0000-00004B180000}"/>
    <cellStyle name="20% - Accent4 2 3 2 9 2" xfId="16340" xr:uid="{00000000-0005-0000-0000-00004C180000}"/>
    <cellStyle name="20% - Accent4 2 3 2 9 2 2" xfId="29747" xr:uid="{00000000-0005-0000-0000-00004D180000}"/>
    <cellStyle name="20% - Accent4 2 3 2 9 3" xfId="18928" xr:uid="{00000000-0005-0000-0000-00004E180000}"/>
    <cellStyle name="20% - Accent4 2 3 3" xfId="1606" xr:uid="{00000000-0005-0000-0000-00004F180000}"/>
    <cellStyle name="20% - Accent4 2 3 3 2" xfId="1607" xr:uid="{00000000-0005-0000-0000-000050180000}"/>
    <cellStyle name="20% - Accent4 2 3 3 2 2" xfId="10778" xr:uid="{00000000-0005-0000-0000-000051180000}"/>
    <cellStyle name="20% - Accent4 2 3 3 2 2 2" xfId="24720" xr:uid="{00000000-0005-0000-0000-000052180000}"/>
    <cellStyle name="20% - Accent4 2 3 3 2 3" xfId="18930" xr:uid="{00000000-0005-0000-0000-000053180000}"/>
    <cellStyle name="20% - Accent4 2 3 3 3" xfId="1608" xr:uid="{00000000-0005-0000-0000-000054180000}"/>
    <cellStyle name="20% - Accent4 2 3 3 3 2" xfId="12502" xr:uid="{00000000-0005-0000-0000-000055180000}"/>
    <cellStyle name="20% - Accent4 2 3 3 3 2 2" xfId="26214" xr:uid="{00000000-0005-0000-0000-000056180000}"/>
    <cellStyle name="20% - Accent4 2 3 3 3 3" xfId="18931" xr:uid="{00000000-0005-0000-0000-000057180000}"/>
    <cellStyle name="20% - Accent4 2 3 3 4" xfId="1609" xr:uid="{00000000-0005-0000-0000-000058180000}"/>
    <cellStyle name="20% - Accent4 2 3 3 4 2" xfId="14880" xr:uid="{00000000-0005-0000-0000-000059180000}"/>
    <cellStyle name="20% - Accent4 2 3 3 4 2 2" xfId="28429" xr:uid="{00000000-0005-0000-0000-00005A180000}"/>
    <cellStyle name="20% - Accent4 2 3 3 4 3" xfId="18932" xr:uid="{00000000-0005-0000-0000-00005B180000}"/>
    <cellStyle name="20% - Accent4 2 3 3 5" xfId="1610" xr:uid="{00000000-0005-0000-0000-00005C180000}"/>
    <cellStyle name="20% - Accent4 2 3 3 5 2" xfId="16632" xr:uid="{00000000-0005-0000-0000-00005D180000}"/>
    <cellStyle name="20% - Accent4 2 3 3 5 2 2" xfId="30039" xr:uid="{00000000-0005-0000-0000-00005E180000}"/>
    <cellStyle name="20% - Accent4 2 3 3 5 3" xfId="18933" xr:uid="{00000000-0005-0000-0000-00005F180000}"/>
    <cellStyle name="20% - Accent4 2 3 3 6" xfId="9053" xr:uid="{00000000-0005-0000-0000-000060180000}"/>
    <cellStyle name="20% - Accent4 2 3 3 6 2" xfId="23528" xr:uid="{00000000-0005-0000-0000-000061180000}"/>
    <cellStyle name="20% - Accent4 2 3 3 7" xfId="18929" xr:uid="{00000000-0005-0000-0000-000062180000}"/>
    <cellStyle name="20% - Accent4 2 3 4" xfId="1611" xr:uid="{00000000-0005-0000-0000-000063180000}"/>
    <cellStyle name="20% - Accent4 2 3 4 2" xfId="1612" xr:uid="{00000000-0005-0000-0000-000064180000}"/>
    <cellStyle name="20% - Accent4 2 3 4 2 2" xfId="14881" xr:uid="{00000000-0005-0000-0000-000065180000}"/>
    <cellStyle name="20% - Accent4 2 3 4 2 2 2" xfId="28430" xr:uid="{00000000-0005-0000-0000-000066180000}"/>
    <cellStyle name="20% - Accent4 2 3 4 2 3" xfId="18935" xr:uid="{00000000-0005-0000-0000-000067180000}"/>
    <cellStyle name="20% - Accent4 2 3 4 3" xfId="10775" xr:uid="{00000000-0005-0000-0000-000068180000}"/>
    <cellStyle name="20% - Accent4 2 3 4 3 2" xfId="24717" xr:uid="{00000000-0005-0000-0000-000069180000}"/>
    <cellStyle name="20% - Accent4 2 3 4 4" xfId="18934" xr:uid="{00000000-0005-0000-0000-00006A180000}"/>
    <cellStyle name="20% - Accent4 2 3 5" xfId="1613" xr:uid="{00000000-0005-0000-0000-00006B180000}"/>
    <cellStyle name="20% - Accent4 2 3 5 2" xfId="12009" xr:uid="{00000000-0005-0000-0000-00006C180000}"/>
    <cellStyle name="20% - Accent4 2 3 5 2 2" xfId="25724" xr:uid="{00000000-0005-0000-0000-00006D180000}"/>
    <cellStyle name="20% - Accent4 2 3 5 3" xfId="18936" xr:uid="{00000000-0005-0000-0000-00006E180000}"/>
    <cellStyle name="20% - Accent4 2 3 6" xfId="1614" xr:uid="{00000000-0005-0000-0000-00006F180000}"/>
    <cellStyle name="20% - Accent4 2 3 6 2" xfId="12748" xr:uid="{00000000-0005-0000-0000-000070180000}"/>
    <cellStyle name="20% - Accent4 2 3 6 2 2" xfId="26460" xr:uid="{00000000-0005-0000-0000-000071180000}"/>
    <cellStyle name="20% - Accent4 2 3 6 3" xfId="18937" xr:uid="{00000000-0005-0000-0000-000072180000}"/>
    <cellStyle name="20% - Accent4 2 3 7" xfId="1615" xr:uid="{00000000-0005-0000-0000-000073180000}"/>
    <cellStyle name="20% - Accent4 2 3 7 2" xfId="13584" xr:uid="{00000000-0005-0000-0000-000074180000}"/>
    <cellStyle name="20% - Accent4 2 3 7 2 2" xfId="27133" xr:uid="{00000000-0005-0000-0000-000075180000}"/>
    <cellStyle name="20% - Accent4 2 3 7 3" xfId="18938" xr:uid="{00000000-0005-0000-0000-000076180000}"/>
    <cellStyle name="20% - Accent4 2 3 8" xfId="1616" xr:uid="{00000000-0005-0000-0000-000077180000}"/>
    <cellStyle name="20% - Accent4 2 3 8 2" xfId="14165" xr:uid="{00000000-0005-0000-0000-000078180000}"/>
    <cellStyle name="20% - Accent4 2 3 8 2 2" xfId="27714" xr:uid="{00000000-0005-0000-0000-000079180000}"/>
    <cellStyle name="20% - Accent4 2 3 8 3" xfId="18939" xr:uid="{00000000-0005-0000-0000-00007A180000}"/>
    <cellStyle name="20% - Accent4 2 3 9" xfId="1617" xr:uid="{00000000-0005-0000-0000-00007B180000}"/>
    <cellStyle name="20% - Accent4 2 3 9 2" xfId="14876" xr:uid="{00000000-0005-0000-0000-00007C180000}"/>
    <cellStyle name="20% - Accent4 2 3 9 2 2" xfId="28425" xr:uid="{00000000-0005-0000-0000-00007D180000}"/>
    <cellStyle name="20% - Accent4 2 3 9 3" xfId="18940" xr:uid="{00000000-0005-0000-0000-00007E180000}"/>
    <cellStyle name="20% - Accent4 2 4" xfId="1618" xr:uid="{00000000-0005-0000-0000-00007F180000}"/>
    <cellStyle name="20% - Accent4 2 4 10" xfId="9054" xr:uid="{00000000-0005-0000-0000-000080180000}"/>
    <cellStyle name="20% - Accent4 2 4 10 2" xfId="23529" xr:uid="{00000000-0005-0000-0000-000081180000}"/>
    <cellStyle name="20% - Accent4 2 4 11" xfId="18941" xr:uid="{00000000-0005-0000-0000-000082180000}"/>
    <cellStyle name="20% - Accent4 2 4 2" xfId="1619" xr:uid="{00000000-0005-0000-0000-000083180000}"/>
    <cellStyle name="20% - Accent4 2 4 2 2" xfId="1620" xr:uid="{00000000-0005-0000-0000-000084180000}"/>
    <cellStyle name="20% - Accent4 2 4 2 2 2" xfId="10780" xr:uid="{00000000-0005-0000-0000-000085180000}"/>
    <cellStyle name="20% - Accent4 2 4 2 2 2 2" xfId="24722" xr:uid="{00000000-0005-0000-0000-000086180000}"/>
    <cellStyle name="20% - Accent4 2 4 2 2 3" xfId="18943" xr:uid="{00000000-0005-0000-0000-000087180000}"/>
    <cellStyle name="20% - Accent4 2 4 2 3" xfId="1621" xr:uid="{00000000-0005-0000-0000-000088180000}"/>
    <cellStyle name="20% - Accent4 2 4 2 3 2" xfId="12553" xr:uid="{00000000-0005-0000-0000-000089180000}"/>
    <cellStyle name="20% - Accent4 2 4 2 3 2 2" xfId="26265" xr:uid="{00000000-0005-0000-0000-00008A180000}"/>
    <cellStyle name="20% - Accent4 2 4 2 3 3" xfId="18944" xr:uid="{00000000-0005-0000-0000-00008B180000}"/>
    <cellStyle name="20% - Accent4 2 4 2 4" xfId="1622" xr:uid="{00000000-0005-0000-0000-00008C180000}"/>
    <cellStyle name="20% - Accent4 2 4 2 4 2" xfId="14883" xr:uid="{00000000-0005-0000-0000-00008D180000}"/>
    <cellStyle name="20% - Accent4 2 4 2 4 2 2" xfId="28432" xr:uid="{00000000-0005-0000-0000-00008E180000}"/>
    <cellStyle name="20% - Accent4 2 4 2 4 3" xfId="18945" xr:uid="{00000000-0005-0000-0000-00008F180000}"/>
    <cellStyle name="20% - Accent4 2 4 2 5" xfId="1623" xr:uid="{00000000-0005-0000-0000-000090180000}"/>
    <cellStyle name="20% - Accent4 2 4 2 5 2" xfId="16778" xr:uid="{00000000-0005-0000-0000-000091180000}"/>
    <cellStyle name="20% - Accent4 2 4 2 5 2 2" xfId="30185" xr:uid="{00000000-0005-0000-0000-000092180000}"/>
    <cellStyle name="20% - Accent4 2 4 2 5 3" xfId="18946" xr:uid="{00000000-0005-0000-0000-000093180000}"/>
    <cellStyle name="20% - Accent4 2 4 2 6" xfId="9055" xr:uid="{00000000-0005-0000-0000-000094180000}"/>
    <cellStyle name="20% - Accent4 2 4 2 6 2" xfId="23530" xr:uid="{00000000-0005-0000-0000-000095180000}"/>
    <cellStyle name="20% - Accent4 2 4 2 7" xfId="18942" xr:uid="{00000000-0005-0000-0000-000096180000}"/>
    <cellStyle name="20% - Accent4 2 4 3" xfId="1624" xr:uid="{00000000-0005-0000-0000-000097180000}"/>
    <cellStyle name="20% - Accent4 2 4 3 2" xfId="1625" xr:uid="{00000000-0005-0000-0000-000098180000}"/>
    <cellStyle name="20% - Accent4 2 4 3 2 2" xfId="14884" xr:uid="{00000000-0005-0000-0000-000099180000}"/>
    <cellStyle name="20% - Accent4 2 4 3 2 2 2" xfId="28433" xr:uid="{00000000-0005-0000-0000-00009A180000}"/>
    <cellStyle name="20% - Accent4 2 4 3 2 3" xfId="18948" xr:uid="{00000000-0005-0000-0000-00009B180000}"/>
    <cellStyle name="20% - Accent4 2 4 3 3" xfId="10779" xr:uid="{00000000-0005-0000-0000-00009C180000}"/>
    <cellStyle name="20% - Accent4 2 4 3 3 2" xfId="24721" xr:uid="{00000000-0005-0000-0000-00009D180000}"/>
    <cellStyle name="20% - Accent4 2 4 3 4" xfId="18947" xr:uid="{00000000-0005-0000-0000-00009E180000}"/>
    <cellStyle name="20% - Accent4 2 4 4" xfId="1626" xr:uid="{00000000-0005-0000-0000-00009F180000}"/>
    <cellStyle name="20% - Accent4 2 4 4 2" xfId="12166" xr:uid="{00000000-0005-0000-0000-0000A0180000}"/>
    <cellStyle name="20% - Accent4 2 4 4 2 2" xfId="25878" xr:uid="{00000000-0005-0000-0000-0000A1180000}"/>
    <cellStyle name="20% - Accent4 2 4 4 3" xfId="18949" xr:uid="{00000000-0005-0000-0000-0000A2180000}"/>
    <cellStyle name="20% - Accent4 2 4 5" xfId="1627" xr:uid="{00000000-0005-0000-0000-0000A3180000}"/>
    <cellStyle name="20% - Accent4 2 4 5 2" xfId="12499" xr:uid="{00000000-0005-0000-0000-0000A4180000}"/>
    <cellStyle name="20% - Accent4 2 4 5 2 2" xfId="26211" xr:uid="{00000000-0005-0000-0000-0000A5180000}"/>
    <cellStyle name="20% - Accent4 2 4 5 3" xfId="18950" xr:uid="{00000000-0005-0000-0000-0000A6180000}"/>
    <cellStyle name="20% - Accent4 2 4 6" xfId="1628" xr:uid="{00000000-0005-0000-0000-0000A7180000}"/>
    <cellStyle name="20% - Accent4 2 4 6 2" xfId="13730" xr:uid="{00000000-0005-0000-0000-0000A8180000}"/>
    <cellStyle name="20% - Accent4 2 4 6 2 2" xfId="27279" xr:uid="{00000000-0005-0000-0000-0000A9180000}"/>
    <cellStyle name="20% - Accent4 2 4 6 3" xfId="18951" xr:uid="{00000000-0005-0000-0000-0000AA180000}"/>
    <cellStyle name="20% - Accent4 2 4 7" xfId="1629" xr:uid="{00000000-0005-0000-0000-0000AB180000}"/>
    <cellStyle name="20% - Accent4 2 4 7 2" xfId="14311" xr:uid="{00000000-0005-0000-0000-0000AC180000}"/>
    <cellStyle name="20% - Accent4 2 4 7 2 2" xfId="27860" xr:uid="{00000000-0005-0000-0000-0000AD180000}"/>
    <cellStyle name="20% - Accent4 2 4 7 3" xfId="18952" xr:uid="{00000000-0005-0000-0000-0000AE180000}"/>
    <cellStyle name="20% - Accent4 2 4 8" xfId="1630" xr:uid="{00000000-0005-0000-0000-0000AF180000}"/>
    <cellStyle name="20% - Accent4 2 4 8 2" xfId="14882" xr:uid="{00000000-0005-0000-0000-0000B0180000}"/>
    <cellStyle name="20% - Accent4 2 4 8 2 2" xfId="28431" xr:uid="{00000000-0005-0000-0000-0000B1180000}"/>
    <cellStyle name="20% - Accent4 2 4 8 3" xfId="18953" xr:uid="{00000000-0005-0000-0000-0000B2180000}"/>
    <cellStyle name="20% - Accent4 2 4 9" xfId="1631" xr:uid="{00000000-0005-0000-0000-0000B3180000}"/>
    <cellStyle name="20% - Accent4 2 4 9 2" xfId="16197" xr:uid="{00000000-0005-0000-0000-0000B4180000}"/>
    <cellStyle name="20% - Accent4 2 4 9 2 2" xfId="29604" xr:uid="{00000000-0005-0000-0000-0000B5180000}"/>
    <cellStyle name="20% - Accent4 2 4 9 3" xfId="18954" xr:uid="{00000000-0005-0000-0000-0000B6180000}"/>
    <cellStyle name="20% - Accent4 2 5" xfId="1632" xr:uid="{00000000-0005-0000-0000-0000B7180000}"/>
    <cellStyle name="20% - Accent4 2 5 2" xfId="1633" xr:uid="{00000000-0005-0000-0000-0000B8180000}"/>
    <cellStyle name="20% - Accent4 2 5 2 2" xfId="1634" xr:uid="{00000000-0005-0000-0000-0000B9180000}"/>
    <cellStyle name="20% - Accent4 2 5 2 2 2" xfId="10782" xr:uid="{00000000-0005-0000-0000-0000BA180000}"/>
    <cellStyle name="20% - Accent4 2 5 2 2 2 2" xfId="24724" xr:uid="{00000000-0005-0000-0000-0000BB180000}"/>
    <cellStyle name="20% - Accent4 2 5 2 2 3" xfId="18957" xr:uid="{00000000-0005-0000-0000-0000BC180000}"/>
    <cellStyle name="20% - Accent4 2 5 2 3" xfId="1635" xr:uid="{00000000-0005-0000-0000-0000BD180000}"/>
    <cellStyle name="20% - Accent4 2 5 2 3 2" xfId="12780" xr:uid="{00000000-0005-0000-0000-0000BE180000}"/>
    <cellStyle name="20% - Accent4 2 5 2 3 2 2" xfId="26492" xr:uid="{00000000-0005-0000-0000-0000BF180000}"/>
    <cellStyle name="20% - Accent4 2 5 2 3 3" xfId="18958" xr:uid="{00000000-0005-0000-0000-0000C0180000}"/>
    <cellStyle name="20% - Accent4 2 5 2 4" xfId="1636" xr:uid="{00000000-0005-0000-0000-0000C1180000}"/>
    <cellStyle name="20% - Accent4 2 5 2 4 2" xfId="14886" xr:uid="{00000000-0005-0000-0000-0000C2180000}"/>
    <cellStyle name="20% - Accent4 2 5 2 4 2 2" xfId="28435" xr:uid="{00000000-0005-0000-0000-0000C3180000}"/>
    <cellStyle name="20% - Accent4 2 5 2 4 3" xfId="18959" xr:uid="{00000000-0005-0000-0000-0000C4180000}"/>
    <cellStyle name="20% - Accent4 2 5 2 5" xfId="9057" xr:uid="{00000000-0005-0000-0000-0000C5180000}"/>
    <cellStyle name="20% - Accent4 2 5 2 5 2" xfId="23532" xr:uid="{00000000-0005-0000-0000-0000C6180000}"/>
    <cellStyle name="20% - Accent4 2 5 2 6" xfId="18956" xr:uid="{00000000-0005-0000-0000-0000C7180000}"/>
    <cellStyle name="20% - Accent4 2 5 3" xfId="1637" xr:uid="{00000000-0005-0000-0000-0000C8180000}"/>
    <cellStyle name="20% - Accent4 2 5 3 2" xfId="10781" xr:uid="{00000000-0005-0000-0000-0000C9180000}"/>
    <cellStyle name="20% - Accent4 2 5 3 2 2" xfId="24723" xr:uid="{00000000-0005-0000-0000-0000CA180000}"/>
    <cellStyle name="20% - Accent4 2 5 3 3" xfId="18960" xr:uid="{00000000-0005-0000-0000-0000CB180000}"/>
    <cellStyle name="20% - Accent4 2 5 4" xfId="1638" xr:uid="{00000000-0005-0000-0000-0000CC180000}"/>
    <cellStyle name="20% - Accent4 2 5 4 2" xfId="12522" xr:uid="{00000000-0005-0000-0000-0000CD180000}"/>
    <cellStyle name="20% - Accent4 2 5 4 2 2" xfId="26234" xr:uid="{00000000-0005-0000-0000-0000CE180000}"/>
    <cellStyle name="20% - Accent4 2 5 4 3" xfId="18961" xr:uid="{00000000-0005-0000-0000-0000CF180000}"/>
    <cellStyle name="20% - Accent4 2 5 5" xfId="1639" xr:uid="{00000000-0005-0000-0000-0000D0180000}"/>
    <cellStyle name="20% - Accent4 2 5 5 2" xfId="14885" xr:uid="{00000000-0005-0000-0000-0000D1180000}"/>
    <cellStyle name="20% - Accent4 2 5 5 2 2" xfId="28434" xr:uid="{00000000-0005-0000-0000-0000D2180000}"/>
    <cellStyle name="20% - Accent4 2 5 5 3" xfId="18962" xr:uid="{00000000-0005-0000-0000-0000D3180000}"/>
    <cellStyle name="20% - Accent4 2 5 6" xfId="1640" xr:uid="{00000000-0005-0000-0000-0000D4180000}"/>
    <cellStyle name="20% - Accent4 2 5 6 2" xfId="17010" xr:uid="{00000000-0005-0000-0000-0000D5180000}"/>
    <cellStyle name="20% - Accent4 2 5 6 2 2" xfId="30417" xr:uid="{00000000-0005-0000-0000-0000D6180000}"/>
    <cellStyle name="20% - Accent4 2 5 6 3" xfId="18963" xr:uid="{00000000-0005-0000-0000-0000D7180000}"/>
    <cellStyle name="20% - Accent4 2 5 7" xfId="9056" xr:uid="{00000000-0005-0000-0000-0000D8180000}"/>
    <cellStyle name="20% - Accent4 2 5 7 2" xfId="23531" xr:uid="{00000000-0005-0000-0000-0000D9180000}"/>
    <cellStyle name="20% - Accent4 2 5 8" xfId="18955" xr:uid="{00000000-0005-0000-0000-0000DA180000}"/>
    <cellStyle name="20% - Accent4 2 6" xfId="1641" xr:uid="{00000000-0005-0000-0000-0000DB180000}"/>
    <cellStyle name="20% - Accent4 2 6 2" xfId="1642" xr:uid="{00000000-0005-0000-0000-0000DC180000}"/>
    <cellStyle name="20% - Accent4 2 6 2 2" xfId="10783" xr:uid="{00000000-0005-0000-0000-0000DD180000}"/>
    <cellStyle name="20% - Accent4 2 6 2 2 2" xfId="24725" xr:uid="{00000000-0005-0000-0000-0000DE180000}"/>
    <cellStyle name="20% - Accent4 2 6 2 3" xfId="18965" xr:uid="{00000000-0005-0000-0000-0000DF180000}"/>
    <cellStyle name="20% - Accent4 2 6 3" xfId="1643" xr:uid="{00000000-0005-0000-0000-0000E0180000}"/>
    <cellStyle name="20% - Accent4 2 6 3 2" xfId="12406" xr:uid="{00000000-0005-0000-0000-0000E1180000}"/>
    <cellStyle name="20% - Accent4 2 6 3 2 2" xfId="26118" xr:uid="{00000000-0005-0000-0000-0000E2180000}"/>
    <cellStyle name="20% - Accent4 2 6 3 3" xfId="18966" xr:uid="{00000000-0005-0000-0000-0000E3180000}"/>
    <cellStyle name="20% - Accent4 2 6 4" xfId="1644" xr:uid="{00000000-0005-0000-0000-0000E4180000}"/>
    <cellStyle name="20% - Accent4 2 6 4 2" xfId="14887" xr:uid="{00000000-0005-0000-0000-0000E5180000}"/>
    <cellStyle name="20% - Accent4 2 6 4 2 2" xfId="28436" xr:uid="{00000000-0005-0000-0000-0000E6180000}"/>
    <cellStyle name="20% - Accent4 2 6 4 3" xfId="18967" xr:uid="{00000000-0005-0000-0000-0000E7180000}"/>
    <cellStyle name="20% - Accent4 2 6 5" xfId="1645" xr:uid="{00000000-0005-0000-0000-0000E8180000}"/>
    <cellStyle name="20% - Accent4 2 6 5 2" xfId="17125" xr:uid="{00000000-0005-0000-0000-0000E9180000}"/>
    <cellStyle name="20% - Accent4 2 6 5 2 2" xfId="30484" xr:uid="{00000000-0005-0000-0000-0000EA180000}"/>
    <cellStyle name="20% - Accent4 2 6 5 3" xfId="18968" xr:uid="{00000000-0005-0000-0000-0000EB180000}"/>
    <cellStyle name="20% - Accent4 2 6 6" xfId="9058" xr:uid="{00000000-0005-0000-0000-0000EC180000}"/>
    <cellStyle name="20% - Accent4 2 6 6 2" xfId="23533" xr:uid="{00000000-0005-0000-0000-0000ED180000}"/>
    <cellStyle name="20% - Accent4 2 6 7" xfId="18964" xr:uid="{00000000-0005-0000-0000-0000EE180000}"/>
    <cellStyle name="20% - Accent4 2 7" xfId="1646" xr:uid="{00000000-0005-0000-0000-0000EF180000}"/>
    <cellStyle name="20% - Accent4 2 7 2" xfId="1647" xr:uid="{00000000-0005-0000-0000-0000F0180000}"/>
    <cellStyle name="20% - Accent4 2 7 2 2" xfId="10784" xr:uid="{00000000-0005-0000-0000-0000F1180000}"/>
    <cellStyle name="20% - Accent4 2 7 2 2 2" xfId="24726" xr:uid="{00000000-0005-0000-0000-0000F2180000}"/>
    <cellStyle name="20% - Accent4 2 7 2 3" xfId="18970" xr:uid="{00000000-0005-0000-0000-0000F3180000}"/>
    <cellStyle name="20% - Accent4 2 7 3" xfId="1648" xr:uid="{00000000-0005-0000-0000-0000F4180000}"/>
    <cellStyle name="20% - Accent4 2 7 3 2" xfId="12788" xr:uid="{00000000-0005-0000-0000-0000F5180000}"/>
    <cellStyle name="20% - Accent4 2 7 3 2 2" xfId="26500" xr:uid="{00000000-0005-0000-0000-0000F6180000}"/>
    <cellStyle name="20% - Accent4 2 7 3 3" xfId="18971" xr:uid="{00000000-0005-0000-0000-0000F7180000}"/>
    <cellStyle name="20% - Accent4 2 7 4" xfId="1649" xr:uid="{00000000-0005-0000-0000-0000F8180000}"/>
    <cellStyle name="20% - Accent4 2 7 4 2" xfId="14888" xr:uid="{00000000-0005-0000-0000-0000F9180000}"/>
    <cellStyle name="20% - Accent4 2 7 4 2 2" xfId="28437" xr:uid="{00000000-0005-0000-0000-0000FA180000}"/>
    <cellStyle name="20% - Accent4 2 7 4 3" xfId="18972" xr:uid="{00000000-0005-0000-0000-0000FB180000}"/>
    <cellStyle name="20% - Accent4 2 7 5" xfId="1650" xr:uid="{00000000-0005-0000-0000-0000FC180000}"/>
    <cellStyle name="20% - Accent4 2 7 5 2" xfId="17214" xr:uid="{00000000-0005-0000-0000-0000FD180000}"/>
    <cellStyle name="20% - Accent4 2 7 5 2 2" xfId="30573" xr:uid="{00000000-0005-0000-0000-0000FE180000}"/>
    <cellStyle name="20% - Accent4 2 7 5 3" xfId="18973" xr:uid="{00000000-0005-0000-0000-0000FF180000}"/>
    <cellStyle name="20% - Accent4 2 7 6" xfId="9059" xr:uid="{00000000-0005-0000-0000-000000190000}"/>
    <cellStyle name="20% - Accent4 2 7 6 2" xfId="23534" xr:uid="{00000000-0005-0000-0000-000001190000}"/>
    <cellStyle name="20% - Accent4 2 7 7" xfId="18969" xr:uid="{00000000-0005-0000-0000-000002190000}"/>
    <cellStyle name="20% - Accent4 2 8" xfId="1651" xr:uid="{00000000-0005-0000-0000-000003190000}"/>
    <cellStyle name="20% - Accent4 2 8 2" xfId="1652" xr:uid="{00000000-0005-0000-0000-000004190000}"/>
    <cellStyle name="20% - Accent4 2 8 2 2" xfId="12480" xr:uid="{00000000-0005-0000-0000-000005190000}"/>
    <cellStyle name="20% - Accent4 2 8 2 2 2" xfId="26192" xr:uid="{00000000-0005-0000-0000-000006190000}"/>
    <cellStyle name="20% - Accent4 2 8 2 3" xfId="18975" xr:uid="{00000000-0005-0000-0000-000007190000}"/>
    <cellStyle name="20% - Accent4 2 8 3" xfId="1653" xr:uid="{00000000-0005-0000-0000-000008190000}"/>
    <cellStyle name="20% - Accent4 2 8 3 2" xfId="14889" xr:uid="{00000000-0005-0000-0000-000009190000}"/>
    <cellStyle name="20% - Accent4 2 8 3 2 2" xfId="28438" xr:uid="{00000000-0005-0000-0000-00000A190000}"/>
    <cellStyle name="20% - Accent4 2 8 3 3" xfId="18976" xr:uid="{00000000-0005-0000-0000-00000B190000}"/>
    <cellStyle name="20% - Accent4 2 8 4" xfId="1654" xr:uid="{00000000-0005-0000-0000-00000C190000}"/>
    <cellStyle name="20% - Accent4 2 8 4 2" xfId="16489" xr:uid="{00000000-0005-0000-0000-00000D190000}"/>
    <cellStyle name="20% - Accent4 2 8 4 2 2" xfId="29896" xr:uid="{00000000-0005-0000-0000-00000E190000}"/>
    <cellStyle name="20% - Accent4 2 8 4 3" xfId="18977" xr:uid="{00000000-0005-0000-0000-00000F190000}"/>
    <cellStyle name="20% - Accent4 2 8 5" xfId="10531" xr:uid="{00000000-0005-0000-0000-000010190000}"/>
    <cellStyle name="20% - Accent4 2 8 5 2" xfId="24473" xr:uid="{00000000-0005-0000-0000-000011190000}"/>
    <cellStyle name="20% - Accent4 2 8 6" xfId="18974" xr:uid="{00000000-0005-0000-0000-000012190000}"/>
    <cellStyle name="20% - Accent4 2 9" xfId="1655" xr:uid="{00000000-0005-0000-0000-000013190000}"/>
    <cellStyle name="20% - Accent4 2 9 2" xfId="1656" xr:uid="{00000000-0005-0000-0000-000014190000}"/>
    <cellStyle name="20% - Accent4 2 9 2 2" xfId="12593" xr:uid="{00000000-0005-0000-0000-000015190000}"/>
    <cellStyle name="20% - Accent4 2 9 2 2 2" xfId="26305" xr:uid="{00000000-0005-0000-0000-000016190000}"/>
    <cellStyle name="20% - Accent4 2 9 2 3" xfId="18979" xr:uid="{00000000-0005-0000-0000-000017190000}"/>
    <cellStyle name="20% - Accent4 2 9 3" xfId="1657" xr:uid="{00000000-0005-0000-0000-000018190000}"/>
    <cellStyle name="20% - Accent4 2 9 3 2" xfId="14890" xr:uid="{00000000-0005-0000-0000-000019190000}"/>
    <cellStyle name="20% - Accent4 2 9 3 2 2" xfId="28439" xr:uid="{00000000-0005-0000-0000-00001A190000}"/>
    <cellStyle name="20% - Accent4 2 9 3 3" xfId="18980" xr:uid="{00000000-0005-0000-0000-00001B190000}"/>
    <cellStyle name="20% - Accent4 2 9 4" xfId="10766" xr:uid="{00000000-0005-0000-0000-00001C190000}"/>
    <cellStyle name="20% - Accent4 2 9 4 2" xfId="24708" xr:uid="{00000000-0005-0000-0000-00001D190000}"/>
    <cellStyle name="20% - Accent4 2 9 5" xfId="18978" xr:uid="{00000000-0005-0000-0000-00001E190000}"/>
    <cellStyle name="20% - Accent4 20" xfId="1658" xr:uid="{00000000-0005-0000-0000-00001F190000}"/>
    <cellStyle name="20% - Accent4 20 2" xfId="1659" xr:uid="{00000000-0005-0000-0000-000020190000}"/>
    <cellStyle name="20% - Accent4 20 2 2" xfId="12683" xr:uid="{00000000-0005-0000-0000-000021190000}"/>
    <cellStyle name="20% - Accent4 20 2 2 2" xfId="26395" xr:uid="{00000000-0005-0000-0000-000022190000}"/>
    <cellStyle name="20% - Accent4 20 2 3" xfId="18982" xr:uid="{00000000-0005-0000-0000-000023190000}"/>
    <cellStyle name="20% - Accent4 20 3" xfId="1660" xr:uid="{00000000-0005-0000-0000-000024190000}"/>
    <cellStyle name="20% - Accent4 20 3 2" xfId="14891" xr:uid="{00000000-0005-0000-0000-000025190000}"/>
    <cellStyle name="20% - Accent4 20 3 2 2" xfId="28440" xr:uid="{00000000-0005-0000-0000-000026190000}"/>
    <cellStyle name="20% - Accent4 20 3 3" xfId="18983" xr:uid="{00000000-0005-0000-0000-000027190000}"/>
    <cellStyle name="20% - Accent4 20 4" xfId="10506" xr:uid="{00000000-0005-0000-0000-000028190000}"/>
    <cellStyle name="20% - Accent4 20 4 2" xfId="24454" xr:uid="{00000000-0005-0000-0000-000029190000}"/>
    <cellStyle name="20% - Accent4 20 5" xfId="18981" xr:uid="{00000000-0005-0000-0000-00002A190000}"/>
    <cellStyle name="20% - Accent4 21" xfId="1661" xr:uid="{00000000-0005-0000-0000-00002B190000}"/>
    <cellStyle name="20% - Accent4 21 2" xfId="1662" xr:uid="{00000000-0005-0000-0000-00002C190000}"/>
    <cellStyle name="20% - Accent4 21 2 2" xfId="12601" xr:uid="{00000000-0005-0000-0000-00002D190000}"/>
    <cellStyle name="20% - Accent4 21 2 2 2" xfId="26313" xr:uid="{00000000-0005-0000-0000-00002E190000}"/>
    <cellStyle name="20% - Accent4 21 2 3" xfId="18985" xr:uid="{00000000-0005-0000-0000-00002F190000}"/>
    <cellStyle name="20% - Accent4 21 3" xfId="1663" xr:uid="{00000000-0005-0000-0000-000030190000}"/>
    <cellStyle name="20% - Accent4 21 3 2" xfId="14892" xr:uid="{00000000-0005-0000-0000-000031190000}"/>
    <cellStyle name="20% - Accent4 21 3 2 2" xfId="28441" xr:uid="{00000000-0005-0000-0000-000032190000}"/>
    <cellStyle name="20% - Accent4 21 3 3" xfId="18986" xr:uid="{00000000-0005-0000-0000-000033190000}"/>
    <cellStyle name="20% - Accent4 21 4" xfId="10755" xr:uid="{00000000-0005-0000-0000-000034190000}"/>
    <cellStyle name="20% - Accent4 21 4 2" xfId="24697" xr:uid="{00000000-0005-0000-0000-000035190000}"/>
    <cellStyle name="20% - Accent4 21 5" xfId="18984" xr:uid="{00000000-0005-0000-0000-000036190000}"/>
    <cellStyle name="20% - Accent4 22" xfId="1664" xr:uid="{00000000-0005-0000-0000-000037190000}"/>
    <cellStyle name="20% - Accent4 22 2" xfId="11742" xr:uid="{00000000-0005-0000-0000-000038190000}"/>
    <cellStyle name="20% - Accent4 22 2 2" xfId="25457" xr:uid="{00000000-0005-0000-0000-000039190000}"/>
    <cellStyle name="20% - Accent4 22 3" xfId="18987" xr:uid="{00000000-0005-0000-0000-00003A190000}"/>
    <cellStyle name="20% - Accent4 23" xfId="1665" xr:uid="{00000000-0005-0000-0000-00003B190000}"/>
    <cellStyle name="20% - Accent4 23 2" xfId="12447" xr:uid="{00000000-0005-0000-0000-00003C190000}"/>
    <cellStyle name="20% - Accent4 23 2 2" xfId="26159" xr:uid="{00000000-0005-0000-0000-00003D190000}"/>
    <cellStyle name="20% - Accent4 23 3" xfId="18988" xr:uid="{00000000-0005-0000-0000-00003E190000}"/>
    <cellStyle name="20% - Accent4 24" xfId="1666" xr:uid="{00000000-0005-0000-0000-00003F190000}"/>
    <cellStyle name="20% - Accent4 24 2" xfId="13381" xr:uid="{00000000-0005-0000-0000-000040190000}"/>
    <cellStyle name="20% - Accent4 24 2 2" xfId="26930" xr:uid="{00000000-0005-0000-0000-000041190000}"/>
    <cellStyle name="20% - Accent4 24 3" xfId="18989" xr:uid="{00000000-0005-0000-0000-000042190000}"/>
    <cellStyle name="20% - Accent4 25" xfId="1667" xr:uid="{00000000-0005-0000-0000-000043190000}"/>
    <cellStyle name="20% - Accent4 25 2" xfId="13962" xr:uid="{00000000-0005-0000-0000-000044190000}"/>
    <cellStyle name="20% - Accent4 25 2 2" xfId="27511" xr:uid="{00000000-0005-0000-0000-000045190000}"/>
    <cellStyle name="20% - Accent4 25 3" xfId="18990" xr:uid="{00000000-0005-0000-0000-000046190000}"/>
    <cellStyle name="20% - Accent4 26" xfId="1668" xr:uid="{00000000-0005-0000-0000-000047190000}"/>
    <cellStyle name="20% - Accent4 26 2" xfId="14849" xr:uid="{00000000-0005-0000-0000-000048190000}"/>
    <cellStyle name="20% - Accent4 26 2 2" xfId="28398" xr:uid="{00000000-0005-0000-0000-000049190000}"/>
    <cellStyle name="20% - Accent4 26 3" xfId="18991" xr:uid="{00000000-0005-0000-0000-00004A190000}"/>
    <cellStyle name="20% - Accent4 27" xfId="1669" xr:uid="{00000000-0005-0000-0000-00004B190000}"/>
    <cellStyle name="20% - Accent4 27 2" xfId="15837" xr:uid="{00000000-0005-0000-0000-00004C190000}"/>
    <cellStyle name="20% - Accent4 27 2 2" xfId="29244" xr:uid="{00000000-0005-0000-0000-00004D190000}"/>
    <cellStyle name="20% - Accent4 27 3" xfId="18992" xr:uid="{00000000-0005-0000-0000-00004E190000}"/>
    <cellStyle name="20% - Accent4 28" xfId="1670" xr:uid="{00000000-0005-0000-0000-00004F190000}"/>
    <cellStyle name="20% - Accent4 28 2" xfId="15848" xr:uid="{00000000-0005-0000-0000-000050190000}"/>
    <cellStyle name="20% - Accent4 28 2 2" xfId="29255" xr:uid="{00000000-0005-0000-0000-000051190000}"/>
    <cellStyle name="20% - Accent4 28 3" xfId="18993" xr:uid="{00000000-0005-0000-0000-000052190000}"/>
    <cellStyle name="20% - Accent4 29" xfId="1671" xr:uid="{00000000-0005-0000-0000-000053190000}"/>
    <cellStyle name="20% - Accent4 29 2" xfId="9030" xr:uid="{00000000-0005-0000-0000-000054190000}"/>
    <cellStyle name="20% - Accent4 29 2 2" xfId="23505" xr:uid="{00000000-0005-0000-0000-000055190000}"/>
    <cellStyle name="20% - Accent4 29 3" xfId="18994" xr:uid="{00000000-0005-0000-0000-000056190000}"/>
    <cellStyle name="20% - Accent4 3" xfId="1672" xr:uid="{00000000-0005-0000-0000-000057190000}"/>
    <cellStyle name="20% - Accent4 3 10" xfId="1673" xr:uid="{00000000-0005-0000-0000-000058190000}"/>
    <cellStyle name="20% - Accent4 3 10 2" xfId="14045" xr:uid="{00000000-0005-0000-0000-000059190000}"/>
    <cellStyle name="20% - Accent4 3 10 2 2" xfId="27594" xr:uid="{00000000-0005-0000-0000-00005A190000}"/>
    <cellStyle name="20% - Accent4 3 10 3" xfId="18996" xr:uid="{00000000-0005-0000-0000-00005B190000}"/>
    <cellStyle name="20% - Accent4 3 11" xfId="1674" xr:uid="{00000000-0005-0000-0000-00005C190000}"/>
    <cellStyle name="20% - Accent4 3 11 2" xfId="14893" xr:uid="{00000000-0005-0000-0000-00005D190000}"/>
    <cellStyle name="20% - Accent4 3 11 2 2" xfId="28442" xr:uid="{00000000-0005-0000-0000-00005E190000}"/>
    <cellStyle name="20% - Accent4 3 11 3" xfId="18997" xr:uid="{00000000-0005-0000-0000-00005F190000}"/>
    <cellStyle name="20% - Accent4 3 12" xfId="1675" xr:uid="{00000000-0005-0000-0000-000060190000}"/>
    <cellStyle name="20% - Accent4 3 12 2" xfId="15931" xr:uid="{00000000-0005-0000-0000-000061190000}"/>
    <cellStyle name="20% - Accent4 3 12 2 2" xfId="29338" xr:uid="{00000000-0005-0000-0000-000062190000}"/>
    <cellStyle name="20% - Accent4 3 12 3" xfId="18998" xr:uid="{00000000-0005-0000-0000-000063190000}"/>
    <cellStyle name="20% - Accent4 3 13" xfId="9060" xr:uid="{00000000-0005-0000-0000-000064190000}"/>
    <cellStyle name="20% - Accent4 3 13 2" xfId="23535" xr:uid="{00000000-0005-0000-0000-000065190000}"/>
    <cellStyle name="20% - Accent4 3 14" xfId="18995" xr:uid="{00000000-0005-0000-0000-000066190000}"/>
    <cellStyle name="20% - Accent4 3 2" xfId="1676" xr:uid="{00000000-0005-0000-0000-000067190000}"/>
    <cellStyle name="20% - Accent4 3 2 10" xfId="1677" xr:uid="{00000000-0005-0000-0000-000068190000}"/>
    <cellStyle name="20% - Accent4 3 2 10 2" xfId="16074" xr:uid="{00000000-0005-0000-0000-000069190000}"/>
    <cellStyle name="20% - Accent4 3 2 10 2 2" xfId="29481" xr:uid="{00000000-0005-0000-0000-00006A190000}"/>
    <cellStyle name="20% - Accent4 3 2 10 3" xfId="19000" xr:uid="{00000000-0005-0000-0000-00006B190000}"/>
    <cellStyle name="20% - Accent4 3 2 11" xfId="9061" xr:uid="{00000000-0005-0000-0000-00006C190000}"/>
    <cellStyle name="20% - Accent4 3 2 11 2" xfId="23536" xr:uid="{00000000-0005-0000-0000-00006D190000}"/>
    <cellStyle name="20% - Accent4 3 2 12" xfId="18999" xr:uid="{00000000-0005-0000-0000-00006E190000}"/>
    <cellStyle name="20% - Accent4 3 2 2" xfId="1678" xr:uid="{00000000-0005-0000-0000-00006F190000}"/>
    <cellStyle name="20% - Accent4 3 2 2 10" xfId="9062" xr:uid="{00000000-0005-0000-0000-000070190000}"/>
    <cellStyle name="20% - Accent4 3 2 2 10 2" xfId="23537" xr:uid="{00000000-0005-0000-0000-000071190000}"/>
    <cellStyle name="20% - Accent4 3 2 2 11" xfId="19001" xr:uid="{00000000-0005-0000-0000-000072190000}"/>
    <cellStyle name="20% - Accent4 3 2 2 2" xfId="1679" xr:uid="{00000000-0005-0000-0000-000073190000}"/>
    <cellStyle name="20% - Accent4 3 2 2 2 2" xfId="1680" xr:uid="{00000000-0005-0000-0000-000074190000}"/>
    <cellStyle name="20% - Accent4 3 2 2 2 2 2" xfId="10788" xr:uid="{00000000-0005-0000-0000-000075190000}"/>
    <cellStyle name="20% - Accent4 3 2 2 2 2 2 2" xfId="24730" xr:uid="{00000000-0005-0000-0000-000076190000}"/>
    <cellStyle name="20% - Accent4 3 2 2 2 2 3" xfId="19003" xr:uid="{00000000-0005-0000-0000-000077190000}"/>
    <cellStyle name="20% - Accent4 3 2 2 2 3" xfId="1681" xr:uid="{00000000-0005-0000-0000-000078190000}"/>
    <cellStyle name="20% - Accent4 3 2 2 2 3 2" xfId="12771" xr:uid="{00000000-0005-0000-0000-000079190000}"/>
    <cellStyle name="20% - Accent4 3 2 2 2 3 2 2" xfId="26483" xr:uid="{00000000-0005-0000-0000-00007A190000}"/>
    <cellStyle name="20% - Accent4 3 2 2 2 3 3" xfId="19004" xr:uid="{00000000-0005-0000-0000-00007B190000}"/>
    <cellStyle name="20% - Accent4 3 2 2 2 4" xfId="1682" xr:uid="{00000000-0005-0000-0000-00007C190000}"/>
    <cellStyle name="20% - Accent4 3 2 2 2 4 2" xfId="14896" xr:uid="{00000000-0005-0000-0000-00007D190000}"/>
    <cellStyle name="20% - Accent4 3 2 2 2 4 2 2" xfId="28445" xr:uid="{00000000-0005-0000-0000-00007E190000}"/>
    <cellStyle name="20% - Accent4 3 2 2 2 4 3" xfId="19005" xr:uid="{00000000-0005-0000-0000-00007F190000}"/>
    <cellStyle name="20% - Accent4 3 2 2 2 5" xfId="1683" xr:uid="{00000000-0005-0000-0000-000080190000}"/>
    <cellStyle name="20% - Accent4 3 2 2 2 5 2" xfId="16944" xr:uid="{00000000-0005-0000-0000-000081190000}"/>
    <cellStyle name="20% - Accent4 3 2 2 2 5 2 2" xfId="30351" xr:uid="{00000000-0005-0000-0000-000082190000}"/>
    <cellStyle name="20% - Accent4 3 2 2 2 5 3" xfId="19006" xr:uid="{00000000-0005-0000-0000-000083190000}"/>
    <cellStyle name="20% - Accent4 3 2 2 2 6" xfId="9063" xr:uid="{00000000-0005-0000-0000-000084190000}"/>
    <cellStyle name="20% - Accent4 3 2 2 2 6 2" xfId="23538" xr:uid="{00000000-0005-0000-0000-000085190000}"/>
    <cellStyle name="20% - Accent4 3 2 2 2 7" xfId="19002" xr:uid="{00000000-0005-0000-0000-000086190000}"/>
    <cellStyle name="20% - Accent4 3 2 2 3" xfId="1684" xr:uid="{00000000-0005-0000-0000-000087190000}"/>
    <cellStyle name="20% - Accent4 3 2 2 3 2" xfId="1685" xr:uid="{00000000-0005-0000-0000-000088190000}"/>
    <cellStyle name="20% - Accent4 3 2 2 3 2 2" xfId="14897" xr:uid="{00000000-0005-0000-0000-000089190000}"/>
    <cellStyle name="20% - Accent4 3 2 2 3 2 2 2" xfId="28446" xr:uid="{00000000-0005-0000-0000-00008A190000}"/>
    <cellStyle name="20% - Accent4 3 2 2 3 2 3" xfId="19008" xr:uid="{00000000-0005-0000-0000-00008B190000}"/>
    <cellStyle name="20% - Accent4 3 2 2 3 3" xfId="10787" xr:uid="{00000000-0005-0000-0000-00008C190000}"/>
    <cellStyle name="20% - Accent4 3 2 2 3 3 2" xfId="24729" xr:uid="{00000000-0005-0000-0000-00008D190000}"/>
    <cellStyle name="20% - Accent4 3 2 2 3 4" xfId="19007" xr:uid="{00000000-0005-0000-0000-00008E190000}"/>
    <cellStyle name="20% - Accent4 3 2 2 4" xfId="1686" xr:uid="{00000000-0005-0000-0000-00008F190000}"/>
    <cellStyle name="20% - Accent4 3 2 2 4 2" xfId="12332" xr:uid="{00000000-0005-0000-0000-000090190000}"/>
    <cellStyle name="20% - Accent4 3 2 2 4 2 2" xfId="26044" xr:uid="{00000000-0005-0000-0000-000091190000}"/>
    <cellStyle name="20% - Accent4 3 2 2 4 3" xfId="19009" xr:uid="{00000000-0005-0000-0000-000092190000}"/>
    <cellStyle name="20% - Accent4 3 2 2 5" xfId="1687" xr:uid="{00000000-0005-0000-0000-000093190000}"/>
    <cellStyle name="20% - Accent4 3 2 2 5 2" xfId="12595" xr:uid="{00000000-0005-0000-0000-000094190000}"/>
    <cellStyle name="20% - Accent4 3 2 2 5 2 2" xfId="26307" xr:uid="{00000000-0005-0000-0000-000095190000}"/>
    <cellStyle name="20% - Accent4 3 2 2 5 3" xfId="19010" xr:uid="{00000000-0005-0000-0000-000096190000}"/>
    <cellStyle name="20% - Accent4 3 2 2 6" xfId="1688" xr:uid="{00000000-0005-0000-0000-000097190000}"/>
    <cellStyle name="20% - Accent4 3 2 2 6 2" xfId="13896" xr:uid="{00000000-0005-0000-0000-000098190000}"/>
    <cellStyle name="20% - Accent4 3 2 2 6 2 2" xfId="27445" xr:uid="{00000000-0005-0000-0000-000099190000}"/>
    <cellStyle name="20% - Accent4 3 2 2 6 3" xfId="19011" xr:uid="{00000000-0005-0000-0000-00009A190000}"/>
    <cellStyle name="20% - Accent4 3 2 2 7" xfId="1689" xr:uid="{00000000-0005-0000-0000-00009B190000}"/>
    <cellStyle name="20% - Accent4 3 2 2 7 2" xfId="14477" xr:uid="{00000000-0005-0000-0000-00009C190000}"/>
    <cellStyle name="20% - Accent4 3 2 2 7 2 2" xfId="28026" xr:uid="{00000000-0005-0000-0000-00009D190000}"/>
    <cellStyle name="20% - Accent4 3 2 2 7 3" xfId="19012" xr:uid="{00000000-0005-0000-0000-00009E190000}"/>
    <cellStyle name="20% - Accent4 3 2 2 8" xfId="1690" xr:uid="{00000000-0005-0000-0000-00009F190000}"/>
    <cellStyle name="20% - Accent4 3 2 2 8 2" xfId="14895" xr:uid="{00000000-0005-0000-0000-0000A0190000}"/>
    <cellStyle name="20% - Accent4 3 2 2 8 2 2" xfId="28444" xr:uid="{00000000-0005-0000-0000-0000A1190000}"/>
    <cellStyle name="20% - Accent4 3 2 2 8 3" xfId="19013" xr:uid="{00000000-0005-0000-0000-0000A2190000}"/>
    <cellStyle name="20% - Accent4 3 2 2 9" xfId="1691" xr:uid="{00000000-0005-0000-0000-0000A3190000}"/>
    <cellStyle name="20% - Accent4 3 2 2 9 2" xfId="16363" xr:uid="{00000000-0005-0000-0000-0000A4190000}"/>
    <cellStyle name="20% - Accent4 3 2 2 9 2 2" xfId="29770" xr:uid="{00000000-0005-0000-0000-0000A5190000}"/>
    <cellStyle name="20% - Accent4 3 2 2 9 3" xfId="19014" xr:uid="{00000000-0005-0000-0000-0000A6190000}"/>
    <cellStyle name="20% - Accent4 3 2 3" xfId="1692" xr:uid="{00000000-0005-0000-0000-0000A7190000}"/>
    <cellStyle name="20% - Accent4 3 2 3 2" xfId="1693" xr:uid="{00000000-0005-0000-0000-0000A8190000}"/>
    <cellStyle name="20% - Accent4 3 2 3 2 2" xfId="10789" xr:uid="{00000000-0005-0000-0000-0000A9190000}"/>
    <cellStyle name="20% - Accent4 3 2 3 2 2 2" xfId="24731" xr:uid="{00000000-0005-0000-0000-0000AA190000}"/>
    <cellStyle name="20% - Accent4 3 2 3 2 3" xfId="19016" xr:uid="{00000000-0005-0000-0000-0000AB190000}"/>
    <cellStyle name="20% - Accent4 3 2 3 3" xfId="1694" xr:uid="{00000000-0005-0000-0000-0000AC190000}"/>
    <cellStyle name="20% - Accent4 3 2 3 3 2" xfId="11868" xr:uid="{00000000-0005-0000-0000-0000AD190000}"/>
    <cellStyle name="20% - Accent4 3 2 3 3 2 2" xfId="25583" xr:uid="{00000000-0005-0000-0000-0000AE190000}"/>
    <cellStyle name="20% - Accent4 3 2 3 3 3" xfId="19017" xr:uid="{00000000-0005-0000-0000-0000AF190000}"/>
    <cellStyle name="20% - Accent4 3 2 3 4" xfId="1695" xr:uid="{00000000-0005-0000-0000-0000B0190000}"/>
    <cellStyle name="20% - Accent4 3 2 3 4 2" xfId="14898" xr:uid="{00000000-0005-0000-0000-0000B1190000}"/>
    <cellStyle name="20% - Accent4 3 2 3 4 2 2" xfId="28447" xr:uid="{00000000-0005-0000-0000-0000B2190000}"/>
    <cellStyle name="20% - Accent4 3 2 3 4 3" xfId="19018" xr:uid="{00000000-0005-0000-0000-0000B3190000}"/>
    <cellStyle name="20% - Accent4 3 2 3 5" xfId="1696" xr:uid="{00000000-0005-0000-0000-0000B4190000}"/>
    <cellStyle name="20% - Accent4 3 2 3 5 2" xfId="16655" xr:uid="{00000000-0005-0000-0000-0000B5190000}"/>
    <cellStyle name="20% - Accent4 3 2 3 5 2 2" xfId="30062" xr:uid="{00000000-0005-0000-0000-0000B6190000}"/>
    <cellStyle name="20% - Accent4 3 2 3 5 3" xfId="19019" xr:uid="{00000000-0005-0000-0000-0000B7190000}"/>
    <cellStyle name="20% - Accent4 3 2 3 6" xfId="9064" xr:uid="{00000000-0005-0000-0000-0000B8190000}"/>
    <cellStyle name="20% - Accent4 3 2 3 6 2" xfId="23539" xr:uid="{00000000-0005-0000-0000-0000B9190000}"/>
    <cellStyle name="20% - Accent4 3 2 3 7" xfId="19015" xr:uid="{00000000-0005-0000-0000-0000BA190000}"/>
    <cellStyle name="20% - Accent4 3 2 4" xfId="1697" xr:uid="{00000000-0005-0000-0000-0000BB190000}"/>
    <cellStyle name="20% - Accent4 3 2 4 2" xfId="1698" xr:uid="{00000000-0005-0000-0000-0000BC190000}"/>
    <cellStyle name="20% - Accent4 3 2 4 2 2" xfId="14899" xr:uid="{00000000-0005-0000-0000-0000BD190000}"/>
    <cellStyle name="20% - Accent4 3 2 4 2 2 2" xfId="28448" xr:uid="{00000000-0005-0000-0000-0000BE190000}"/>
    <cellStyle name="20% - Accent4 3 2 4 2 3" xfId="19021" xr:uid="{00000000-0005-0000-0000-0000BF190000}"/>
    <cellStyle name="20% - Accent4 3 2 4 3" xfId="10786" xr:uid="{00000000-0005-0000-0000-0000C0190000}"/>
    <cellStyle name="20% - Accent4 3 2 4 3 2" xfId="24728" xr:uid="{00000000-0005-0000-0000-0000C1190000}"/>
    <cellStyle name="20% - Accent4 3 2 4 4" xfId="19020" xr:uid="{00000000-0005-0000-0000-0000C2190000}"/>
    <cellStyle name="20% - Accent4 3 2 5" xfId="1699" xr:uid="{00000000-0005-0000-0000-0000C3190000}"/>
    <cellStyle name="20% - Accent4 3 2 5 2" xfId="12032" xr:uid="{00000000-0005-0000-0000-0000C4190000}"/>
    <cellStyle name="20% - Accent4 3 2 5 2 2" xfId="25747" xr:uid="{00000000-0005-0000-0000-0000C5190000}"/>
    <cellStyle name="20% - Accent4 3 2 5 3" xfId="19022" xr:uid="{00000000-0005-0000-0000-0000C6190000}"/>
    <cellStyle name="20% - Accent4 3 2 6" xfId="1700" xr:uid="{00000000-0005-0000-0000-0000C7190000}"/>
    <cellStyle name="20% - Accent4 3 2 6 2" xfId="12528" xr:uid="{00000000-0005-0000-0000-0000C8190000}"/>
    <cellStyle name="20% - Accent4 3 2 6 2 2" xfId="26240" xr:uid="{00000000-0005-0000-0000-0000C9190000}"/>
    <cellStyle name="20% - Accent4 3 2 6 3" xfId="19023" xr:uid="{00000000-0005-0000-0000-0000CA190000}"/>
    <cellStyle name="20% - Accent4 3 2 7" xfId="1701" xr:uid="{00000000-0005-0000-0000-0000CB190000}"/>
    <cellStyle name="20% - Accent4 3 2 7 2" xfId="13607" xr:uid="{00000000-0005-0000-0000-0000CC190000}"/>
    <cellStyle name="20% - Accent4 3 2 7 2 2" xfId="27156" xr:uid="{00000000-0005-0000-0000-0000CD190000}"/>
    <cellStyle name="20% - Accent4 3 2 7 3" xfId="19024" xr:uid="{00000000-0005-0000-0000-0000CE190000}"/>
    <cellStyle name="20% - Accent4 3 2 8" xfId="1702" xr:uid="{00000000-0005-0000-0000-0000CF190000}"/>
    <cellStyle name="20% - Accent4 3 2 8 2" xfId="14188" xr:uid="{00000000-0005-0000-0000-0000D0190000}"/>
    <cellStyle name="20% - Accent4 3 2 8 2 2" xfId="27737" xr:uid="{00000000-0005-0000-0000-0000D1190000}"/>
    <cellStyle name="20% - Accent4 3 2 8 3" xfId="19025" xr:uid="{00000000-0005-0000-0000-0000D2190000}"/>
    <cellStyle name="20% - Accent4 3 2 9" xfId="1703" xr:uid="{00000000-0005-0000-0000-0000D3190000}"/>
    <cellStyle name="20% - Accent4 3 2 9 2" xfId="14894" xr:uid="{00000000-0005-0000-0000-0000D4190000}"/>
    <cellStyle name="20% - Accent4 3 2 9 2 2" xfId="28443" xr:uid="{00000000-0005-0000-0000-0000D5190000}"/>
    <cellStyle name="20% - Accent4 3 2 9 3" xfId="19026" xr:uid="{00000000-0005-0000-0000-0000D6190000}"/>
    <cellStyle name="20% - Accent4 3 3" xfId="1704" xr:uid="{00000000-0005-0000-0000-0000D7190000}"/>
    <cellStyle name="20% - Accent4 3 3 10" xfId="9065" xr:uid="{00000000-0005-0000-0000-0000D8190000}"/>
    <cellStyle name="20% - Accent4 3 3 10 2" xfId="23540" xr:uid="{00000000-0005-0000-0000-0000D9190000}"/>
    <cellStyle name="20% - Accent4 3 3 11" xfId="19027" xr:uid="{00000000-0005-0000-0000-0000DA190000}"/>
    <cellStyle name="20% - Accent4 3 3 2" xfId="1705" xr:uid="{00000000-0005-0000-0000-0000DB190000}"/>
    <cellStyle name="20% - Accent4 3 3 2 2" xfId="1706" xr:uid="{00000000-0005-0000-0000-0000DC190000}"/>
    <cellStyle name="20% - Accent4 3 3 2 2 2" xfId="10791" xr:uid="{00000000-0005-0000-0000-0000DD190000}"/>
    <cellStyle name="20% - Accent4 3 3 2 2 2 2" xfId="24733" xr:uid="{00000000-0005-0000-0000-0000DE190000}"/>
    <cellStyle name="20% - Accent4 3 3 2 2 3" xfId="19029" xr:uid="{00000000-0005-0000-0000-0000DF190000}"/>
    <cellStyle name="20% - Accent4 3 3 2 3" xfId="1707" xr:uid="{00000000-0005-0000-0000-0000E0190000}"/>
    <cellStyle name="20% - Accent4 3 3 2 3 2" xfId="12516" xr:uid="{00000000-0005-0000-0000-0000E1190000}"/>
    <cellStyle name="20% - Accent4 3 3 2 3 2 2" xfId="26228" xr:uid="{00000000-0005-0000-0000-0000E2190000}"/>
    <cellStyle name="20% - Accent4 3 3 2 3 3" xfId="19030" xr:uid="{00000000-0005-0000-0000-0000E3190000}"/>
    <cellStyle name="20% - Accent4 3 3 2 4" xfId="1708" xr:uid="{00000000-0005-0000-0000-0000E4190000}"/>
    <cellStyle name="20% - Accent4 3 3 2 4 2" xfId="14901" xr:uid="{00000000-0005-0000-0000-0000E5190000}"/>
    <cellStyle name="20% - Accent4 3 3 2 4 2 2" xfId="28450" xr:uid="{00000000-0005-0000-0000-0000E6190000}"/>
    <cellStyle name="20% - Accent4 3 3 2 4 3" xfId="19031" xr:uid="{00000000-0005-0000-0000-0000E7190000}"/>
    <cellStyle name="20% - Accent4 3 3 2 5" xfId="1709" xr:uid="{00000000-0005-0000-0000-0000E8190000}"/>
    <cellStyle name="20% - Accent4 3 3 2 5 2" xfId="16801" xr:uid="{00000000-0005-0000-0000-0000E9190000}"/>
    <cellStyle name="20% - Accent4 3 3 2 5 2 2" xfId="30208" xr:uid="{00000000-0005-0000-0000-0000EA190000}"/>
    <cellStyle name="20% - Accent4 3 3 2 5 3" xfId="19032" xr:uid="{00000000-0005-0000-0000-0000EB190000}"/>
    <cellStyle name="20% - Accent4 3 3 2 6" xfId="9066" xr:uid="{00000000-0005-0000-0000-0000EC190000}"/>
    <cellStyle name="20% - Accent4 3 3 2 6 2" xfId="23541" xr:uid="{00000000-0005-0000-0000-0000ED190000}"/>
    <cellStyle name="20% - Accent4 3 3 2 7" xfId="19028" xr:uid="{00000000-0005-0000-0000-0000EE190000}"/>
    <cellStyle name="20% - Accent4 3 3 3" xfId="1710" xr:uid="{00000000-0005-0000-0000-0000EF190000}"/>
    <cellStyle name="20% - Accent4 3 3 3 2" xfId="1711" xr:uid="{00000000-0005-0000-0000-0000F0190000}"/>
    <cellStyle name="20% - Accent4 3 3 3 2 2" xfId="14902" xr:uid="{00000000-0005-0000-0000-0000F1190000}"/>
    <cellStyle name="20% - Accent4 3 3 3 2 2 2" xfId="28451" xr:uid="{00000000-0005-0000-0000-0000F2190000}"/>
    <cellStyle name="20% - Accent4 3 3 3 2 3" xfId="19034" xr:uid="{00000000-0005-0000-0000-0000F3190000}"/>
    <cellStyle name="20% - Accent4 3 3 3 3" xfId="10790" xr:uid="{00000000-0005-0000-0000-0000F4190000}"/>
    <cellStyle name="20% - Accent4 3 3 3 3 2" xfId="24732" xr:uid="{00000000-0005-0000-0000-0000F5190000}"/>
    <cellStyle name="20% - Accent4 3 3 3 4" xfId="19033" xr:uid="{00000000-0005-0000-0000-0000F6190000}"/>
    <cellStyle name="20% - Accent4 3 3 4" xfId="1712" xr:uid="{00000000-0005-0000-0000-0000F7190000}"/>
    <cellStyle name="20% - Accent4 3 3 4 2" xfId="12189" xr:uid="{00000000-0005-0000-0000-0000F8190000}"/>
    <cellStyle name="20% - Accent4 3 3 4 2 2" xfId="25901" xr:uid="{00000000-0005-0000-0000-0000F9190000}"/>
    <cellStyle name="20% - Accent4 3 3 4 3" xfId="19035" xr:uid="{00000000-0005-0000-0000-0000FA190000}"/>
    <cellStyle name="20% - Accent4 3 3 5" xfId="1713" xr:uid="{00000000-0005-0000-0000-0000FB190000}"/>
    <cellStyle name="20% - Accent4 3 3 5 2" xfId="12545" xr:uid="{00000000-0005-0000-0000-0000FC190000}"/>
    <cellStyle name="20% - Accent4 3 3 5 2 2" xfId="26257" xr:uid="{00000000-0005-0000-0000-0000FD190000}"/>
    <cellStyle name="20% - Accent4 3 3 5 3" xfId="19036" xr:uid="{00000000-0005-0000-0000-0000FE190000}"/>
    <cellStyle name="20% - Accent4 3 3 6" xfId="1714" xr:uid="{00000000-0005-0000-0000-0000FF190000}"/>
    <cellStyle name="20% - Accent4 3 3 6 2" xfId="13753" xr:uid="{00000000-0005-0000-0000-0000001A0000}"/>
    <cellStyle name="20% - Accent4 3 3 6 2 2" xfId="27302" xr:uid="{00000000-0005-0000-0000-0000011A0000}"/>
    <cellStyle name="20% - Accent4 3 3 6 3" xfId="19037" xr:uid="{00000000-0005-0000-0000-0000021A0000}"/>
    <cellStyle name="20% - Accent4 3 3 7" xfId="1715" xr:uid="{00000000-0005-0000-0000-0000031A0000}"/>
    <cellStyle name="20% - Accent4 3 3 7 2" xfId="14334" xr:uid="{00000000-0005-0000-0000-0000041A0000}"/>
    <cellStyle name="20% - Accent4 3 3 7 2 2" xfId="27883" xr:uid="{00000000-0005-0000-0000-0000051A0000}"/>
    <cellStyle name="20% - Accent4 3 3 7 3" xfId="19038" xr:uid="{00000000-0005-0000-0000-0000061A0000}"/>
    <cellStyle name="20% - Accent4 3 3 8" xfId="1716" xr:uid="{00000000-0005-0000-0000-0000071A0000}"/>
    <cellStyle name="20% - Accent4 3 3 8 2" xfId="14900" xr:uid="{00000000-0005-0000-0000-0000081A0000}"/>
    <cellStyle name="20% - Accent4 3 3 8 2 2" xfId="28449" xr:uid="{00000000-0005-0000-0000-0000091A0000}"/>
    <cellStyle name="20% - Accent4 3 3 8 3" xfId="19039" xr:uid="{00000000-0005-0000-0000-00000A1A0000}"/>
    <cellStyle name="20% - Accent4 3 3 9" xfId="1717" xr:uid="{00000000-0005-0000-0000-00000B1A0000}"/>
    <cellStyle name="20% - Accent4 3 3 9 2" xfId="16220" xr:uid="{00000000-0005-0000-0000-00000C1A0000}"/>
    <cellStyle name="20% - Accent4 3 3 9 2 2" xfId="29627" xr:uid="{00000000-0005-0000-0000-00000D1A0000}"/>
    <cellStyle name="20% - Accent4 3 3 9 3" xfId="19040" xr:uid="{00000000-0005-0000-0000-00000E1A0000}"/>
    <cellStyle name="20% - Accent4 3 4" xfId="1718" xr:uid="{00000000-0005-0000-0000-00000F1A0000}"/>
    <cellStyle name="20% - Accent4 3 4 2" xfId="1719" xr:uid="{00000000-0005-0000-0000-0000101A0000}"/>
    <cellStyle name="20% - Accent4 3 4 2 2" xfId="10792" xr:uid="{00000000-0005-0000-0000-0000111A0000}"/>
    <cellStyle name="20% - Accent4 3 4 2 2 2" xfId="24734" xr:uid="{00000000-0005-0000-0000-0000121A0000}"/>
    <cellStyle name="20% - Accent4 3 4 2 3" xfId="19042" xr:uid="{00000000-0005-0000-0000-0000131A0000}"/>
    <cellStyle name="20% - Accent4 3 4 3" xfId="1720" xr:uid="{00000000-0005-0000-0000-0000141A0000}"/>
    <cellStyle name="20% - Accent4 3 4 3 2" xfId="12590" xr:uid="{00000000-0005-0000-0000-0000151A0000}"/>
    <cellStyle name="20% - Accent4 3 4 3 2 2" xfId="26302" xr:uid="{00000000-0005-0000-0000-0000161A0000}"/>
    <cellStyle name="20% - Accent4 3 4 3 3" xfId="19043" xr:uid="{00000000-0005-0000-0000-0000171A0000}"/>
    <cellStyle name="20% - Accent4 3 4 4" xfId="1721" xr:uid="{00000000-0005-0000-0000-0000181A0000}"/>
    <cellStyle name="20% - Accent4 3 4 4 2" xfId="14903" xr:uid="{00000000-0005-0000-0000-0000191A0000}"/>
    <cellStyle name="20% - Accent4 3 4 4 2 2" xfId="28452" xr:uid="{00000000-0005-0000-0000-00001A1A0000}"/>
    <cellStyle name="20% - Accent4 3 4 4 3" xfId="19044" xr:uid="{00000000-0005-0000-0000-00001B1A0000}"/>
    <cellStyle name="20% - Accent4 3 4 5" xfId="1722" xr:uid="{00000000-0005-0000-0000-00001C1A0000}"/>
    <cellStyle name="20% - Accent4 3 4 5 2" xfId="17148" xr:uid="{00000000-0005-0000-0000-00001D1A0000}"/>
    <cellStyle name="20% - Accent4 3 4 5 2 2" xfId="30507" xr:uid="{00000000-0005-0000-0000-00001E1A0000}"/>
    <cellStyle name="20% - Accent4 3 4 5 3" xfId="19045" xr:uid="{00000000-0005-0000-0000-00001F1A0000}"/>
    <cellStyle name="20% - Accent4 3 4 6" xfId="9067" xr:uid="{00000000-0005-0000-0000-0000201A0000}"/>
    <cellStyle name="20% - Accent4 3 4 6 2" xfId="23542" xr:uid="{00000000-0005-0000-0000-0000211A0000}"/>
    <cellStyle name="20% - Accent4 3 4 7" xfId="19041" xr:uid="{00000000-0005-0000-0000-0000221A0000}"/>
    <cellStyle name="20% - Accent4 3 5" xfId="1723" xr:uid="{00000000-0005-0000-0000-0000231A0000}"/>
    <cellStyle name="20% - Accent4 3 5 2" xfId="1724" xr:uid="{00000000-0005-0000-0000-0000241A0000}"/>
    <cellStyle name="20% - Accent4 3 5 2 2" xfId="10793" xr:uid="{00000000-0005-0000-0000-0000251A0000}"/>
    <cellStyle name="20% - Accent4 3 5 2 2 2" xfId="24735" xr:uid="{00000000-0005-0000-0000-0000261A0000}"/>
    <cellStyle name="20% - Accent4 3 5 2 3" xfId="19047" xr:uid="{00000000-0005-0000-0000-0000271A0000}"/>
    <cellStyle name="20% - Accent4 3 5 3" xfId="1725" xr:uid="{00000000-0005-0000-0000-0000281A0000}"/>
    <cellStyle name="20% - Accent4 3 5 3 2" xfId="11851" xr:uid="{00000000-0005-0000-0000-0000291A0000}"/>
    <cellStyle name="20% - Accent4 3 5 3 2 2" xfId="25566" xr:uid="{00000000-0005-0000-0000-00002A1A0000}"/>
    <cellStyle name="20% - Accent4 3 5 3 3" xfId="19048" xr:uid="{00000000-0005-0000-0000-00002B1A0000}"/>
    <cellStyle name="20% - Accent4 3 5 4" xfId="1726" xr:uid="{00000000-0005-0000-0000-00002C1A0000}"/>
    <cellStyle name="20% - Accent4 3 5 4 2" xfId="14904" xr:uid="{00000000-0005-0000-0000-00002D1A0000}"/>
    <cellStyle name="20% - Accent4 3 5 4 2 2" xfId="28453" xr:uid="{00000000-0005-0000-0000-00002E1A0000}"/>
    <cellStyle name="20% - Accent4 3 5 4 3" xfId="19049" xr:uid="{00000000-0005-0000-0000-00002F1A0000}"/>
    <cellStyle name="20% - Accent4 3 5 5" xfId="1727" xr:uid="{00000000-0005-0000-0000-0000301A0000}"/>
    <cellStyle name="20% - Accent4 3 5 5 2" xfId="17237" xr:uid="{00000000-0005-0000-0000-0000311A0000}"/>
    <cellStyle name="20% - Accent4 3 5 5 2 2" xfId="30596" xr:uid="{00000000-0005-0000-0000-0000321A0000}"/>
    <cellStyle name="20% - Accent4 3 5 5 3" xfId="19050" xr:uid="{00000000-0005-0000-0000-0000331A0000}"/>
    <cellStyle name="20% - Accent4 3 5 6" xfId="9068" xr:uid="{00000000-0005-0000-0000-0000341A0000}"/>
    <cellStyle name="20% - Accent4 3 5 6 2" xfId="23543" xr:uid="{00000000-0005-0000-0000-0000351A0000}"/>
    <cellStyle name="20% - Accent4 3 5 7" xfId="19046" xr:uid="{00000000-0005-0000-0000-0000361A0000}"/>
    <cellStyle name="20% - Accent4 3 6" xfId="1728" xr:uid="{00000000-0005-0000-0000-0000371A0000}"/>
    <cellStyle name="20% - Accent4 3 6 2" xfId="1729" xr:uid="{00000000-0005-0000-0000-0000381A0000}"/>
    <cellStyle name="20% - Accent4 3 6 2 2" xfId="14905" xr:uid="{00000000-0005-0000-0000-0000391A0000}"/>
    <cellStyle name="20% - Accent4 3 6 2 2 2" xfId="28454" xr:uid="{00000000-0005-0000-0000-00003A1A0000}"/>
    <cellStyle name="20% - Accent4 3 6 2 3" xfId="19052" xr:uid="{00000000-0005-0000-0000-00003B1A0000}"/>
    <cellStyle name="20% - Accent4 3 6 3" xfId="1730" xr:uid="{00000000-0005-0000-0000-00003C1A0000}"/>
    <cellStyle name="20% - Accent4 3 6 3 2" xfId="16512" xr:uid="{00000000-0005-0000-0000-00003D1A0000}"/>
    <cellStyle name="20% - Accent4 3 6 3 2 2" xfId="29919" xr:uid="{00000000-0005-0000-0000-00003E1A0000}"/>
    <cellStyle name="20% - Accent4 3 6 3 3" xfId="19053" xr:uid="{00000000-0005-0000-0000-00003F1A0000}"/>
    <cellStyle name="20% - Accent4 3 6 4" xfId="10785" xr:uid="{00000000-0005-0000-0000-0000401A0000}"/>
    <cellStyle name="20% - Accent4 3 6 4 2" xfId="24727" xr:uid="{00000000-0005-0000-0000-0000411A0000}"/>
    <cellStyle name="20% - Accent4 3 6 5" xfId="19051" xr:uid="{00000000-0005-0000-0000-0000421A0000}"/>
    <cellStyle name="20% - Accent4 3 7" xfId="1731" xr:uid="{00000000-0005-0000-0000-0000431A0000}"/>
    <cellStyle name="20% - Accent4 3 7 2" xfId="11884" xr:uid="{00000000-0005-0000-0000-0000441A0000}"/>
    <cellStyle name="20% - Accent4 3 7 2 2" xfId="25599" xr:uid="{00000000-0005-0000-0000-0000451A0000}"/>
    <cellStyle name="20% - Accent4 3 7 3" xfId="19054" xr:uid="{00000000-0005-0000-0000-0000461A0000}"/>
    <cellStyle name="20% - Accent4 3 8" xfId="1732" xr:uid="{00000000-0005-0000-0000-0000471A0000}"/>
    <cellStyle name="20% - Accent4 3 8 2" xfId="12435" xr:uid="{00000000-0005-0000-0000-0000481A0000}"/>
    <cellStyle name="20% - Accent4 3 8 2 2" xfId="26147" xr:uid="{00000000-0005-0000-0000-0000491A0000}"/>
    <cellStyle name="20% - Accent4 3 8 3" xfId="19055" xr:uid="{00000000-0005-0000-0000-00004A1A0000}"/>
    <cellStyle name="20% - Accent4 3 9" xfId="1733" xr:uid="{00000000-0005-0000-0000-00004B1A0000}"/>
    <cellStyle name="20% - Accent4 3 9 2" xfId="13464" xr:uid="{00000000-0005-0000-0000-00004C1A0000}"/>
    <cellStyle name="20% - Accent4 3 9 2 2" xfId="27013" xr:uid="{00000000-0005-0000-0000-00004D1A0000}"/>
    <cellStyle name="20% - Accent4 3 9 3" xfId="19056" xr:uid="{00000000-0005-0000-0000-00004E1A0000}"/>
    <cellStyle name="20% - Accent4 30" xfId="23257" xr:uid="{00000000-0005-0000-0000-00004F1A0000}"/>
    <cellStyle name="20% - Accent4 4" xfId="1734" xr:uid="{00000000-0005-0000-0000-0000501A0000}"/>
    <cellStyle name="20% - Accent4 4 10" xfId="1735" xr:uid="{00000000-0005-0000-0000-0000511A0000}"/>
    <cellStyle name="20% - Accent4 4 10 2" xfId="14906" xr:uid="{00000000-0005-0000-0000-0000521A0000}"/>
    <cellStyle name="20% - Accent4 4 10 2 2" xfId="28455" xr:uid="{00000000-0005-0000-0000-0000531A0000}"/>
    <cellStyle name="20% - Accent4 4 10 3" xfId="19058" xr:uid="{00000000-0005-0000-0000-0000541A0000}"/>
    <cellStyle name="20% - Accent4 4 11" xfId="1736" xr:uid="{00000000-0005-0000-0000-0000551A0000}"/>
    <cellStyle name="20% - Accent4 4 11 2" xfId="15882" xr:uid="{00000000-0005-0000-0000-0000561A0000}"/>
    <cellStyle name="20% - Accent4 4 11 2 2" xfId="29289" xr:uid="{00000000-0005-0000-0000-0000571A0000}"/>
    <cellStyle name="20% - Accent4 4 11 3" xfId="19059" xr:uid="{00000000-0005-0000-0000-0000581A0000}"/>
    <cellStyle name="20% - Accent4 4 12" xfId="9069" xr:uid="{00000000-0005-0000-0000-0000591A0000}"/>
    <cellStyle name="20% - Accent4 4 12 2" xfId="23544" xr:uid="{00000000-0005-0000-0000-00005A1A0000}"/>
    <cellStyle name="20% - Accent4 4 13" xfId="19057" xr:uid="{00000000-0005-0000-0000-00005B1A0000}"/>
    <cellStyle name="20% - Accent4 4 2" xfId="1737" xr:uid="{00000000-0005-0000-0000-00005C1A0000}"/>
    <cellStyle name="20% - Accent4 4 2 10" xfId="1738" xr:uid="{00000000-0005-0000-0000-00005D1A0000}"/>
    <cellStyle name="20% - Accent4 4 2 10 2" xfId="16025" xr:uid="{00000000-0005-0000-0000-00005E1A0000}"/>
    <cellStyle name="20% - Accent4 4 2 10 2 2" xfId="29432" xr:uid="{00000000-0005-0000-0000-00005F1A0000}"/>
    <cellStyle name="20% - Accent4 4 2 10 3" xfId="19061" xr:uid="{00000000-0005-0000-0000-0000601A0000}"/>
    <cellStyle name="20% - Accent4 4 2 11" xfId="9070" xr:uid="{00000000-0005-0000-0000-0000611A0000}"/>
    <cellStyle name="20% - Accent4 4 2 11 2" xfId="23545" xr:uid="{00000000-0005-0000-0000-0000621A0000}"/>
    <cellStyle name="20% - Accent4 4 2 12" xfId="19060" xr:uid="{00000000-0005-0000-0000-0000631A0000}"/>
    <cellStyle name="20% - Accent4 4 2 2" xfId="1739" xr:uid="{00000000-0005-0000-0000-0000641A0000}"/>
    <cellStyle name="20% - Accent4 4 2 2 10" xfId="9071" xr:uid="{00000000-0005-0000-0000-0000651A0000}"/>
    <cellStyle name="20% - Accent4 4 2 2 10 2" xfId="23546" xr:uid="{00000000-0005-0000-0000-0000661A0000}"/>
    <cellStyle name="20% - Accent4 4 2 2 11" xfId="19062" xr:uid="{00000000-0005-0000-0000-0000671A0000}"/>
    <cellStyle name="20% - Accent4 4 2 2 2" xfId="1740" xr:uid="{00000000-0005-0000-0000-0000681A0000}"/>
    <cellStyle name="20% - Accent4 4 2 2 2 2" xfId="1741" xr:uid="{00000000-0005-0000-0000-0000691A0000}"/>
    <cellStyle name="20% - Accent4 4 2 2 2 2 2" xfId="10797" xr:uid="{00000000-0005-0000-0000-00006A1A0000}"/>
    <cellStyle name="20% - Accent4 4 2 2 2 2 2 2" xfId="24739" xr:uid="{00000000-0005-0000-0000-00006B1A0000}"/>
    <cellStyle name="20% - Accent4 4 2 2 2 2 3" xfId="19064" xr:uid="{00000000-0005-0000-0000-00006C1A0000}"/>
    <cellStyle name="20% - Accent4 4 2 2 2 3" xfId="1742" xr:uid="{00000000-0005-0000-0000-00006D1A0000}"/>
    <cellStyle name="20% - Accent4 4 2 2 2 3 2" xfId="11738" xr:uid="{00000000-0005-0000-0000-00006E1A0000}"/>
    <cellStyle name="20% - Accent4 4 2 2 2 3 2 2" xfId="25453" xr:uid="{00000000-0005-0000-0000-00006F1A0000}"/>
    <cellStyle name="20% - Accent4 4 2 2 2 3 3" xfId="19065" xr:uid="{00000000-0005-0000-0000-0000701A0000}"/>
    <cellStyle name="20% - Accent4 4 2 2 2 4" xfId="1743" xr:uid="{00000000-0005-0000-0000-0000711A0000}"/>
    <cellStyle name="20% - Accent4 4 2 2 2 4 2" xfId="14909" xr:uid="{00000000-0005-0000-0000-0000721A0000}"/>
    <cellStyle name="20% - Accent4 4 2 2 2 4 2 2" xfId="28458" xr:uid="{00000000-0005-0000-0000-0000731A0000}"/>
    <cellStyle name="20% - Accent4 4 2 2 2 4 3" xfId="19066" xr:uid="{00000000-0005-0000-0000-0000741A0000}"/>
    <cellStyle name="20% - Accent4 4 2 2 2 5" xfId="1744" xr:uid="{00000000-0005-0000-0000-0000751A0000}"/>
    <cellStyle name="20% - Accent4 4 2 2 2 5 2" xfId="16895" xr:uid="{00000000-0005-0000-0000-0000761A0000}"/>
    <cellStyle name="20% - Accent4 4 2 2 2 5 2 2" xfId="30302" xr:uid="{00000000-0005-0000-0000-0000771A0000}"/>
    <cellStyle name="20% - Accent4 4 2 2 2 5 3" xfId="19067" xr:uid="{00000000-0005-0000-0000-0000781A0000}"/>
    <cellStyle name="20% - Accent4 4 2 2 2 6" xfId="9072" xr:uid="{00000000-0005-0000-0000-0000791A0000}"/>
    <cellStyle name="20% - Accent4 4 2 2 2 6 2" xfId="23547" xr:uid="{00000000-0005-0000-0000-00007A1A0000}"/>
    <cellStyle name="20% - Accent4 4 2 2 2 7" xfId="19063" xr:uid="{00000000-0005-0000-0000-00007B1A0000}"/>
    <cellStyle name="20% - Accent4 4 2 2 3" xfId="1745" xr:uid="{00000000-0005-0000-0000-00007C1A0000}"/>
    <cellStyle name="20% - Accent4 4 2 2 3 2" xfId="1746" xr:uid="{00000000-0005-0000-0000-00007D1A0000}"/>
    <cellStyle name="20% - Accent4 4 2 2 3 2 2" xfId="14910" xr:uid="{00000000-0005-0000-0000-00007E1A0000}"/>
    <cellStyle name="20% - Accent4 4 2 2 3 2 2 2" xfId="28459" xr:uid="{00000000-0005-0000-0000-00007F1A0000}"/>
    <cellStyle name="20% - Accent4 4 2 2 3 2 3" xfId="19069" xr:uid="{00000000-0005-0000-0000-0000801A0000}"/>
    <cellStyle name="20% - Accent4 4 2 2 3 3" xfId="10796" xr:uid="{00000000-0005-0000-0000-0000811A0000}"/>
    <cellStyle name="20% - Accent4 4 2 2 3 3 2" xfId="24738" xr:uid="{00000000-0005-0000-0000-0000821A0000}"/>
    <cellStyle name="20% - Accent4 4 2 2 3 4" xfId="19068" xr:uid="{00000000-0005-0000-0000-0000831A0000}"/>
    <cellStyle name="20% - Accent4 4 2 2 4" xfId="1747" xr:uid="{00000000-0005-0000-0000-0000841A0000}"/>
    <cellStyle name="20% - Accent4 4 2 2 4 2" xfId="12283" xr:uid="{00000000-0005-0000-0000-0000851A0000}"/>
    <cellStyle name="20% - Accent4 4 2 2 4 2 2" xfId="25995" xr:uid="{00000000-0005-0000-0000-0000861A0000}"/>
    <cellStyle name="20% - Accent4 4 2 2 4 3" xfId="19070" xr:uid="{00000000-0005-0000-0000-0000871A0000}"/>
    <cellStyle name="20% - Accent4 4 2 2 5" xfId="1748" xr:uid="{00000000-0005-0000-0000-0000881A0000}"/>
    <cellStyle name="20% - Accent4 4 2 2 5 2" xfId="12751" xr:uid="{00000000-0005-0000-0000-0000891A0000}"/>
    <cellStyle name="20% - Accent4 4 2 2 5 2 2" xfId="26463" xr:uid="{00000000-0005-0000-0000-00008A1A0000}"/>
    <cellStyle name="20% - Accent4 4 2 2 5 3" xfId="19071" xr:uid="{00000000-0005-0000-0000-00008B1A0000}"/>
    <cellStyle name="20% - Accent4 4 2 2 6" xfId="1749" xr:uid="{00000000-0005-0000-0000-00008C1A0000}"/>
    <cellStyle name="20% - Accent4 4 2 2 6 2" xfId="13847" xr:uid="{00000000-0005-0000-0000-00008D1A0000}"/>
    <cellStyle name="20% - Accent4 4 2 2 6 2 2" xfId="27396" xr:uid="{00000000-0005-0000-0000-00008E1A0000}"/>
    <cellStyle name="20% - Accent4 4 2 2 6 3" xfId="19072" xr:uid="{00000000-0005-0000-0000-00008F1A0000}"/>
    <cellStyle name="20% - Accent4 4 2 2 7" xfId="1750" xr:uid="{00000000-0005-0000-0000-0000901A0000}"/>
    <cellStyle name="20% - Accent4 4 2 2 7 2" xfId="14428" xr:uid="{00000000-0005-0000-0000-0000911A0000}"/>
    <cellStyle name="20% - Accent4 4 2 2 7 2 2" xfId="27977" xr:uid="{00000000-0005-0000-0000-0000921A0000}"/>
    <cellStyle name="20% - Accent4 4 2 2 7 3" xfId="19073" xr:uid="{00000000-0005-0000-0000-0000931A0000}"/>
    <cellStyle name="20% - Accent4 4 2 2 8" xfId="1751" xr:uid="{00000000-0005-0000-0000-0000941A0000}"/>
    <cellStyle name="20% - Accent4 4 2 2 8 2" xfId="14908" xr:uid="{00000000-0005-0000-0000-0000951A0000}"/>
    <cellStyle name="20% - Accent4 4 2 2 8 2 2" xfId="28457" xr:uid="{00000000-0005-0000-0000-0000961A0000}"/>
    <cellStyle name="20% - Accent4 4 2 2 8 3" xfId="19074" xr:uid="{00000000-0005-0000-0000-0000971A0000}"/>
    <cellStyle name="20% - Accent4 4 2 2 9" xfId="1752" xr:uid="{00000000-0005-0000-0000-0000981A0000}"/>
    <cellStyle name="20% - Accent4 4 2 2 9 2" xfId="16314" xr:uid="{00000000-0005-0000-0000-0000991A0000}"/>
    <cellStyle name="20% - Accent4 4 2 2 9 2 2" xfId="29721" xr:uid="{00000000-0005-0000-0000-00009A1A0000}"/>
    <cellStyle name="20% - Accent4 4 2 2 9 3" xfId="19075" xr:uid="{00000000-0005-0000-0000-00009B1A0000}"/>
    <cellStyle name="20% - Accent4 4 2 3" xfId="1753" xr:uid="{00000000-0005-0000-0000-00009C1A0000}"/>
    <cellStyle name="20% - Accent4 4 2 3 2" xfId="1754" xr:uid="{00000000-0005-0000-0000-00009D1A0000}"/>
    <cellStyle name="20% - Accent4 4 2 3 2 2" xfId="10798" xr:uid="{00000000-0005-0000-0000-00009E1A0000}"/>
    <cellStyle name="20% - Accent4 4 2 3 2 2 2" xfId="24740" xr:uid="{00000000-0005-0000-0000-00009F1A0000}"/>
    <cellStyle name="20% - Accent4 4 2 3 2 3" xfId="19077" xr:uid="{00000000-0005-0000-0000-0000A01A0000}"/>
    <cellStyle name="20% - Accent4 4 2 3 3" xfId="1755" xr:uid="{00000000-0005-0000-0000-0000A11A0000}"/>
    <cellStyle name="20% - Accent4 4 2 3 3 2" xfId="12635" xr:uid="{00000000-0005-0000-0000-0000A21A0000}"/>
    <cellStyle name="20% - Accent4 4 2 3 3 2 2" xfId="26347" xr:uid="{00000000-0005-0000-0000-0000A31A0000}"/>
    <cellStyle name="20% - Accent4 4 2 3 3 3" xfId="19078" xr:uid="{00000000-0005-0000-0000-0000A41A0000}"/>
    <cellStyle name="20% - Accent4 4 2 3 4" xfId="1756" xr:uid="{00000000-0005-0000-0000-0000A51A0000}"/>
    <cellStyle name="20% - Accent4 4 2 3 4 2" xfId="14911" xr:uid="{00000000-0005-0000-0000-0000A61A0000}"/>
    <cellStyle name="20% - Accent4 4 2 3 4 2 2" xfId="28460" xr:uid="{00000000-0005-0000-0000-0000A71A0000}"/>
    <cellStyle name="20% - Accent4 4 2 3 4 3" xfId="19079" xr:uid="{00000000-0005-0000-0000-0000A81A0000}"/>
    <cellStyle name="20% - Accent4 4 2 3 5" xfId="1757" xr:uid="{00000000-0005-0000-0000-0000A91A0000}"/>
    <cellStyle name="20% - Accent4 4 2 3 5 2" xfId="16606" xr:uid="{00000000-0005-0000-0000-0000AA1A0000}"/>
    <cellStyle name="20% - Accent4 4 2 3 5 2 2" xfId="30013" xr:uid="{00000000-0005-0000-0000-0000AB1A0000}"/>
    <cellStyle name="20% - Accent4 4 2 3 5 3" xfId="19080" xr:uid="{00000000-0005-0000-0000-0000AC1A0000}"/>
    <cellStyle name="20% - Accent4 4 2 3 6" xfId="9073" xr:uid="{00000000-0005-0000-0000-0000AD1A0000}"/>
    <cellStyle name="20% - Accent4 4 2 3 6 2" xfId="23548" xr:uid="{00000000-0005-0000-0000-0000AE1A0000}"/>
    <cellStyle name="20% - Accent4 4 2 3 7" xfId="19076" xr:uid="{00000000-0005-0000-0000-0000AF1A0000}"/>
    <cellStyle name="20% - Accent4 4 2 4" xfId="1758" xr:uid="{00000000-0005-0000-0000-0000B01A0000}"/>
    <cellStyle name="20% - Accent4 4 2 4 2" xfId="1759" xr:uid="{00000000-0005-0000-0000-0000B11A0000}"/>
    <cellStyle name="20% - Accent4 4 2 4 2 2" xfId="14912" xr:uid="{00000000-0005-0000-0000-0000B21A0000}"/>
    <cellStyle name="20% - Accent4 4 2 4 2 2 2" xfId="28461" xr:uid="{00000000-0005-0000-0000-0000B31A0000}"/>
    <cellStyle name="20% - Accent4 4 2 4 2 3" xfId="19082" xr:uid="{00000000-0005-0000-0000-0000B41A0000}"/>
    <cellStyle name="20% - Accent4 4 2 4 3" xfId="10795" xr:uid="{00000000-0005-0000-0000-0000B51A0000}"/>
    <cellStyle name="20% - Accent4 4 2 4 3 2" xfId="24737" xr:uid="{00000000-0005-0000-0000-0000B61A0000}"/>
    <cellStyle name="20% - Accent4 4 2 4 4" xfId="19081" xr:uid="{00000000-0005-0000-0000-0000B71A0000}"/>
    <cellStyle name="20% - Accent4 4 2 5" xfId="1760" xr:uid="{00000000-0005-0000-0000-0000B81A0000}"/>
    <cellStyle name="20% - Accent4 4 2 5 2" xfId="11983" xr:uid="{00000000-0005-0000-0000-0000B91A0000}"/>
    <cellStyle name="20% - Accent4 4 2 5 2 2" xfId="25698" xr:uid="{00000000-0005-0000-0000-0000BA1A0000}"/>
    <cellStyle name="20% - Accent4 4 2 5 3" xfId="19083" xr:uid="{00000000-0005-0000-0000-0000BB1A0000}"/>
    <cellStyle name="20% - Accent4 4 2 6" xfId="1761" xr:uid="{00000000-0005-0000-0000-0000BC1A0000}"/>
    <cellStyle name="20% - Accent4 4 2 6 2" xfId="12507" xr:uid="{00000000-0005-0000-0000-0000BD1A0000}"/>
    <cellStyle name="20% - Accent4 4 2 6 2 2" xfId="26219" xr:uid="{00000000-0005-0000-0000-0000BE1A0000}"/>
    <cellStyle name="20% - Accent4 4 2 6 3" xfId="19084" xr:uid="{00000000-0005-0000-0000-0000BF1A0000}"/>
    <cellStyle name="20% - Accent4 4 2 7" xfId="1762" xr:uid="{00000000-0005-0000-0000-0000C01A0000}"/>
    <cellStyle name="20% - Accent4 4 2 7 2" xfId="13558" xr:uid="{00000000-0005-0000-0000-0000C11A0000}"/>
    <cellStyle name="20% - Accent4 4 2 7 2 2" xfId="27107" xr:uid="{00000000-0005-0000-0000-0000C21A0000}"/>
    <cellStyle name="20% - Accent4 4 2 7 3" xfId="19085" xr:uid="{00000000-0005-0000-0000-0000C31A0000}"/>
    <cellStyle name="20% - Accent4 4 2 8" xfId="1763" xr:uid="{00000000-0005-0000-0000-0000C41A0000}"/>
    <cellStyle name="20% - Accent4 4 2 8 2" xfId="14139" xr:uid="{00000000-0005-0000-0000-0000C51A0000}"/>
    <cellStyle name="20% - Accent4 4 2 8 2 2" xfId="27688" xr:uid="{00000000-0005-0000-0000-0000C61A0000}"/>
    <cellStyle name="20% - Accent4 4 2 8 3" xfId="19086" xr:uid="{00000000-0005-0000-0000-0000C71A0000}"/>
    <cellStyle name="20% - Accent4 4 2 9" xfId="1764" xr:uid="{00000000-0005-0000-0000-0000C81A0000}"/>
    <cellStyle name="20% - Accent4 4 2 9 2" xfId="14907" xr:uid="{00000000-0005-0000-0000-0000C91A0000}"/>
    <cellStyle name="20% - Accent4 4 2 9 2 2" xfId="28456" xr:uid="{00000000-0005-0000-0000-0000CA1A0000}"/>
    <cellStyle name="20% - Accent4 4 2 9 3" xfId="19087" xr:uid="{00000000-0005-0000-0000-0000CB1A0000}"/>
    <cellStyle name="20% - Accent4 4 3" xfId="1765" xr:uid="{00000000-0005-0000-0000-0000CC1A0000}"/>
    <cellStyle name="20% - Accent4 4 3 10" xfId="9074" xr:uid="{00000000-0005-0000-0000-0000CD1A0000}"/>
    <cellStyle name="20% - Accent4 4 3 10 2" xfId="23549" xr:uid="{00000000-0005-0000-0000-0000CE1A0000}"/>
    <cellStyle name="20% - Accent4 4 3 11" xfId="19088" xr:uid="{00000000-0005-0000-0000-0000CF1A0000}"/>
    <cellStyle name="20% - Accent4 4 3 2" xfId="1766" xr:uid="{00000000-0005-0000-0000-0000D01A0000}"/>
    <cellStyle name="20% - Accent4 4 3 2 2" xfId="1767" xr:uid="{00000000-0005-0000-0000-0000D11A0000}"/>
    <cellStyle name="20% - Accent4 4 3 2 2 2" xfId="10800" xr:uid="{00000000-0005-0000-0000-0000D21A0000}"/>
    <cellStyle name="20% - Accent4 4 3 2 2 2 2" xfId="24742" xr:uid="{00000000-0005-0000-0000-0000D31A0000}"/>
    <cellStyle name="20% - Accent4 4 3 2 2 3" xfId="19090" xr:uid="{00000000-0005-0000-0000-0000D41A0000}"/>
    <cellStyle name="20% - Accent4 4 3 2 3" xfId="1768" xr:uid="{00000000-0005-0000-0000-0000D51A0000}"/>
    <cellStyle name="20% - Accent4 4 3 2 3 2" xfId="12609" xr:uid="{00000000-0005-0000-0000-0000D61A0000}"/>
    <cellStyle name="20% - Accent4 4 3 2 3 2 2" xfId="26321" xr:uid="{00000000-0005-0000-0000-0000D71A0000}"/>
    <cellStyle name="20% - Accent4 4 3 2 3 3" xfId="19091" xr:uid="{00000000-0005-0000-0000-0000D81A0000}"/>
    <cellStyle name="20% - Accent4 4 3 2 4" xfId="1769" xr:uid="{00000000-0005-0000-0000-0000D91A0000}"/>
    <cellStyle name="20% - Accent4 4 3 2 4 2" xfId="14914" xr:uid="{00000000-0005-0000-0000-0000DA1A0000}"/>
    <cellStyle name="20% - Accent4 4 3 2 4 2 2" xfId="28463" xr:uid="{00000000-0005-0000-0000-0000DB1A0000}"/>
    <cellStyle name="20% - Accent4 4 3 2 4 3" xfId="19092" xr:uid="{00000000-0005-0000-0000-0000DC1A0000}"/>
    <cellStyle name="20% - Accent4 4 3 2 5" xfId="1770" xr:uid="{00000000-0005-0000-0000-0000DD1A0000}"/>
    <cellStyle name="20% - Accent4 4 3 2 5 2" xfId="16755" xr:uid="{00000000-0005-0000-0000-0000DE1A0000}"/>
    <cellStyle name="20% - Accent4 4 3 2 5 2 2" xfId="30162" xr:uid="{00000000-0005-0000-0000-0000DF1A0000}"/>
    <cellStyle name="20% - Accent4 4 3 2 5 3" xfId="19093" xr:uid="{00000000-0005-0000-0000-0000E01A0000}"/>
    <cellStyle name="20% - Accent4 4 3 2 6" xfId="9075" xr:uid="{00000000-0005-0000-0000-0000E11A0000}"/>
    <cellStyle name="20% - Accent4 4 3 2 6 2" xfId="23550" xr:uid="{00000000-0005-0000-0000-0000E21A0000}"/>
    <cellStyle name="20% - Accent4 4 3 2 7" xfId="19089" xr:uid="{00000000-0005-0000-0000-0000E31A0000}"/>
    <cellStyle name="20% - Accent4 4 3 3" xfId="1771" xr:uid="{00000000-0005-0000-0000-0000E41A0000}"/>
    <cellStyle name="20% - Accent4 4 3 3 2" xfId="1772" xr:uid="{00000000-0005-0000-0000-0000E51A0000}"/>
    <cellStyle name="20% - Accent4 4 3 3 2 2" xfId="14915" xr:uid="{00000000-0005-0000-0000-0000E61A0000}"/>
    <cellStyle name="20% - Accent4 4 3 3 2 2 2" xfId="28464" xr:uid="{00000000-0005-0000-0000-0000E71A0000}"/>
    <cellStyle name="20% - Accent4 4 3 3 2 3" xfId="19095" xr:uid="{00000000-0005-0000-0000-0000E81A0000}"/>
    <cellStyle name="20% - Accent4 4 3 3 3" xfId="10799" xr:uid="{00000000-0005-0000-0000-0000E91A0000}"/>
    <cellStyle name="20% - Accent4 4 3 3 3 2" xfId="24741" xr:uid="{00000000-0005-0000-0000-0000EA1A0000}"/>
    <cellStyle name="20% - Accent4 4 3 3 4" xfId="19094" xr:uid="{00000000-0005-0000-0000-0000EB1A0000}"/>
    <cellStyle name="20% - Accent4 4 3 4" xfId="1773" xr:uid="{00000000-0005-0000-0000-0000EC1A0000}"/>
    <cellStyle name="20% - Accent4 4 3 4 2" xfId="12143" xr:uid="{00000000-0005-0000-0000-0000ED1A0000}"/>
    <cellStyle name="20% - Accent4 4 3 4 2 2" xfId="25855" xr:uid="{00000000-0005-0000-0000-0000EE1A0000}"/>
    <cellStyle name="20% - Accent4 4 3 4 3" xfId="19096" xr:uid="{00000000-0005-0000-0000-0000EF1A0000}"/>
    <cellStyle name="20% - Accent4 4 3 5" xfId="1774" xr:uid="{00000000-0005-0000-0000-0000F01A0000}"/>
    <cellStyle name="20% - Accent4 4 3 5 2" xfId="12636" xr:uid="{00000000-0005-0000-0000-0000F11A0000}"/>
    <cellStyle name="20% - Accent4 4 3 5 2 2" xfId="26348" xr:uid="{00000000-0005-0000-0000-0000F21A0000}"/>
    <cellStyle name="20% - Accent4 4 3 5 3" xfId="19097" xr:uid="{00000000-0005-0000-0000-0000F31A0000}"/>
    <cellStyle name="20% - Accent4 4 3 6" xfId="1775" xr:uid="{00000000-0005-0000-0000-0000F41A0000}"/>
    <cellStyle name="20% - Accent4 4 3 6 2" xfId="13707" xr:uid="{00000000-0005-0000-0000-0000F51A0000}"/>
    <cellStyle name="20% - Accent4 4 3 6 2 2" xfId="27256" xr:uid="{00000000-0005-0000-0000-0000F61A0000}"/>
    <cellStyle name="20% - Accent4 4 3 6 3" xfId="19098" xr:uid="{00000000-0005-0000-0000-0000F71A0000}"/>
    <cellStyle name="20% - Accent4 4 3 7" xfId="1776" xr:uid="{00000000-0005-0000-0000-0000F81A0000}"/>
    <cellStyle name="20% - Accent4 4 3 7 2" xfId="14288" xr:uid="{00000000-0005-0000-0000-0000F91A0000}"/>
    <cellStyle name="20% - Accent4 4 3 7 2 2" xfId="27837" xr:uid="{00000000-0005-0000-0000-0000FA1A0000}"/>
    <cellStyle name="20% - Accent4 4 3 7 3" xfId="19099" xr:uid="{00000000-0005-0000-0000-0000FB1A0000}"/>
    <cellStyle name="20% - Accent4 4 3 8" xfId="1777" xr:uid="{00000000-0005-0000-0000-0000FC1A0000}"/>
    <cellStyle name="20% - Accent4 4 3 8 2" xfId="14913" xr:uid="{00000000-0005-0000-0000-0000FD1A0000}"/>
    <cellStyle name="20% - Accent4 4 3 8 2 2" xfId="28462" xr:uid="{00000000-0005-0000-0000-0000FE1A0000}"/>
    <cellStyle name="20% - Accent4 4 3 8 3" xfId="19100" xr:uid="{00000000-0005-0000-0000-0000FF1A0000}"/>
    <cellStyle name="20% - Accent4 4 3 9" xfId="1778" xr:uid="{00000000-0005-0000-0000-0000001B0000}"/>
    <cellStyle name="20% - Accent4 4 3 9 2" xfId="16174" xr:uid="{00000000-0005-0000-0000-0000011B0000}"/>
    <cellStyle name="20% - Accent4 4 3 9 2 2" xfId="29581" xr:uid="{00000000-0005-0000-0000-0000021B0000}"/>
    <cellStyle name="20% - Accent4 4 3 9 3" xfId="19101" xr:uid="{00000000-0005-0000-0000-0000031B0000}"/>
    <cellStyle name="20% - Accent4 4 4" xfId="1779" xr:uid="{00000000-0005-0000-0000-0000041B0000}"/>
    <cellStyle name="20% - Accent4 4 4 2" xfId="1780" xr:uid="{00000000-0005-0000-0000-0000051B0000}"/>
    <cellStyle name="20% - Accent4 4 4 2 2" xfId="10801" xr:uid="{00000000-0005-0000-0000-0000061B0000}"/>
    <cellStyle name="20% - Accent4 4 4 2 2 2" xfId="24743" xr:uid="{00000000-0005-0000-0000-0000071B0000}"/>
    <cellStyle name="20% - Accent4 4 4 2 3" xfId="19103" xr:uid="{00000000-0005-0000-0000-0000081B0000}"/>
    <cellStyle name="20% - Accent4 4 4 3" xfId="1781" xr:uid="{00000000-0005-0000-0000-0000091B0000}"/>
    <cellStyle name="20% - Accent4 4 4 3 2" xfId="12425" xr:uid="{00000000-0005-0000-0000-00000A1B0000}"/>
    <cellStyle name="20% - Accent4 4 4 3 2 2" xfId="26137" xr:uid="{00000000-0005-0000-0000-00000B1B0000}"/>
    <cellStyle name="20% - Accent4 4 4 3 3" xfId="19104" xr:uid="{00000000-0005-0000-0000-00000C1B0000}"/>
    <cellStyle name="20% - Accent4 4 4 4" xfId="1782" xr:uid="{00000000-0005-0000-0000-00000D1B0000}"/>
    <cellStyle name="20% - Accent4 4 4 4 2" xfId="14916" xr:uid="{00000000-0005-0000-0000-00000E1B0000}"/>
    <cellStyle name="20% - Accent4 4 4 4 2 2" xfId="28465" xr:uid="{00000000-0005-0000-0000-00000F1B0000}"/>
    <cellStyle name="20% - Accent4 4 4 4 3" xfId="19105" xr:uid="{00000000-0005-0000-0000-0000101B0000}"/>
    <cellStyle name="20% - Accent4 4 4 5" xfId="1783" xr:uid="{00000000-0005-0000-0000-0000111B0000}"/>
    <cellStyle name="20% - Accent4 4 4 5 2" xfId="16463" xr:uid="{00000000-0005-0000-0000-0000121B0000}"/>
    <cellStyle name="20% - Accent4 4 4 5 2 2" xfId="29870" xr:uid="{00000000-0005-0000-0000-0000131B0000}"/>
    <cellStyle name="20% - Accent4 4 4 5 3" xfId="19106" xr:uid="{00000000-0005-0000-0000-0000141B0000}"/>
    <cellStyle name="20% - Accent4 4 4 6" xfId="9076" xr:uid="{00000000-0005-0000-0000-0000151B0000}"/>
    <cellStyle name="20% - Accent4 4 4 6 2" xfId="23551" xr:uid="{00000000-0005-0000-0000-0000161B0000}"/>
    <cellStyle name="20% - Accent4 4 4 7" xfId="19102" xr:uid="{00000000-0005-0000-0000-0000171B0000}"/>
    <cellStyle name="20% - Accent4 4 5" xfId="1784" xr:uid="{00000000-0005-0000-0000-0000181B0000}"/>
    <cellStyle name="20% - Accent4 4 5 2" xfId="1785" xr:uid="{00000000-0005-0000-0000-0000191B0000}"/>
    <cellStyle name="20% - Accent4 4 5 2 2" xfId="14917" xr:uid="{00000000-0005-0000-0000-00001A1B0000}"/>
    <cellStyle name="20% - Accent4 4 5 2 2 2" xfId="28466" xr:uid="{00000000-0005-0000-0000-00001B1B0000}"/>
    <cellStyle name="20% - Accent4 4 5 2 3" xfId="19108" xr:uid="{00000000-0005-0000-0000-00001C1B0000}"/>
    <cellStyle name="20% - Accent4 4 5 3" xfId="10794" xr:uid="{00000000-0005-0000-0000-00001D1B0000}"/>
    <cellStyle name="20% - Accent4 4 5 3 2" xfId="24736" xr:uid="{00000000-0005-0000-0000-00001E1B0000}"/>
    <cellStyle name="20% - Accent4 4 5 4" xfId="19107" xr:uid="{00000000-0005-0000-0000-00001F1B0000}"/>
    <cellStyle name="20% - Accent4 4 6" xfId="1786" xr:uid="{00000000-0005-0000-0000-0000201B0000}"/>
    <cellStyle name="20% - Accent4 4 6 2" xfId="11814" xr:uid="{00000000-0005-0000-0000-0000211B0000}"/>
    <cellStyle name="20% - Accent4 4 6 2 2" xfId="25529" xr:uid="{00000000-0005-0000-0000-0000221B0000}"/>
    <cellStyle name="20% - Accent4 4 6 3" xfId="19109" xr:uid="{00000000-0005-0000-0000-0000231B0000}"/>
    <cellStyle name="20% - Accent4 4 7" xfId="1787" xr:uid="{00000000-0005-0000-0000-0000241B0000}"/>
    <cellStyle name="20% - Accent4 4 7 2" xfId="11858" xr:uid="{00000000-0005-0000-0000-0000251B0000}"/>
    <cellStyle name="20% - Accent4 4 7 2 2" xfId="25573" xr:uid="{00000000-0005-0000-0000-0000261B0000}"/>
    <cellStyle name="20% - Accent4 4 7 3" xfId="19110" xr:uid="{00000000-0005-0000-0000-0000271B0000}"/>
    <cellStyle name="20% - Accent4 4 8" xfId="1788" xr:uid="{00000000-0005-0000-0000-0000281B0000}"/>
    <cellStyle name="20% - Accent4 4 8 2" xfId="13415" xr:uid="{00000000-0005-0000-0000-0000291B0000}"/>
    <cellStyle name="20% - Accent4 4 8 2 2" xfId="26964" xr:uid="{00000000-0005-0000-0000-00002A1B0000}"/>
    <cellStyle name="20% - Accent4 4 8 3" xfId="19111" xr:uid="{00000000-0005-0000-0000-00002B1B0000}"/>
    <cellStyle name="20% - Accent4 4 9" xfId="1789" xr:uid="{00000000-0005-0000-0000-00002C1B0000}"/>
    <cellStyle name="20% - Accent4 4 9 2" xfId="13996" xr:uid="{00000000-0005-0000-0000-00002D1B0000}"/>
    <cellStyle name="20% - Accent4 4 9 2 2" xfId="27545" xr:uid="{00000000-0005-0000-0000-00002E1B0000}"/>
    <cellStyle name="20% - Accent4 4 9 3" xfId="19112" xr:uid="{00000000-0005-0000-0000-00002F1B0000}"/>
    <cellStyle name="20% - Accent4 5" xfId="1790" xr:uid="{00000000-0005-0000-0000-0000301B0000}"/>
    <cellStyle name="20% - Accent4 5 10" xfId="1791" xr:uid="{00000000-0005-0000-0000-0000311B0000}"/>
    <cellStyle name="20% - Accent4 5 10 2" xfId="14918" xr:uid="{00000000-0005-0000-0000-0000321B0000}"/>
    <cellStyle name="20% - Accent4 5 10 2 2" xfId="28467" xr:uid="{00000000-0005-0000-0000-0000331B0000}"/>
    <cellStyle name="20% - Accent4 5 10 3" xfId="19114" xr:uid="{00000000-0005-0000-0000-0000341B0000}"/>
    <cellStyle name="20% - Accent4 5 11" xfId="1792" xr:uid="{00000000-0005-0000-0000-0000351B0000}"/>
    <cellStyle name="20% - Accent4 5 11 2" xfId="15865" xr:uid="{00000000-0005-0000-0000-0000361B0000}"/>
    <cellStyle name="20% - Accent4 5 11 2 2" xfId="29272" xr:uid="{00000000-0005-0000-0000-0000371B0000}"/>
    <cellStyle name="20% - Accent4 5 11 3" xfId="19115" xr:uid="{00000000-0005-0000-0000-0000381B0000}"/>
    <cellStyle name="20% - Accent4 5 12" xfId="9077" xr:uid="{00000000-0005-0000-0000-0000391B0000}"/>
    <cellStyle name="20% - Accent4 5 12 2" xfId="23552" xr:uid="{00000000-0005-0000-0000-00003A1B0000}"/>
    <cellStyle name="20% - Accent4 5 13" xfId="19113" xr:uid="{00000000-0005-0000-0000-00003B1B0000}"/>
    <cellStyle name="20% - Accent4 5 2" xfId="1793" xr:uid="{00000000-0005-0000-0000-00003C1B0000}"/>
    <cellStyle name="20% - Accent4 5 2 10" xfId="1794" xr:uid="{00000000-0005-0000-0000-00003D1B0000}"/>
    <cellStyle name="20% - Accent4 5 2 10 2" xfId="16008" xr:uid="{00000000-0005-0000-0000-00003E1B0000}"/>
    <cellStyle name="20% - Accent4 5 2 10 2 2" xfId="29415" xr:uid="{00000000-0005-0000-0000-00003F1B0000}"/>
    <cellStyle name="20% - Accent4 5 2 10 3" xfId="19117" xr:uid="{00000000-0005-0000-0000-0000401B0000}"/>
    <cellStyle name="20% - Accent4 5 2 11" xfId="9078" xr:uid="{00000000-0005-0000-0000-0000411B0000}"/>
    <cellStyle name="20% - Accent4 5 2 11 2" xfId="23553" xr:uid="{00000000-0005-0000-0000-0000421B0000}"/>
    <cellStyle name="20% - Accent4 5 2 12" xfId="19116" xr:uid="{00000000-0005-0000-0000-0000431B0000}"/>
    <cellStyle name="20% - Accent4 5 2 2" xfId="1795" xr:uid="{00000000-0005-0000-0000-0000441B0000}"/>
    <cellStyle name="20% - Accent4 5 2 2 10" xfId="9079" xr:uid="{00000000-0005-0000-0000-0000451B0000}"/>
    <cellStyle name="20% - Accent4 5 2 2 10 2" xfId="23554" xr:uid="{00000000-0005-0000-0000-0000461B0000}"/>
    <cellStyle name="20% - Accent4 5 2 2 11" xfId="19118" xr:uid="{00000000-0005-0000-0000-0000471B0000}"/>
    <cellStyle name="20% - Accent4 5 2 2 2" xfId="1796" xr:uid="{00000000-0005-0000-0000-0000481B0000}"/>
    <cellStyle name="20% - Accent4 5 2 2 2 2" xfId="1797" xr:uid="{00000000-0005-0000-0000-0000491B0000}"/>
    <cellStyle name="20% - Accent4 5 2 2 2 2 2" xfId="10805" xr:uid="{00000000-0005-0000-0000-00004A1B0000}"/>
    <cellStyle name="20% - Accent4 5 2 2 2 2 2 2" xfId="24747" xr:uid="{00000000-0005-0000-0000-00004B1B0000}"/>
    <cellStyle name="20% - Accent4 5 2 2 2 2 3" xfId="19120" xr:uid="{00000000-0005-0000-0000-00004C1B0000}"/>
    <cellStyle name="20% - Accent4 5 2 2 2 3" xfId="1798" xr:uid="{00000000-0005-0000-0000-00004D1B0000}"/>
    <cellStyle name="20% - Accent4 5 2 2 2 3 2" xfId="12738" xr:uid="{00000000-0005-0000-0000-00004E1B0000}"/>
    <cellStyle name="20% - Accent4 5 2 2 2 3 2 2" xfId="26450" xr:uid="{00000000-0005-0000-0000-00004F1B0000}"/>
    <cellStyle name="20% - Accent4 5 2 2 2 3 3" xfId="19121" xr:uid="{00000000-0005-0000-0000-0000501B0000}"/>
    <cellStyle name="20% - Accent4 5 2 2 2 4" xfId="1799" xr:uid="{00000000-0005-0000-0000-0000511B0000}"/>
    <cellStyle name="20% - Accent4 5 2 2 2 4 2" xfId="14921" xr:uid="{00000000-0005-0000-0000-0000521B0000}"/>
    <cellStyle name="20% - Accent4 5 2 2 2 4 2 2" xfId="28470" xr:uid="{00000000-0005-0000-0000-0000531B0000}"/>
    <cellStyle name="20% - Accent4 5 2 2 2 4 3" xfId="19122" xr:uid="{00000000-0005-0000-0000-0000541B0000}"/>
    <cellStyle name="20% - Accent4 5 2 2 2 5" xfId="1800" xr:uid="{00000000-0005-0000-0000-0000551B0000}"/>
    <cellStyle name="20% - Accent4 5 2 2 2 5 2" xfId="16878" xr:uid="{00000000-0005-0000-0000-0000561B0000}"/>
    <cellStyle name="20% - Accent4 5 2 2 2 5 2 2" xfId="30285" xr:uid="{00000000-0005-0000-0000-0000571B0000}"/>
    <cellStyle name="20% - Accent4 5 2 2 2 5 3" xfId="19123" xr:uid="{00000000-0005-0000-0000-0000581B0000}"/>
    <cellStyle name="20% - Accent4 5 2 2 2 6" xfId="9080" xr:uid="{00000000-0005-0000-0000-0000591B0000}"/>
    <cellStyle name="20% - Accent4 5 2 2 2 6 2" xfId="23555" xr:uid="{00000000-0005-0000-0000-00005A1B0000}"/>
    <cellStyle name="20% - Accent4 5 2 2 2 7" xfId="19119" xr:uid="{00000000-0005-0000-0000-00005B1B0000}"/>
    <cellStyle name="20% - Accent4 5 2 2 3" xfId="1801" xr:uid="{00000000-0005-0000-0000-00005C1B0000}"/>
    <cellStyle name="20% - Accent4 5 2 2 3 2" xfId="1802" xr:uid="{00000000-0005-0000-0000-00005D1B0000}"/>
    <cellStyle name="20% - Accent4 5 2 2 3 2 2" xfId="14922" xr:uid="{00000000-0005-0000-0000-00005E1B0000}"/>
    <cellStyle name="20% - Accent4 5 2 2 3 2 2 2" xfId="28471" xr:uid="{00000000-0005-0000-0000-00005F1B0000}"/>
    <cellStyle name="20% - Accent4 5 2 2 3 2 3" xfId="19125" xr:uid="{00000000-0005-0000-0000-0000601B0000}"/>
    <cellStyle name="20% - Accent4 5 2 2 3 3" xfId="10804" xr:uid="{00000000-0005-0000-0000-0000611B0000}"/>
    <cellStyle name="20% - Accent4 5 2 2 3 3 2" xfId="24746" xr:uid="{00000000-0005-0000-0000-0000621B0000}"/>
    <cellStyle name="20% - Accent4 5 2 2 3 4" xfId="19124" xr:uid="{00000000-0005-0000-0000-0000631B0000}"/>
    <cellStyle name="20% - Accent4 5 2 2 4" xfId="1803" xr:uid="{00000000-0005-0000-0000-0000641B0000}"/>
    <cellStyle name="20% - Accent4 5 2 2 4 2" xfId="12266" xr:uid="{00000000-0005-0000-0000-0000651B0000}"/>
    <cellStyle name="20% - Accent4 5 2 2 4 2 2" xfId="25978" xr:uid="{00000000-0005-0000-0000-0000661B0000}"/>
    <cellStyle name="20% - Accent4 5 2 2 4 3" xfId="19126" xr:uid="{00000000-0005-0000-0000-0000671B0000}"/>
    <cellStyle name="20% - Accent4 5 2 2 5" xfId="1804" xr:uid="{00000000-0005-0000-0000-0000681B0000}"/>
    <cellStyle name="20% - Accent4 5 2 2 5 2" xfId="12770" xr:uid="{00000000-0005-0000-0000-0000691B0000}"/>
    <cellStyle name="20% - Accent4 5 2 2 5 2 2" xfId="26482" xr:uid="{00000000-0005-0000-0000-00006A1B0000}"/>
    <cellStyle name="20% - Accent4 5 2 2 5 3" xfId="19127" xr:uid="{00000000-0005-0000-0000-00006B1B0000}"/>
    <cellStyle name="20% - Accent4 5 2 2 6" xfId="1805" xr:uid="{00000000-0005-0000-0000-00006C1B0000}"/>
    <cellStyle name="20% - Accent4 5 2 2 6 2" xfId="13830" xr:uid="{00000000-0005-0000-0000-00006D1B0000}"/>
    <cellStyle name="20% - Accent4 5 2 2 6 2 2" xfId="27379" xr:uid="{00000000-0005-0000-0000-00006E1B0000}"/>
    <cellStyle name="20% - Accent4 5 2 2 6 3" xfId="19128" xr:uid="{00000000-0005-0000-0000-00006F1B0000}"/>
    <cellStyle name="20% - Accent4 5 2 2 7" xfId="1806" xr:uid="{00000000-0005-0000-0000-0000701B0000}"/>
    <cellStyle name="20% - Accent4 5 2 2 7 2" xfId="14411" xr:uid="{00000000-0005-0000-0000-0000711B0000}"/>
    <cellStyle name="20% - Accent4 5 2 2 7 2 2" xfId="27960" xr:uid="{00000000-0005-0000-0000-0000721B0000}"/>
    <cellStyle name="20% - Accent4 5 2 2 7 3" xfId="19129" xr:uid="{00000000-0005-0000-0000-0000731B0000}"/>
    <cellStyle name="20% - Accent4 5 2 2 8" xfId="1807" xr:uid="{00000000-0005-0000-0000-0000741B0000}"/>
    <cellStyle name="20% - Accent4 5 2 2 8 2" xfId="14920" xr:uid="{00000000-0005-0000-0000-0000751B0000}"/>
    <cellStyle name="20% - Accent4 5 2 2 8 2 2" xfId="28469" xr:uid="{00000000-0005-0000-0000-0000761B0000}"/>
    <cellStyle name="20% - Accent4 5 2 2 8 3" xfId="19130" xr:uid="{00000000-0005-0000-0000-0000771B0000}"/>
    <cellStyle name="20% - Accent4 5 2 2 9" xfId="1808" xr:uid="{00000000-0005-0000-0000-0000781B0000}"/>
    <cellStyle name="20% - Accent4 5 2 2 9 2" xfId="16297" xr:uid="{00000000-0005-0000-0000-0000791B0000}"/>
    <cellStyle name="20% - Accent4 5 2 2 9 2 2" xfId="29704" xr:uid="{00000000-0005-0000-0000-00007A1B0000}"/>
    <cellStyle name="20% - Accent4 5 2 2 9 3" xfId="19131" xr:uid="{00000000-0005-0000-0000-00007B1B0000}"/>
    <cellStyle name="20% - Accent4 5 2 3" xfId="1809" xr:uid="{00000000-0005-0000-0000-00007C1B0000}"/>
    <cellStyle name="20% - Accent4 5 2 3 2" xfId="1810" xr:uid="{00000000-0005-0000-0000-00007D1B0000}"/>
    <cellStyle name="20% - Accent4 5 2 3 2 2" xfId="10806" xr:uid="{00000000-0005-0000-0000-00007E1B0000}"/>
    <cellStyle name="20% - Accent4 5 2 3 2 2 2" xfId="24748" xr:uid="{00000000-0005-0000-0000-00007F1B0000}"/>
    <cellStyle name="20% - Accent4 5 2 3 2 3" xfId="19133" xr:uid="{00000000-0005-0000-0000-0000801B0000}"/>
    <cellStyle name="20% - Accent4 5 2 3 3" xfId="1811" xr:uid="{00000000-0005-0000-0000-0000811B0000}"/>
    <cellStyle name="20% - Accent4 5 2 3 3 2" xfId="12529" xr:uid="{00000000-0005-0000-0000-0000821B0000}"/>
    <cellStyle name="20% - Accent4 5 2 3 3 2 2" xfId="26241" xr:uid="{00000000-0005-0000-0000-0000831B0000}"/>
    <cellStyle name="20% - Accent4 5 2 3 3 3" xfId="19134" xr:uid="{00000000-0005-0000-0000-0000841B0000}"/>
    <cellStyle name="20% - Accent4 5 2 3 4" xfId="1812" xr:uid="{00000000-0005-0000-0000-0000851B0000}"/>
    <cellStyle name="20% - Accent4 5 2 3 4 2" xfId="14923" xr:uid="{00000000-0005-0000-0000-0000861B0000}"/>
    <cellStyle name="20% - Accent4 5 2 3 4 2 2" xfId="28472" xr:uid="{00000000-0005-0000-0000-0000871B0000}"/>
    <cellStyle name="20% - Accent4 5 2 3 4 3" xfId="19135" xr:uid="{00000000-0005-0000-0000-0000881B0000}"/>
    <cellStyle name="20% - Accent4 5 2 3 5" xfId="1813" xr:uid="{00000000-0005-0000-0000-0000891B0000}"/>
    <cellStyle name="20% - Accent4 5 2 3 5 2" xfId="16589" xr:uid="{00000000-0005-0000-0000-00008A1B0000}"/>
    <cellStyle name="20% - Accent4 5 2 3 5 2 2" xfId="29996" xr:uid="{00000000-0005-0000-0000-00008B1B0000}"/>
    <cellStyle name="20% - Accent4 5 2 3 5 3" xfId="19136" xr:uid="{00000000-0005-0000-0000-00008C1B0000}"/>
    <cellStyle name="20% - Accent4 5 2 3 6" xfId="9081" xr:uid="{00000000-0005-0000-0000-00008D1B0000}"/>
    <cellStyle name="20% - Accent4 5 2 3 6 2" xfId="23556" xr:uid="{00000000-0005-0000-0000-00008E1B0000}"/>
    <cellStyle name="20% - Accent4 5 2 3 7" xfId="19132" xr:uid="{00000000-0005-0000-0000-00008F1B0000}"/>
    <cellStyle name="20% - Accent4 5 2 4" xfId="1814" xr:uid="{00000000-0005-0000-0000-0000901B0000}"/>
    <cellStyle name="20% - Accent4 5 2 4 2" xfId="1815" xr:uid="{00000000-0005-0000-0000-0000911B0000}"/>
    <cellStyle name="20% - Accent4 5 2 4 2 2" xfId="14924" xr:uid="{00000000-0005-0000-0000-0000921B0000}"/>
    <cellStyle name="20% - Accent4 5 2 4 2 2 2" xfId="28473" xr:uid="{00000000-0005-0000-0000-0000931B0000}"/>
    <cellStyle name="20% - Accent4 5 2 4 2 3" xfId="19138" xr:uid="{00000000-0005-0000-0000-0000941B0000}"/>
    <cellStyle name="20% - Accent4 5 2 4 3" xfId="10803" xr:uid="{00000000-0005-0000-0000-0000951B0000}"/>
    <cellStyle name="20% - Accent4 5 2 4 3 2" xfId="24745" xr:uid="{00000000-0005-0000-0000-0000961B0000}"/>
    <cellStyle name="20% - Accent4 5 2 4 4" xfId="19137" xr:uid="{00000000-0005-0000-0000-0000971B0000}"/>
    <cellStyle name="20% - Accent4 5 2 5" xfId="1816" xr:uid="{00000000-0005-0000-0000-0000981B0000}"/>
    <cellStyle name="20% - Accent4 5 2 5 2" xfId="11966" xr:uid="{00000000-0005-0000-0000-0000991B0000}"/>
    <cellStyle name="20% - Accent4 5 2 5 2 2" xfId="25681" xr:uid="{00000000-0005-0000-0000-00009A1B0000}"/>
    <cellStyle name="20% - Accent4 5 2 5 3" xfId="19139" xr:uid="{00000000-0005-0000-0000-00009B1B0000}"/>
    <cellStyle name="20% - Accent4 5 2 6" xfId="1817" xr:uid="{00000000-0005-0000-0000-00009C1B0000}"/>
    <cellStyle name="20% - Accent4 5 2 6 2" xfId="12715" xr:uid="{00000000-0005-0000-0000-00009D1B0000}"/>
    <cellStyle name="20% - Accent4 5 2 6 2 2" xfId="26427" xr:uid="{00000000-0005-0000-0000-00009E1B0000}"/>
    <cellStyle name="20% - Accent4 5 2 6 3" xfId="19140" xr:uid="{00000000-0005-0000-0000-00009F1B0000}"/>
    <cellStyle name="20% - Accent4 5 2 7" xfId="1818" xr:uid="{00000000-0005-0000-0000-0000A01B0000}"/>
    <cellStyle name="20% - Accent4 5 2 7 2" xfId="13541" xr:uid="{00000000-0005-0000-0000-0000A11B0000}"/>
    <cellStyle name="20% - Accent4 5 2 7 2 2" xfId="27090" xr:uid="{00000000-0005-0000-0000-0000A21B0000}"/>
    <cellStyle name="20% - Accent4 5 2 7 3" xfId="19141" xr:uid="{00000000-0005-0000-0000-0000A31B0000}"/>
    <cellStyle name="20% - Accent4 5 2 8" xfId="1819" xr:uid="{00000000-0005-0000-0000-0000A41B0000}"/>
    <cellStyle name="20% - Accent4 5 2 8 2" xfId="14122" xr:uid="{00000000-0005-0000-0000-0000A51B0000}"/>
    <cellStyle name="20% - Accent4 5 2 8 2 2" xfId="27671" xr:uid="{00000000-0005-0000-0000-0000A61B0000}"/>
    <cellStyle name="20% - Accent4 5 2 8 3" xfId="19142" xr:uid="{00000000-0005-0000-0000-0000A71B0000}"/>
    <cellStyle name="20% - Accent4 5 2 9" xfId="1820" xr:uid="{00000000-0005-0000-0000-0000A81B0000}"/>
    <cellStyle name="20% - Accent4 5 2 9 2" xfId="14919" xr:uid="{00000000-0005-0000-0000-0000A91B0000}"/>
    <cellStyle name="20% - Accent4 5 2 9 2 2" xfId="28468" xr:uid="{00000000-0005-0000-0000-0000AA1B0000}"/>
    <cellStyle name="20% - Accent4 5 2 9 3" xfId="19143" xr:uid="{00000000-0005-0000-0000-0000AB1B0000}"/>
    <cellStyle name="20% - Accent4 5 3" xfId="1821" xr:uid="{00000000-0005-0000-0000-0000AC1B0000}"/>
    <cellStyle name="20% - Accent4 5 3 10" xfId="9082" xr:uid="{00000000-0005-0000-0000-0000AD1B0000}"/>
    <cellStyle name="20% - Accent4 5 3 10 2" xfId="23557" xr:uid="{00000000-0005-0000-0000-0000AE1B0000}"/>
    <cellStyle name="20% - Accent4 5 3 11" xfId="19144" xr:uid="{00000000-0005-0000-0000-0000AF1B0000}"/>
    <cellStyle name="20% - Accent4 5 3 2" xfId="1822" xr:uid="{00000000-0005-0000-0000-0000B01B0000}"/>
    <cellStyle name="20% - Accent4 5 3 2 2" xfId="1823" xr:uid="{00000000-0005-0000-0000-0000B11B0000}"/>
    <cellStyle name="20% - Accent4 5 3 2 2 2" xfId="10808" xr:uid="{00000000-0005-0000-0000-0000B21B0000}"/>
    <cellStyle name="20% - Accent4 5 3 2 2 2 2" xfId="24750" xr:uid="{00000000-0005-0000-0000-0000B31B0000}"/>
    <cellStyle name="20% - Accent4 5 3 2 2 3" xfId="19146" xr:uid="{00000000-0005-0000-0000-0000B41B0000}"/>
    <cellStyle name="20% - Accent4 5 3 2 3" xfId="1824" xr:uid="{00000000-0005-0000-0000-0000B51B0000}"/>
    <cellStyle name="20% - Accent4 5 3 2 3 2" xfId="12536" xr:uid="{00000000-0005-0000-0000-0000B61B0000}"/>
    <cellStyle name="20% - Accent4 5 3 2 3 2 2" xfId="26248" xr:uid="{00000000-0005-0000-0000-0000B71B0000}"/>
    <cellStyle name="20% - Accent4 5 3 2 3 3" xfId="19147" xr:uid="{00000000-0005-0000-0000-0000B81B0000}"/>
    <cellStyle name="20% - Accent4 5 3 2 4" xfId="1825" xr:uid="{00000000-0005-0000-0000-0000B91B0000}"/>
    <cellStyle name="20% - Accent4 5 3 2 4 2" xfId="14926" xr:uid="{00000000-0005-0000-0000-0000BA1B0000}"/>
    <cellStyle name="20% - Accent4 5 3 2 4 2 2" xfId="28475" xr:uid="{00000000-0005-0000-0000-0000BB1B0000}"/>
    <cellStyle name="20% - Accent4 5 3 2 4 3" xfId="19148" xr:uid="{00000000-0005-0000-0000-0000BC1B0000}"/>
    <cellStyle name="20% - Accent4 5 3 2 5" xfId="1826" xr:uid="{00000000-0005-0000-0000-0000BD1B0000}"/>
    <cellStyle name="20% - Accent4 5 3 2 5 2" xfId="16738" xr:uid="{00000000-0005-0000-0000-0000BE1B0000}"/>
    <cellStyle name="20% - Accent4 5 3 2 5 2 2" xfId="30145" xr:uid="{00000000-0005-0000-0000-0000BF1B0000}"/>
    <cellStyle name="20% - Accent4 5 3 2 5 3" xfId="19149" xr:uid="{00000000-0005-0000-0000-0000C01B0000}"/>
    <cellStyle name="20% - Accent4 5 3 2 6" xfId="9083" xr:uid="{00000000-0005-0000-0000-0000C11B0000}"/>
    <cellStyle name="20% - Accent4 5 3 2 6 2" xfId="23558" xr:uid="{00000000-0005-0000-0000-0000C21B0000}"/>
    <cellStyle name="20% - Accent4 5 3 2 7" xfId="19145" xr:uid="{00000000-0005-0000-0000-0000C31B0000}"/>
    <cellStyle name="20% - Accent4 5 3 3" xfId="1827" xr:uid="{00000000-0005-0000-0000-0000C41B0000}"/>
    <cellStyle name="20% - Accent4 5 3 3 2" xfId="1828" xr:uid="{00000000-0005-0000-0000-0000C51B0000}"/>
    <cellStyle name="20% - Accent4 5 3 3 2 2" xfId="14927" xr:uid="{00000000-0005-0000-0000-0000C61B0000}"/>
    <cellStyle name="20% - Accent4 5 3 3 2 2 2" xfId="28476" xr:uid="{00000000-0005-0000-0000-0000C71B0000}"/>
    <cellStyle name="20% - Accent4 5 3 3 2 3" xfId="19151" xr:uid="{00000000-0005-0000-0000-0000C81B0000}"/>
    <cellStyle name="20% - Accent4 5 3 3 3" xfId="10807" xr:uid="{00000000-0005-0000-0000-0000C91B0000}"/>
    <cellStyle name="20% - Accent4 5 3 3 3 2" xfId="24749" xr:uid="{00000000-0005-0000-0000-0000CA1B0000}"/>
    <cellStyle name="20% - Accent4 5 3 3 4" xfId="19150" xr:uid="{00000000-0005-0000-0000-0000CB1B0000}"/>
    <cellStyle name="20% - Accent4 5 3 4" xfId="1829" xr:uid="{00000000-0005-0000-0000-0000CC1B0000}"/>
    <cellStyle name="20% - Accent4 5 3 4 2" xfId="12126" xr:uid="{00000000-0005-0000-0000-0000CD1B0000}"/>
    <cellStyle name="20% - Accent4 5 3 4 2 2" xfId="25838" xr:uid="{00000000-0005-0000-0000-0000CE1B0000}"/>
    <cellStyle name="20% - Accent4 5 3 4 3" xfId="19152" xr:uid="{00000000-0005-0000-0000-0000CF1B0000}"/>
    <cellStyle name="20% - Accent4 5 3 5" xfId="1830" xr:uid="{00000000-0005-0000-0000-0000D01B0000}"/>
    <cellStyle name="20% - Accent4 5 3 5 2" xfId="12563" xr:uid="{00000000-0005-0000-0000-0000D11B0000}"/>
    <cellStyle name="20% - Accent4 5 3 5 2 2" xfId="26275" xr:uid="{00000000-0005-0000-0000-0000D21B0000}"/>
    <cellStyle name="20% - Accent4 5 3 5 3" xfId="19153" xr:uid="{00000000-0005-0000-0000-0000D31B0000}"/>
    <cellStyle name="20% - Accent4 5 3 6" xfId="1831" xr:uid="{00000000-0005-0000-0000-0000D41B0000}"/>
    <cellStyle name="20% - Accent4 5 3 6 2" xfId="13690" xr:uid="{00000000-0005-0000-0000-0000D51B0000}"/>
    <cellStyle name="20% - Accent4 5 3 6 2 2" xfId="27239" xr:uid="{00000000-0005-0000-0000-0000D61B0000}"/>
    <cellStyle name="20% - Accent4 5 3 6 3" xfId="19154" xr:uid="{00000000-0005-0000-0000-0000D71B0000}"/>
    <cellStyle name="20% - Accent4 5 3 7" xfId="1832" xr:uid="{00000000-0005-0000-0000-0000D81B0000}"/>
    <cellStyle name="20% - Accent4 5 3 7 2" xfId="14271" xr:uid="{00000000-0005-0000-0000-0000D91B0000}"/>
    <cellStyle name="20% - Accent4 5 3 7 2 2" xfId="27820" xr:uid="{00000000-0005-0000-0000-0000DA1B0000}"/>
    <cellStyle name="20% - Accent4 5 3 7 3" xfId="19155" xr:uid="{00000000-0005-0000-0000-0000DB1B0000}"/>
    <cellStyle name="20% - Accent4 5 3 8" xfId="1833" xr:uid="{00000000-0005-0000-0000-0000DC1B0000}"/>
    <cellStyle name="20% - Accent4 5 3 8 2" xfId="14925" xr:uid="{00000000-0005-0000-0000-0000DD1B0000}"/>
    <cellStyle name="20% - Accent4 5 3 8 2 2" xfId="28474" xr:uid="{00000000-0005-0000-0000-0000DE1B0000}"/>
    <cellStyle name="20% - Accent4 5 3 8 3" xfId="19156" xr:uid="{00000000-0005-0000-0000-0000DF1B0000}"/>
    <cellStyle name="20% - Accent4 5 3 9" xfId="1834" xr:uid="{00000000-0005-0000-0000-0000E01B0000}"/>
    <cellStyle name="20% - Accent4 5 3 9 2" xfId="16157" xr:uid="{00000000-0005-0000-0000-0000E11B0000}"/>
    <cellStyle name="20% - Accent4 5 3 9 2 2" xfId="29564" xr:uid="{00000000-0005-0000-0000-0000E21B0000}"/>
    <cellStyle name="20% - Accent4 5 3 9 3" xfId="19157" xr:uid="{00000000-0005-0000-0000-0000E31B0000}"/>
    <cellStyle name="20% - Accent4 5 4" xfId="1835" xr:uid="{00000000-0005-0000-0000-0000E41B0000}"/>
    <cellStyle name="20% - Accent4 5 4 2" xfId="1836" xr:uid="{00000000-0005-0000-0000-0000E51B0000}"/>
    <cellStyle name="20% - Accent4 5 4 2 2" xfId="10809" xr:uid="{00000000-0005-0000-0000-0000E61B0000}"/>
    <cellStyle name="20% - Accent4 5 4 2 2 2" xfId="24751" xr:uid="{00000000-0005-0000-0000-0000E71B0000}"/>
    <cellStyle name="20% - Accent4 5 4 2 3" xfId="19159" xr:uid="{00000000-0005-0000-0000-0000E81B0000}"/>
    <cellStyle name="20% - Accent4 5 4 3" xfId="1837" xr:uid="{00000000-0005-0000-0000-0000E91B0000}"/>
    <cellStyle name="20% - Accent4 5 4 3 2" xfId="12804" xr:uid="{00000000-0005-0000-0000-0000EA1B0000}"/>
    <cellStyle name="20% - Accent4 5 4 3 2 2" xfId="26516" xr:uid="{00000000-0005-0000-0000-0000EB1B0000}"/>
    <cellStyle name="20% - Accent4 5 4 3 3" xfId="19160" xr:uid="{00000000-0005-0000-0000-0000EC1B0000}"/>
    <cellStyle name="20% - Accent4 5 4 4" xfId="1838" xr:uid="{00000000-0005-0000-0000-0000ED1B0000}"/>
    <cellStyle name="20% - Accent4 5 4 4 2" xfId="14928" xr:uid="{00000000-0005-0000-0000-0000EE1B0000}"/>
    <cellStyle name="20% - Accent4 5 4 4 2 2" xfId="28477" xr:uid="{00000000-0005-0000-0000-0000EF1B0000}"/>
    <cellStyle name="20% - Accent4 5 4 4 3" xfId="19161" xr:uid="{00000000-0005-0000-0000-0000F01B0000}"/>
    <cellStyle name="20% - Accent4 5 4 5" xfId="1839" xr:uid="{00000000-0005-0000-0000-0000F11B0000}"/>
    <cellStyle name="20% - Accent4 5 4 5 2" xfId="16446" xr:uid="{00000000-0005-0000-0000-0000F21B0000}"/>
    <cellStyle name="20% - Accent4 5 4 5 2 2" xfId="29853" xr:uid="{00000000-0005-0000-0000-0000F31B0000}"/>
    <cellStyle name="20% - Accent4 5 4 5 3" xfId="19162" xr:uid="{00000000-0005-0000-0000-0000F41B0000}"/>
    <cellStyle name="20% - Accent4 5 4 6" xfId="9084" xr:uid="{00000000-0005-0000-0000-0000F51B0000}"/>
    <cellStyle name="20% - Accent4 5 4 6 2" xfId="23559" xr:uid="{00000000-0005-0000-0000-0000F61B0000}"/>
    <cellStyle name="20% - Accent4 5 4 7" xfId="19158" xr:uid="{00000000-0005-0000-0000-0000F71B0000}"/>
    <cellStyle name="20% - Accent4 5 5" xfId="1840" xr:uid="{00000000-0005-0000-0000-0000F81B0000}"/>
    <cellStyle name="20% - Accent4 5 5 2" xfId="1841" xr:uid="{00000000-0005-0000-0000-0000F91B0000}"/>
    <cellStyle name="20% - Accent4 5 5 2 2" xfId="14929" xr:uid="{00000000-0005-0000-0000-0000FA1B0000}"/>
    <cellStyle name="20% - Accent4 5 5 2 2 2" xfId="28478" xr:uid="{00000000-0005-0000-0000-0000FB1B0000}"/>
    <cellStyle name="20% - Accent4 5 5 2 3" xfId="19164" xr:uid="{00000000-0005-0000-0000-0000FC1B0000}"/>
    <cellStyle name="20% - Accent4 5 5 3" xfId="10802" xr:uid="{00000000-0005-0000-0000-0000FD1B0000}"/>
    <cellStyle name="20% - Accent4 5 5 3 2" xfId="24744" xr:uid="{00000000-0005-0000-0000-0000FE1B0000}"/>
    <cellStyle name="20% - Accent4 5 5 4" xfId="19163" xr:uid="{00000000-0005-0000-0000-0000FF1B0000}"/>
    <cellStyle name="20% - Accent4 5 6" xfId="1842" xr:uid="{00000000-0005-0000-0000-0000001C0000}"/>
    <cellStyle name="20% - Accent4 5 6 2" xfId="11797" xr:uid="{00000000-0005-0000-0000-0000011C0000}"/>
    <cellStyle name="20% - Accent4 5 6 2 2" xfId="25512" xr:uid="{00000000-0005-0000-0000-0000021C0000}"/>
    <cellStyle name="20% - Accent4 5 6 3" xfId="19165" xr:uid="{00000000-0005-0000-0000-0000031C0000}"/>
    <cellStyle name="20% - Accent4 5 7" xfId="1843" xr:uid="{00000000-0005-0000-0000-0000041C0000}"/>
    <cellStyle name="20% - Accent4 5 7 2" xfId="12717" xr:uid="{00000000-0005-0000-0000-0000051C0000}"/>
    <cellStyle name="20% - Accent4 5 7 2 2" xfId="26429" xr:uid="{00000000-0005-0000-0000-0000061C0000}"/>
    <cellStyle name="20% - Accent4 5 7 3" xfId="19166" xr:uid="{00000000-0005-0000-0000-0000071C0000}"/>
    <cellStyle name="20% - Accent4 5 8" xfId="1844" xr:uid="{00000000-0005-0000-0000-0000081C0000}"/>
    <cellStyle name="20% - Accent4 5 8 2" xfId="13398" xr:uid="{00000000-0005-0000-0000-0000091C0000}"/>
    <cellStyle name="20% - Accent4 5 8 2 2" xfId="26947" xr:uid="{00000000-0005-0000-0000-00000A1C0000}"/>
    <cellStyle name="20% - Accent4 5 8 3" xfId="19167" xr:uid="{00000000-0005-0000-0000-00000B1C0000}"/>
    <cellStyle name="20% - Accent4 5 9" xfId="1845" xr:uid="{00000000-0005-0000-0000-00000C1C0000}"/>
    <cellStyle name="20% - Accent4 5 9 2" xfId="13979" xr:uid="{00000000-0005-0000-0000-00000D1C0000}"/>
    <cellStyle name="20% - Accent4 5 9 2 2" xfId="27528" xr:uid="{00000000-0005-0000-0000-00000E1C0000}"/>
    <cellStyle name="20% - Accent4 5 9 3" xfId="19168" xr:uid="{00000000-0005-0000-0000-00000F1C0000}"/>
    <cellStyle name="20% - Accent4 6" xfId="1846" xr:uid="{00000000-0005-0000-0000-0000101C0000}"/>
    <cellStyle name="20% - Accent4 6 10" xfId="1847" xr:uid="{00000000-0005-0000-0000-0000111C0000}"/>
    <cellStyle name="20% - Accent4 6 10 2" xfId="14930" xr:uid="{00000000-0005-0000-0000-0000121C0000}"/>
    <cellStyle name="20% - Accent4 6 10 2 2" xfId="28479" xr:uid="{00000000-0005-0000-0000-0000131C0000}"/>
    <cellStyle name="20% - Accent4 6 10 3" xfId="19170" xr:uid="{00000000-0005-0000-0000-0000141C0000}"/>
    <cellStyle name="20% - Accent4 6 11" xfId="1848" xr:uid="{00000000-0005-0000-0000-0000151C0000}"/>
    <cellStyle name="20% - Accent4 6 11 2" xfId="15971" xr:uid="{00000000-0005-0000-0000-0000161C0000}"/>
    <cellStyle name="20% - Accent4 6 11 2 2" xfId="29378" xr:uid="{00000000-0005-0000-0000-0000171C0000}"/>
    <cellStyle name="20% - Accent4 6 11 3" xfId="19171" xr:uid="{00000000-0005-0000-0000-0000181C0000}"/>
    <cellStyle name="20% - Accent4 6 12" xfId="9085" xr:uid="{00000000-0005-0000-0000-0000191C0000}"/>
    <cellStyle name="20% - Accent4 6 12 2" xfId="23560" xr:uid="{00000000-0005-0000-0000-00001A1C0000}"/>
    <cellStyle name="20% - Accent4 6 13" xfId="19169" xr:uid="{00000000-0005-0000-0000-00001B1C0000}"/>
    <cellStyle name="20% - Accent4 6 2" xfId="1849" xr:uid="{00000000-0005-0000-0000-00001C1C0000}"/>
    <cellStyle name="20% - Accent4 6 2 10" xfId="1850" xr:uid="{00000000-0005-0000-0000-00001D1C0000}"/>
    <cellStyle name="20% - Accent4 6 2 10 2" xfId="16114" xr:uid="{00000000-0005-0000-0000-00001E1C0000}"/>
    <cellStyle name="20% - Accent4 6 2 10 2 2" xfId="29521" xr:uid="{00000000-0005-0000-0000-00001F1C0000}"/>
    <cellStyle name="20% - Accent4 6 2 10 3" xfId="19173" xr:uid="{00000000-0005-0000-0000-0000201C0000}"/>
    <cellStyle name="20% - Accent4 6 2 11" xfId="9086" xr:uid="{00000000-0005-0000-0000-0000211C0000}"/>
    <cellStyle name="20% - Accent4 6 2 11 2" xfId="23561" xr:uid="{00000000-0005-0000-0000-0000221C0000}"/>
    <cellStyle name="20% - Accent4 6 2 12" xfId="19172" xr:uid="{00000000-0005-0000-0000-0000231C0000}"/>
    <cellStyle name="20% - Accent4 6 2 2" xfId="1851" xr:uid="{00000000-0005-0000-0000-0000241C0000}"/>
    <cellStyle name="20% - Accent4 6 2 2 10" xfId="9087" xr:uid="{00000000-0005-0000-0000-0000251C0000}"/>
    <cellStyle name="20% - Accent4 6 2 2 10 2" xfId="23562" xr:uid="{00000000-0005-0000-0000-0000261C0000}"/>
    <cellStyle name="20% - Accent4 6 2 2 11" xfId="19174" xr:uid="{00000000-0005-0000-0000-0000271C0000}"/>
    <cellStyle name="20% - Accent4 6 2 2 2" xfId="1852" xr:uid="{00000000-0005-0000-0000-0000281C0000}"/>
    <cellStyle name="20% - Accent4 6 2 2 2 2" xfId="1853" xr:uid="{00000000-0005-0000-0000-0000291C0000}"/>
    <cellStyle name="20% - Accent4 6 2 2 2 2 2" xfId="10813" xr:uid="{00000000-0005-0000-0000-00002A1C0000}"/>
    <cellStyle name="20% - Accent4 6 2 2 2 2 2 2" xfId="24755" xr:uid="{00000000-0005-0000-0000-00002B1C0000}"/>
    <cellStyle name="20% - Accent4 6 2 2 2 2 3" xfId="19176" xr:uid="{00000000-0005-0000-0000-00002C1C0000}"/>
    <cellStyle name="20% - Accent4 6 2 2 2 3" xfId="1854" xr:uid="{00000000-0005-0000-0000-00002D1C0000}"/>
    <cellStyle name="20% - Accent4 6 2 2 2 3 2" xfId="12763" xr:uid="{00000000-0005-0000-0000-00002E1C0000}"/>
    <cellStyle name="20% - Accent4 6 2 2 2 3 2 2" xfId="26475" xr:uid="{00000000-0005-0000-0000-00002F1C0000}"/>
    <cellStyle name="20% - Accent4 6 2 2 2 3 3" xfId="19177" xr:uid="{00000000-0005-0000-0000-0000301C0000}"/>
    <cellStyle name="20% - Accent4 6 2 2 2 4" xfId="1855" xr:uid="{00000000-0005-0000-0000-0000311C0000}"/>
    <cellStyle name="20% - Accent4 6 2 2 2 4 2" xfId="14933" xr:uid="{00000000-0005-0000-0000-0000321C0000}"/>
    <cellStyle name="20% - Accent4 6 2 2 2 4 2 2" xfId="28482" xr:uid="{00000000-0005-0000-0000-0000331C0000}"/>
    <cellStyle name="20% - Accent4 6 2 2 2 4 3" xfId="19178" xr:uid="{00000000-0005-0000-0000-0000341C0000}"/>
    <cellStyle name="20% - Accent4 6 2 2 2 5" xfId="1856" xr:uid="{00000000-0005-0000-0000-0000351C0000}"/>
    <cellStyle name="20% - Accent4 6 2 2 2 5 2" xfId="16984" xr:uid="{00000000-0005-0000-0000-0000361C0000}"/>
    <cellStyle name="20% - Accent4 6 2 2 2 5 2 2" xfId="30391" xr:uid="{00000000-0005-0000-0000-0000371C0000}"/>
    <cellStyle name="20% - Accent4 6 2 2 2 5 3" xfId="19179" xr:uid="{00000000-0005-0000-0000-0000381C0000}"/>
    <cellStyle name="20% - Accent4 6 2 2 2 6" xfId="9088" xr:uid="{00000000-0005-0000-0000-0000391C0000}"/>
    <cellStyle name="20% - Accent4 6 2 2 2 6 2" xfId="23563" xr:uid="{00000000-0005-0000-0000-00003A1C0000}"/>
    <cellStyle name="20% - Accent4 6 2 2 2 7" xfId="19175" xr:uid="{00000000-0005-0000-0000-00003B1C0000}"/>
    <cellStyle name="20% - Accent4 6 2 2 3" xfId="1857" xr:uid="{00000000-0005-0000-0000-00003C1C0000}"/>
    <cellStyle name="20% - Accent4 6 2 2 3 2" xfId="1858" xr:uid="{00000000-0005-0000-0000-00003D1C0000}"/>
    <cellStyle name="20% - Accent4 6 2 2 3 2 2" xfId="14934" xr:uid="{00000000-0005-0000-0000-00003E1C0000}"/>
    <cellStyle name="20% - Accent4 6 2 2 3 2 2 2" xfId="28483" xr:uid="{00000000-0005-0000-0000-00003F1C0000}"/>
    <cellStyle name="20% - Accent4 6 2 2 3 2 3" xfId="19181" xr:uid="{00000000-0005-0000-0000-0000401C0000}"/>
    <cellStyle name="20% - Accent4 6 2 2 3 3" xfId="10812" xr:uid="{00000000-0005-0000-0000-0000411C0000}"/>
    <cellStyle name="20% - Accent4 6 2 2 3 3 2" xfId="24754" xr:uid="{00000000-0005-0000-0000-0000421C0000}"/>
    <cellStyle name="20% - Accent4 6 2 2 3 4" xfId="19180" xr:uid="{00000000-0005-0000-0000-0000431C0000}"/>
    <cellStyle name="20% - Accent4 6 2 2 4" xfId="1859" xr:uid="{00000000-0005-0000-0000-0000441C0000}"/>
    <cellStyle name="20% - Accent4 6 2 2 4 2" xfId="12372" xr:uid="{00000000-0005-0000-0000-0000451C0000}"/>
    <cellStyle name="20% - Accent4 6 2 2 4 2 2" xfId="26084" xr:uid="{00000000-0005-0000-0000-0000461C0000}"/>
    <cellStyle name="20% - Accent4 6 2 2 4 3" xfId="19182" xr:uid="{00000000-0005-0000-0000-0000471C0000}"/>
    <cellStyle name="20% - Accent4 6 2 2 5" xfId="1860" xr:uid="{00000000-0005-0000-0000-0000481C0000}"/>
    <cellStyle name="20% - Accent4 6 2 2 5 2" xfId="12414" xr:uid="{00000000-0005-0000-0000-0000491C0000}"/>
    <cellStyle name="20% - Accent4 6 2 2 5 2 2" xfId="26126" xr:uid="{00000000-0005-0000-0000-00004A1C0000}"/>
    <cellStyle name="20% - Accent4 6 2 2 5 3" xfId="19183" xr:uid="{00000000-0005-0000-0000-00004B1C0000}"/>
    <cellStyle name="20% - Accent4 6 2 2 6" xfId="1861" xr:uid="{00000000-0005-0000-0000-00004C1C0000}"/>
    <cellStyle name="20% - Accent4 6 2 2 6 2" xfId="13936" xr:uid="{00000000-0005-0000-0000-00004D1C0000}"/>
    <cellStyle name="20% - Accent4 6 2 2 6 2 2" xfId="27485" xr:uid="{00000000-0005-0000-0000-00004E1C0000}"/>
    <cellStyle name="20% - Accent4 6 2 2 6 3" xfId="19184" xr:uid="{00000000-0005-0000-0000-00004F1C0000}"/>
    <cellStyle name="20% - Accent4 6 2 2 7" xfId="1862" xr:uid="{00000000-0005-0000-0000-0000501C0000}"/>
    <cellStyle name="20% - Accent4 6 2 2 7 2" xfId="14517" xr:uid="{00000000-0005-0000-0000-0000511C0000}"/>
    <cellStyle name="20% - Accent4 6 2 2 7 2 2" xfId="28066" xr:uid="{00000000-0005-0000-0000-0000521C0000}"/>
    <cellStyle name="20% - Accent4 6 2 2 7 3" xfId="19185" xr:uid="{00000000-0005-0000-0000-0000531C0000}"/>
    <cellStyle name="20% - Accent4 6 2 2 8" xfId="1863" xr:uid="{00000000-0005-0000-0000-0000541C0000}"/>
    <cellStyle name="20% - Accent4 6 2 2 8 2" xfId="14932" xr:uid="{00000000-0005-0000-0000-0000551C0000}"/>
    <cellStyle name="20% - Accent4 6 2 2 8 2 2" xfId="28481" xr:uid="{00000000-0005-0000-0000-0000561C0000}"/>
    <cellStyle name="20% - Accent4 6 2 2 8 3" xfId="19186" xr:uid="{00000000-0005-0000-0000-0000571C0000}"/>
    <cellStyle name="20% - Accent4 6 2 2 9" xfId="1864" xr:uid="{00000000-0005-0000-0000-0000581C0000}"/>
    <cellStyle name="20% - Accent4 6 2 2 9 2" xfId="16403" xr:uid="{00000000-0005-0000-0000-0000591C0000}"/>
    <cellStyle name="20% - Accent4 6 2 2 9 2 2" xfId="29810" xr:uid="{00000000-0005-0000-0000-00005A1C0000}"/>
    <cellStyle name="20% - Accent4 6 2 2 9 3" xfId="19187" xr:uid="{00000000-0005-0000-0000-00005B1C0000}"/>
    <cellStyle name="20% - Accent4 6 2 3" xfId="1865" xr:uid="{00000000-0005-0000-0000-00005C1C0000}"/>
    <cellStyle name="20% - Accent4 6 2 3 2" xfId="1866" xr:uid="{00000000-0005-0000-0000-00005D1C0000}"/>
    <cellStyle name="20% - Accent4 6 2 3 2 2" xfId="10814" xr:uid="{00000000-0005-0000-0000-00005E1C0000}"/>
    <cellStyle name="20% - Accent4 6 2 3 2 2 2" xfId="24756" xr:uid="{00000000-0005-0000-0000-00005F1C0000}"/>
    <cellStyle name="20% - Accent4 6 2 3 2 3" xfId="19189" xr:uid="{00000000-0005-0000-0000-0000601C0000}"/>
    <cellStyle name="20% - Accent4 6 2 3 3" xfId="1867" xr:uid="{00000000-0005-0000-0000-0000611C0000}"/>
    <cellStyle name="20% - Accent4 6 2 3 3 2" xfId="12632" xr:uid="{00000000-0005-0000-0000-0000621C0000}"/>
    <cellStyle name="20% - Accent4 6 2 3 3 2 2" xfId="26344" xr:uid="{00000000-0005-0000-0000-0000631C0000}"/>
    <cellStyle name="20% - Accent4 6 2 3 3 3" xfId="19190" xr:uid="{00000000-0005-0000-0000-0000641C0000}"/>
    <cellStyle name="20% - Accent4 6 2 3 4" xfId="1868" xr:uid="{00000000-0005-0000-0000-0000651C0000}"/>
    <cellStyle name="20% - Accent4 6 2 3 4 2" xfId="14935" xr:uid="{00000000-0005-0000-0000-0000661C0000}"/>
    <cellStyle name="20% - Accent4 6 2 3 4 2 2" xfId="28484" xr:uid="{00000000-0005-0000-0000-0000671C0000}"/>
    <cellStyle name="20% - Accent4 6 2 3 4 3" xfId="19191" xr:uid="{00000000-0005-0000-0000-0000681C0000}"/>
    <cellStyle name="20% - Accent4 6 2 3 5" xfId="1869" xr:uid="{00000000-0005-0000-0000-0000691C0000}"/>
    <cellStyle name="20% - Accent4 6 2 3 5 2" xfId="16695" xr:uid="{00000000-0005-0000-0000-00006A1C0000}"/>
    <cellStyle name="20% - Accent4 6 2 3 5 2 2" xfId="30102" xr:uid="{00000000-0005-0000-0000-00006B1C0000}"/>
    <cellStyle name="20% - Accent4 6 2 3 5 3" xfId="19192" xr:uid="{00000000-0005-0000-0000-00006C1C0000}"/>
    <cellStyle name="20% - Accent4 6 2 3 6" xfId="9089" xr:uid="{00000000-0005-0000-0000-00006D1C0000}"/>
    <cellStyle name="20% - Accent4 6 2 3 6 2" xfId="23564" xr:uid="{00000000-0005-0000-0000-00006E1C0000}"/>
    <cellStyle name="20% - Accent4 6 2 3 7" xfId="19188" xr:uid="{00000000-0005-0000-0000-00006F1C0000}"/>
    <cellStyle name="20% - Accent4 6 2 4" xfId="1870" xr:uid="{00000000-0005-0000-0000-0000701C0000}"/>
    <cellStyle name="20% - Accent4 6 2 4 2" xfId="1871" xr:uid="{00000000-0005-0000-0000-0000711C0000}"/>
    <cellStyle name="20% - Accent4 6 2 4 2 2" xfId="14936" xr:uid="{00000000-0005-0000-0000-0000721C0000}"/>
    <cellStyle name="20% - Accent4 6 2 4 2 2 2" xfId="28485" xr:uid="{00000000-0005-0000-0000-0000731C0000}"/>
    <cellStyle name="20% - Accent4 6 2 4 2 3" xfId="19194" xr:uid="{00000000-0005-0000-0000-0000741C0000}"/>
    <cellStyle name="20% - Accent4 6 2 4 3" xfId="10811" xr:uid="{00000000-0005-0000-0000-0000751C0000}"/>
    <cellStyle name="20% - Accent4 6 2 4 3 2" xfId="24753" xr:uid="{00000000-0005-0000-0000-0000761C0000}"/>
    <cellStyle name="20% - Accent4 6 2 4 4" xfId="19193" xr:uid="{00000000-0005-0000-0000-0000771C0000}"/>
    <cellStyle name="20% - Accent4 6 2 5" xfId="1872" xr:uid="{00000000-0005-0000-0000-0000781C0000}"/>
    <cellStyle name="20% - Accent4 6 2 5 2" xfId="12072" xr:uid="{00000000-0005-0000-0000-0000791C0000}"/>
    <cellStyle name="20% - Accent4 6 2 5 2 2" xfId="25787" xr:uid="{00000000-0005-0000-0000-00007A1C0000}"/>
    <cellStyle name="20% - Accent4 6 2 5 3" xfId="19195" xr:uid="{00000000-0005-0000-0000-00007B1C0000}"/>
    <cellStyle name="20% - Accent4 6 2 6" xfId="1873" xr:uid="{00000000-0005-0000-0000-00007C1C0000}"/>
    <cellStyle name="20% - Accent4 6 2 6 2" xfId="12702" xr:uid="{00000000-0005-0000-0000-00007D1C0000}"/>
    <cellStyle name="20% - Accent4 6 2 6 2 2" xfId="26414" xr:uid="{00000000-0005-0000-0000-00007E1C0000}"/>
    <cellStyle name="20% - Accent4 6 2 6 3" xfId="19196" xr:uid="{00000000-0005-0000-0000-00007F1C0000}"/>
    <cellStyle name="20% - Accent4 6 2 7" xfId="1874" xr:uid="{00000000-0005-0000-0000-0000801C0000}"/>
    <cellStyle name="20% - Accent4 6 2 7 2" xfId="13647" xr:uid="{00000000-0005-0000-0000-0000811C0000}"/>
    <cellStyle name="20% - Accent4 6 2 7 2 2" xfId="27196" xr:uid="{00000000-0005-0000-0000-0000821C0000}"/>
    <cellStyle name="20% - Accent4 6 2 7 3" xfId="19197" xr:uid="{00000000-0005-0000-0000-0000831C0000}"/>
    <cellStyle name="20% - Accent4 6 2 8" xfId="1875" xr:uid="{00000000-0005-0000-0000-0000841C0000}"/>
    <cellStyle name="20% - Accent4 6 2 8 2" xfId="14228" xr:uid="{00000000-0005-0000-0000-0000851C0000}"/>
    <cellStyle name="20% - Accent4 6 2 8 2 2" xfId="27777" xr:uid="{00000000-0005-0000-0000-0000861C0000}"/>
    <cellStyle name="20% - Accent4 6 2 8 3" xfId="19198" xr:uid="{00000000-0005-0000-0000-0000871C0000}"/>
    <cellStyle name="20% - Accent4 6 2 9" xfId="1876" xr:uid="{00000000-0005-0000-0000-0000881C0000}"/>
    <cellStyle name="20% - Accent4 6 2 9 2" xfId="14931" xr:uid="{00000000-0005-0000-0000-0000891C0000}"/>
    <cellStyle name="20% - Accent4 6 2 9 2 2" xfId="28480" xr:uid="{00000000-0005-0000-0000-00008A1C0000}"/>
    <cellStyle name="20% - Accent4 6 2 9 3" xfId="19199" xr:uid="{00000000-0005-0000-0000-00008B1C0000}"/>
    <cellStyle name="20% - Accent4 6 3" xfId="1877" xr:uid="{00000000-0005-0000-0000-00008C1C0000}"/>
    <cellStyle name="20% - Accent4 6 3 10" xfId="9090" xr:uid="{00000000-0005-0000-0000-00008D1C0000}"/>
    <cellStyle name="20% - Accent4 6 3 10 2" xfId="23565" xr:uid="{00000000-0005-0000-0000-00008E1C0000}"/>
    <cellStyle name="20% - Accent4 6 3 11" xfId="19200" xr:uid="{00000000-0005-0000-0000-00008F1C0000}"/>
    <cellStyle name="20% - Accent4 6 3 2" xfId="1878" xr:uid="{00000000-0005-0000-0000-0000901C0000}"/>
    <cellStyle name="20% - Accent4 6 3 2 2" xfId="1879" xr:uid="{00000000-0005-0000-0000-0000911C0000}"/>
    <cellStyle name="20% - Accent4 6 3 2 2 2" xfId="10816" xr:uid="{00000000-0005-0000-0000-0000921C0000}"/>
    <cellStyle name="20% - Accent4 6 3 2 2 2 2" xfId="24758" xr:uid="{00000000-0005-0000-0000-0000931C0000}"/>
    <cellStyle name="20% - Accent4 6 3 2 2 3" xfId="19202" xr:uid="{00000000-0005-0000-0000-0000941C0000}"/>
    <cellStyle name="20% - Accent4 6 3 2 3" xfId="1880" xr:uid="{00000000-0005-0000-0000-0000951C0000}"/>
    <cellStyle name="20% - Accent4 6 3 2 3 2" xfId="12401" xr:uid="{00000000-0005-0000-0000-0000961C0000}"/>
    <cellStyle name="20% - Accent4 6 3 2 3 2 2" xfId="26113" xr:uid="{00000000-0005-0000-0000-0000971C0000}"/>
    <cellStyle name="20% - Accent4 6 3 2 3 3" xfId="19203" xr:uid="{00000000-0005-0000-0000-0000981C0000}"/>
    <cellStyle name="20% - Accent4 6 3 2 4" xfId="1881" xr:uid="{00000000-0005-0000-0000-0000991C0000}"/>
    <cellStyle name="20% - Accent4 6 3 2 4 2" xfId="14938" xr:uid="{00000000-0005-0000-0000-00009A1C0000}"/>
    <cellStyle name="20% - Accent4 6 3 2 4 2 2" xfId="28487" xr:uid="{00000000-0005-0000-0000-00009B1C0000}"/>
    <cellStyle name="20% - Accent4 6 3 2 4 3" xfId="19204" xr:uid="{00000000-0005-0000-0000-00009C1C0000}"/>
    <cellStyle name="20% - Accent4 6 3 2 5" xfId="1882" xr:uid="{00000000-0005-0000-0000-00009D1C0000}"/>
    <cellStyle name="20% - Accent4 6 3 2 5 2" xfId="16841" xr:uid="{00000000-0005-0000-0000-00009E1C0000}"/>
    <cellStyle name="20% - Accent4 6 3 2 5 2 2" xfId="30248" xr:uid="{00000000-0005-0000-0000-00009F1C0000}"/>
    <cellStyle name="20% - Accent4 6 3 2 5 3" xfId="19205" xr:uid="{00000000-0005-0000-0000-0000A01C0000}"/>
    <cellStyle name="20% - Accent4 6 3 2 6" xfId="9091" xr:uid="{00000000-0005-0000-0000-0000A11C0000}"/>
    <cellStyle name="20% - Accent4 6 3 2 6 2" xfId="23566" xr:uid="{00000000-0005-0000-0000-0000A21C0000}"/>
    <cellStyle name="20% - Accent4 6 3 2 7" xfId="19201" xr:uid="{00000000-0005-0000-0000-0000A31C0000}"/>
    <cellStyle name="20% - Accent4 6 3 3" xfId="1883" xr:uid="{00000000-0005-0000-0000-0000A41C0000}"/>
    <cellStyle name="20% - Accent4 6 3 3 2" xfId="1884" xr:uid="{00000000-0005-0000-0000-0000A51C0000}"/>
    <cellStyle name="20% - Accent4 6 3 3 2 2" xfId="14939" xr:uid="{00000000-0005-0000-0000-0000A61C0000}"/>
    <cellStyle name="20% - Accent4 6 3 3 2 2 2" xfId="28488" xr:uid="{00000000-0005-0000-0000-0000A71C0000}"/>
    <cellStyle name="20% - Accent4 6 3 3 2 3" xfId="19207" xr:uid="{00000000-0005-0000-0000-0000A81C0000}"/>
    <cellStyle name="20% - Accent4 6 3 3 3" xfId="10815" xr:uid="{00000000-0005-0000-0000-0000A91C0000}"/>
    <cellStyle name="20% - Accent4 6 3 3 3 2" xfId="24757" xr:uid="{00000000-0005-0000-0000-0000AA1C0000}"/>
    <cellStyle name="20% - Accent4 6 3 3 4" xfId="19206" xr:uid="{00000000-0005-0000-0000-0000AB1C0000}"/>
    <cellStyle name="20% - Accent4 6 3 4" xfId="1885" xr:uid="{00000000-0005-0000-0000-0000AC1C0000}"/>
    <cellStyle name="20% - Accent4 6 3 4 2" xfId="12229" xr:uid="{00000000-0005-0000-0000-0000AD1C0000}"/>
    <cellStyle name="20% - Accent4 6 3 4 2 2" xfId="25941" xr:uid="{00000000-0005-0000-0000-0000AE1C0000}"/>
    <cellStyle name="20% - Accent4 6 3 4 3" xfId="19208" xr:uid="{00000000-0005-0000-0000-0000AF1C0000}"/>
    <cellStyle name="20% - Accent4 6 3 5" xfId="1886" xr:uid="{00000000-0005-0000-0000-0000B01C0000}"/>
    <cellStyle name="20% - Accent4 6 3 5 2" xfId="11788" xr:uid="{00000000-0005-0000-0000-0000B11C0000}"/>
    <cellStyle name="20% - Accent4 6 3 5 2 2" xfId="25503" xr:uid="{00000000-0005-0000-0000-0000B21C0000}"/>
    <cellStyle name="20% - Accent4 6 3 5 3" xfId="19209" xr:uid="{00000000-0005-0000-0000-0000B31C0000}"/>
    <cellStyle name="20% - Accent4 6 3 6" xfId="1887" xr:uid="{00000000-0005-0000-0000-0000B41C0000}"/>
    <cellStyle name="20% - Accent4 6 3 6 2" xfId="13793" xr:uid="{00000000-0005-0000-0000-0000B51C0000}"/>
    <cellStyle name="20% - Accent4 6 3 6 2 2" xfId="27342" xr:uid="{00000000-0005-0000-0000-0000B61C0000}"/>
    <cellStyle name="20% - Accent4 6 3 6 3" xfId="19210" xr:uid="{00000000-0005-0000-0000-0000B71C0000}"/>
    <cellStyle name="20% - Accent4 6 3 7" xfId="1888" xr:uid="{00000000-0005-0000-0000-0000B81C0000}"/>
    <cellStyle name="20% - Accent4 6 3 7 2" xfId="14374" xr:uid="{00000000-0005-0000-0000-0000B91C0000}"/>
    <cellStyle name="20% - Accent4 6 3 7 2 2" xfId="27923" xr:uid="{00000000-0005-0000-0000-0000BA1C0000}"/>
    <cellStyle name="20% - Accent4 6 3 7 3" xfId="19211" xr:uid="{00000000-0005-0000-0000-0000BB1C0000}"/>
    <cellStyle name="20% - Accent4 6 3 8" xfId="1889" xr:uid="{00000000-0005-0000-0000-0000BC1C0000}"/>
    <cellStyle name="20% - Accent4 6 3 8 2" xfId="14937" xr:uid="{00000000-0005-0000-0000-0000BD1C0000}"/>
    <cellStyle name="20% - Accent4 6 3 8 2 2" xfId="28486" xr:uid="{00000000-0005-0000-0000-0000BE1C0000}"/>
    <cellStyle name="20% - Accent4 6 3 8 3" xfId="19212" xr:uid="{00000000-0005-0000-0000-0000BF1C0000}"/>
    <cellStyle name="20% - Accent4 6 3 9" xfId="1890" xr:uid="{00000000-0005-0000-0000-0000C01C0000}"/>
    <cellStyle name="20% - Accent4 6 3 9 2" xfId="16260" xr:uid="{00000000-0005-0000-0000-0000C11C0000}"/>
    <cellStyle name="20% - Accent4 6 3 9 2 2" xfId="29667" xr:uid="{00000000-0005-0000-0000-0000C21C0000}"/>
    <cellStyle name="20% - Accent4 6 3 9 3" xfId="19213" xr:uid="{00000000-0005-0000-0000-0000C31C0000}"/>
    <cellStyle name="20% - Accent4 6 4" xfId="1891" xr:uid="{00000000-0005-0000-0000-0000C41C0000}"/>
    <cellStyle name="20% - Accent4 6 4 2" xfId="1892" xr:uid="{00000000-0005-0000-0000-0000C51C0000}"/>
    <cellStyle name="20% - Accent4 6 4 2 2" xfId="10817" xr:uid="{00000000-0005-0000-0000-0000C61C0000}"/>
    <cellStyle name="20% - Accent4 6 4 2 2 2" xfId="24759" xr:uid="{00000000-0005-0000-0000-0000C71C0000}"/>
    <cellStyle name="20% - Accent4 6 4 2 3" xfId="19215" xr:uid="{00000000-0005-0000-0000-0000C81C0000}"/>
    <cellStyle name="20% - Accent4 6 4 3" xfId="1893" xr:uid="{00000000-0005-0000-0000-0000C91C0000}"/>
    <cellStyle name="20% - Accent4 6 4 3 2" xfId="12106" xr:uid="{00000000-0005-0000-0000-0000CA1C0000}"/>
    <cellStyle name="20% - Accent4 6 4 3 2 2" xfId="25818" xr:uid="{00000000-0005-0000-0000-0000CB1C0000}"/>
    <cellStyle name="20% - Accent4 6 4 3 3" xfId="19216" xr:uid="{00000000-0005-0000-0000-0000CC1C0000}"/>
    <cellStyle name="20% - Accent4 6 4 4" xfId="1894" xr:uid="{00000000-0005-0000-0000-0000CD1C0000}"/>
    <cellStyle name="20% - Accent4 6 4 4 2" xfId="14940" xr:uid="{00000000-0005-0000-0000-0000CE1C0000}"/>
    <cellStyle name="20% - Accent4 6 4 4 2 2" xfId="28489" xr:uid="{00000000-0005-0000-0000-0000CF1C0000}"/>
    <cellStyle name="20% - Accent4 6 4 4 3" xfId="19217" xr:uid="{00000000-0005-0000-0000-0000D01C0000}"/>
    <cellStyle name="20% - Accent4 6 4 5" xfId="1895" xr:uid="{00000000-0005-0000-0000-0000D11C0000}"/>
    <cellStyle name="20% - Accent4 6 4 5 2" xfId="16552" xr:uid="{00000000-0005-0000-0000-0000D21C0000}"/>
    <cellStyle name="20% - Accent4 6 4 5 2 2" xfId="29959" xr:uid="{00000000-0005-0000-0000-0000D31C0000}"/>
    <cellStyle name="20% - Accent4 6 4 5 3" xfId="19218" xr:uid="{00000000-0005-0000-0000-0000D41C0000}"/>
    <cellStyle name="20% - Accent4 6 4 6" xfId="9092" xr:uid="{00000000-0005-0000-0000-0000D51C0000}"/>
    <cellStyle name="20% - Accent4 6 4 6 2" xfId="23567" xr:uid="{00000000-0005-0000-0000-0000D61C0000}"/>
    <cellStyle name="20% - Accent4 6 4 7" xfId="19214" xr:uid="{00000000-0005-0000-0000-0000D71C0000}"/>
    <cellStyle name="20% - Accent4 6 5" xfId="1896" xr:uid="{00000000-0005-0000-0000-0000D81C0000}"/>
    <cellStyle name="20% - Accent4 6 5 2" xfId="1897" xr:uid="{00000000-0005-0000-0000-0000D91C0000}"/>
    <cellStyle name="20% - Accent4 6 5 2 2" xfId="14941" xr:uid="{00000000-0005-0000-0000-0000DA1C0000}"/>
    <cellStyle name="20% - Accent4 6 5 2 2 2" xfId="28490" xr:uid="{00000000-0005-0000-0000-0000DB1C0000}"/>
    <cellStyle name="20% - Accent4 6 5 2 3" xfId="19220" xr:uid="{00000000-0005-0000-0000-0000DC1C0000}"/>
    <cellStyle name="20% - Accent4 6 5 3" xfId="10810" xr:uid="{00000000-0005-0000-0000-0000DD1C0000}"/>
    <cellStyle name="20% - Accent4 6 5 3 2" xfId="24752" xr:uid="{00000000-0005-0000-0000-0000DE1C0000}"/>
    <cellStyle name="20% - Accent4 6 5 4" xfId="19219" xr:uid="{00000000-0005-0000-0000-0000DF1C0000}"/>
    <cellStyle name="20% - Accent4 6 6" xfId="1898" xr:uid="{00000000-0005-0000-0000-0000E01C0000}"/>
    <cellStyle name="20% - Accent4 6 6 2" xfId="11927" xr:uid="{00000000-0005-0000-0000-0000E11C0000}"/>
    <cellStyle name="20% - Accent4 6 6 2 2" xfId="25642" xr:uid="{00000000-0005-0000-0000-0000E21C0000}"/>
    <cellStyle name="20% - Accent4 6 6 3" xfId="19221" xr:uid="{00000000-0005-0000-0000-0000E31C0000}"/>
    <cellStyle name="20% - Accent4 6 7" xfId="1899" xr:uid="{00000000-0005-0000-0000-0000E41C0000}"/>
    <cellStyle name="20% - Accent4 6 7 2" xfId="12407" xr:uid="{00000000-0005-0000-0000-0000E51C0000}"/>
    <cellStyle name="20% - Accent4 6 7 2 2" xfId="26119" xr:uid="{00000000-0005-0000-0000-0000E61C0000}"/>
    <cellStyle name="20% - Accent4 6 7 3" xfId="19222" xr:uid="{00000000-0005-0000-0000-0000E71C0000}"/>
    <cellStyle name="20% - Accent4 6 8" xfId="1900" xr:uid="{00000000-0005-0000-0000-0000E81C0000}"/>
    <cellStyle name="20% - Accent4 6 8 2" xfId="13504" xr:uid="{00000000-0005-0000-0000-0000E91C0000}"/>
    <cellStyle name="20% - Accent4 6 8 2 2" xfId="27053" xr:uid="{00000000-0005-0000-0000-0000EA1C0000}"/>
    <cellStyle name="20% - Accent4 6 8 3" xfId="19223" xr:uid="{00000000-0005-0000-0000-0000EB1C0000}"/>
    <cellStyle name="20% - Accent4 6 9" xfId="1901" xr:uid="{00000000-0005-0000-0000-0000EC1C0000}"/>
    <cellStyle name="20% - Accent4 6 9 2" xfId="14085" xr:uid="{00000000-0005-0000-0000-0000ED1C0000}"/>
    <cellStyle name="20% - Accent4 6 9 2 2" xfId="27634" xr:uid="{00000000-0005-0000-0000-0000EE1C0000}"/>
    <cellStyle name="20% - Accent4 6 9 3" xfId="19224" xr:uid="{00000000-0005-0000-0000-0000EF1C0000}"/>
    <cellStyle name="20% - Accent4 7" xfId="1902" xr:uid="{00000000-0005-0000-0000-0000F01C0000}"/>
    <cellStyle name="20% - Accent4 7 10" xfId="1903" xr:uid="{00000000-0005-0000-0000-0000F11C0000}"/>
    <cellStyle name="20% - Accent4 7 10 2" xfId="15994" xr:uid="{00000000-0005-0000-0000-0000F21C0000}"/>
    <cellStyle name="20% - Accent4 7 10 2 2" xfId="29401" xr:uid="{00000000-0005-0000-0000-0000F31C0000}"/>
    <cellStyle name="20% - Accent4 7 10 3" xfId="19226" xr:uid="{00000000-0005-0000-0000-0000F41C0000}"/>
    <cellStyle name="20% - Accent4 7 11" xfId="9093" xr:uid="{00000000-0005-0000-0000-0000F51C0000}"/>
    <cellStyle name="20% - Accent4 7 11 2" xfId="23568" xr:uid="{00000000-0005-0000-0000-0000F61C0000}"/>
    <cellStyle name="20% - Accent4 7 12" xfId="19225" xr:uid="{00000000-0005-0000-0000-0000F71C0000}"/>
    <cellStyle name="20% - Accent4 7 2" xfId="1904" xr:uid="{00000000-0005-0000-0000-0000F81C0000}"/>
    <cellStyle name="20% - Accent4 7 2 10" xfId="9094" xr:uid="{00000000-0005-0000-0000-0000F91C0000}"/>
    <cellStyle name="20% - Accent4 7 2 10 2" xfId="23569" xr:uid="{00000000-0005-0000-0000-0000FA1C0000}"/>
    <cellStyle name="20% - Accent4 7 2 11" xfId="19227" xr:uid="{00000000-0005-0000-0000-0000FB1C0000}"/>
    <cellStyle name="20% - Accent4 7 2 2" xfId="1905" xr:uid="{00000000-0005-0000-0000-0000FC1C0000}"/>
    <cellStyle name="20% - Accent4 7 2 2 2" xfId="1906" xr:uid="{00000000-0005-0000-0000-0000FD1C0000}"/>
    <cellStyle name="20% - Accent4 7 2 2 2 2" xfId="10820" xr:uid="{00000000-0005-0000-0000-0000FE1C0000}"/>
    <cellStyle name="20% - Accent4 7 2 2 2 2 2" xfId="24762" xr:uid="{00000000-0005-0000-0000-0000FF1C0000}"/>
    <cellStyle name="20% - Accent4 7 2 2 2 3" xfId="19229" xr:uid="{00000000-0005-0000-0000-0000001D0000}"/>
    <cellStyle name="20% - Accent4 7 2 2 3" xfId="1907" xr:uid="{00000000-0005-0000-0000-0000011D0000}"/>
    <cellStyle name="20% - Accent4 7 2 2 3 2" xfId="12411" xr:uid="{00000000-0005-0000-0000-0000021D0000}"/>
    <cellStyle name="20% - Accent4 7 2 2 3 2 2" xfId="26123" xr:uid="{00000000-0005-0000-0000-0000031D0000}"/>
    <cellStyle name="20% - Accent4 7 2 2 3 3" xfId="19230" xr:uid="{00000000-0005-0000-0000-0000041D0000}"/>
    <cellStyle name="20% - Accent4 7 2 2 4" xfId="1908" xr:uid="{00000000-0005-0000-0000-0000051D0000}"/>
    <cellStyle name="20% - Accent4 7 2 2 4 2" xfId="14944" xr:uid="{00000000-0005-0000-0000-0000061D0000}"/>
    <cellStyle name="20% - Accent4 7 2 2 4 2 2" xfId="28493" xr:uid="{00000000-0005-0000-0000-0000071D0000}"/>
    <cellStyle name="20% - Accent4 7 2 2 4 3" xfId="19231" xr:uid="{00000000-0005-0000-0000-0000081D0000}"/>
    <cellStyle name="20% - Accent4 7 2 2 5" xfId="1909" xr:uid="{00000000-0005-0000-0000-0000091D0000}"/>
    <cellStyle name="20% - Accent4 7 2 2 5 2" xfId="16864" xr:uid="{00000000-0005-0000-0000-00000A1D0000}"/>
    <cellStyle name="20% - Accent4 7 2 2 5 2 2" xfId="30271" xr:uid="{00000000-0005-0000-0000-00000B1D0000}"/>
    <cellStyle name="20% - Accent4 7 2 2 5 3" xfId="19232" xr:uid="{00000000-0005-0000-0000-00000C1D0000}"/>
    <cellStyle name="20% - Accent4 7 2 2 6" xfId="9095" xr:uid="{00000000-0005-0000-0000-00000D1D0000}"/>
    <cellStyle name="20% - Accent4 7 2 2 6 2" xfId="23570" xr:uid="{00000000-0005-0000-0000-00000E1D0000}"/>
    <cellStyle name="20% - Accent4 7 2 2 7" xfId="19228" xr:uid="{00000000-0005-0000-0000-00000F1D0000}"/>
    <cellStyle name="20% - Accent4 7 2 3" xfId="1910" xr:uid="{00000000-0005-0000-0000-0000101D0000}"/>
    <cellStyle name="20% - Accent4 7 2 3 2" xfId="1911" xr:uid="{00000000-0005-0000-0000-0000111D0000}"/>
    <cellStyle name="20% - Accent4 7 2 3 2 2" xfId="14945" xr:uid="{00000000-0005-0000-0000-0000121D0000}"/>
    <cellStyle name="20% - Accent4 7 2 3 2 2 2" xfId="28494" xr:uid="{00000000-0005-0000-0000-0000131D0000}"/>
    <cellStyle name="20% - Accent4 7 2 3 2 3" xfId="19234" xr:uid="{00000000-0005-0000-0000-0000141D0000}"/>
    <cellStyle name="20% - Accent4 7 2 3 3" xfId="10819" xr:uid="{00000000-0005-0000-0000-0000151D0000}"/>
    <cellStyle name="20% - Accent4 7 2 3 3 2" xfId="24761" xr:uid="{00000000-0005-0000-0000-0000161D0000}"/>
    <cellStyle name="20% - Accent4 7 2 3 4" xfId="19233" xr:uid="{00000000-0005-0000-0000-0000171D0000}"/>
    <cellStyle name="20% - Accent4 7 2 4" xfId="1912" xr:uid="{00000000-0005-0000-0000-0000181D0000}"/>
    <cellStyle name="20% - Accent4 7 2 4 2" xfId="12252" xr:uid="{00000000-0005-0000-0000-0000191D0000}"/>
    <cellStyle name="20% - Accent4 7 2 4 2 2" xfId="25964" xr:uid="{00000000-0005-0000-0000-00001A1D0000}"/>
    <cellStyle name="20% - Accent4 7 2 4 3" xfId="19235" xr:uid="{00000000-0005-0000-0000-00001B1D0000}"/>
    <cellStyle name="20% - Accent4 7 2 5" xfId="1913" xr:uid="{00000000-0005-0000-0000-00001C1D0000}"/>
    <cellStyle name="20% - Accent4 7 2 5 2" xfId="12733" xr:uid="{00000000-0005-0000-0000-00001D1D0000}"/>
    <cellStyle name="20% - Accent4 7 2 5 2 2" xfId="26445" xr:uid="{00000000-0005-0000-0000-00001E1D0000}"/>
    <cellStyle name="20% - Accent4 7 2 5 3" xfId="19236" xr:uid="{00000000-0005-0000-0000-00001F1D0000}"/>
    <cellStyle name="20% - Accent4 7 2 6" xfId="1914" xr:uid="{00000000-0005-0000-0000-0000201D0000}"/>
    <cellStyle name="20% - Accent4 7 2 6 2" xfId="13816" xr:uid="{00000000-0005-0000-0000-0000211D0000}"/>
    <cellStyle name="20% - Accent4 7 2 6 2 2" xfId="27365" xr:uid="{00000000-0005-0000-0000-0000221D0000}"/>
    <cellStyle name="20% - Accent4 7 2 6 3" xfId="19237" xr:uid="{00000000-0005-0000-0000-0000231D0000}"/>
    <cellStyle name="20% - Accent4 7 2 7" xfId="1915" xr:uid="{00000000-0005-0000-0000-0000241D0000}"/>
    <cellStyle name="20% - Accent4 7 2 7 2" xfId="14397" xr:uid="{00000000-0005-0000-0000-0000251D0000}"/>
    <cellStyle name="20% - Accent4 7 2 7 2 2" xfId="27946" xr:uid="{00000000-0005-0000-0000-0000261D0000}"/>
    <cellStyle name="20% - Accent4 7 2 7 3" xfId="19238" xr:uid="{00000000-0005-0000-0000-0000271D0000}"/>
    <cellStyle name="20% - Accent4 7 2 8" xfId="1916" xr:uid="{00000000-0005-0000-0000-0000281D0000}"/>
    <cellStyle name="20% - Accent4 7 2 8 2" xfId="14943" xr:uid="{00000000-0005-0000-0000-0000291D0000}"/>
    <cellStyle name="20% - Accent4 7 2 8 2 2" xfId="28492" xr:uid="{00000000-0005-0000-0000-00002A1D0000}"/>
    <cellStyle name="20% - Accent4 7 2 8 3" xfId="19239" xr:uid="{00000000-0005-0000-0000-00002B1D0000}"/>
    <cellStyle name="20% - Accent4 7 2 9" xfId="1917" xr:uid="{00000000-0005-0000-0000-00002C1D0000}"/>
    <cellStyle name="20% - Accent4 7 2 9 2" xfId="16283" xr:uid="{00000000-0005-0000-0000-00002D1D0000}"/>
    <cellStyle name="20% - Accent4 7 2 9 2 2" xfId="29690" xr:uid="{00000000-0005-0000-0000-00002E1D0000}"/>
    <cellStyle name="20% - Accent4 7 2 9 3" xfId="19240" xr:uid="{00000000-0005-0000-0000-00002F1D0000}"/>
    <cellStyle name="20% - Accent4 7 3" xfId="1918" xr:uid="{00000000-0005-0000-0000-0000301D0000}"/>
    <cellStyle name="20% - Accent4 7 3 2" xfId="1919" xr:uid="{00000000-0005-0000-0000-0000311D0000}"/>
    <cellStyle name="20% - Accent4 7 3 2 2" xfId="10821" xr:uid="{00000000-0005-0000-0000-0000321D0000}"/>
    <cellStyle name="20% - Accent4 7 3 2 2 2" xfId="24763" xr:uid="{00000000-0005-0000-0000-0000331D0000}"/>
    <cellStyle name="20% - Accent4 7 3 2 3" xfId="19242" xr:uid="{00000000-0005-0000-0000-0000341D0000}"/>
    <cellStyle name="20% - Accent4 7 3 3" xfId="1920" xr:uid="{00000000-0005-0000-0000-0000351D0000}"/>
    <cellStyle name="20% - Accent4 7 3 3 2" xfId="12600" xr:uid="{00000000-0005-0000-0000-0000361D0000}"/>
    <cellStyle name="20% - Accent4 7 3 3 2 2" xfId="26312" xr:uid="{00000000-0005-0000-0000-0000371D0000}"/>
    <cellStyle name="20% - Accent4 7 3 3 3" xfId="19243" xr:uid="{00000000-0005-0000-0000-0000381D0000}"/>
    <cellStyle name="20% - Accent4 7 3 4" xfId="1921" xr:uid="{00000000-0005-0000-0000-0000391D0000}"/>
    <cellStyle name="20% - Accent4 7 3 4 2" xfId="14946" xr:uid="{00000000-0005-0000-0000-00003A1D0000}"/>
    <cellStyle name="20% - Accent4 7 3 4 2 2" xfId="28495" xr:uid="{00000000-0005-0000-0000-00003B1D0000}"/>
    <cellStyle name="20% - Accent4 7 3 4 3" xfId="19244" xr:uid="{00000000-0005-0000-0000-00003C1D0000}"/>
    <cellStyle name="20% - Accent4 7 3 5" xfId="1922" xr:uid="{00000000-0005-0000-0000-00003D1D0000}"/>
    <cellStyle name="20% - Accent4 7 3 5 2" xfId="16575" xr:uid="{00000000-0005-0000-0000-00003E1D0000}"/>
    <cellStyle name="20% - Accent4 7 3 5 2 2" xfId="29982" xr:uid="{00000000-0005-0000-0000-00003F1D0000}"/>
    <cellStyle name="20% - Accent4 7 3 5 3" xfId="19245" xr:uid="{00000000-0005-0000-0000-0000401D0000}"/>
    <cellStyle name="20% - Accent4 7 3 6" xfId="9096" xr:uid="{00000000-0005-0000-0000-0000411D0000}"/>
    <cellStyle name="20% - Accent4 7 3 6 2" xfId="23571" xr:uid="{00000000-0005-0000-0000-0000421D0000}"/>
    <cellStyle name="20% - Accent4 7 3 7" xfId="19241" xr:uid="{00000000-0005-0000-0000-0000431D0000}"/>
    <cellStyle name="20% - Accent4 7 4" xfId="1923" xr:uid="{00000000-0005-0000-0000-0000441D0000}"/>
    <cellStyle name="20% - Accent4 7 4 2" xfId="1924" xr:uid="{00000000-0005-0000-0000-0000451D0000}"/>
    <cellStyle name="20% - Accent4 7 4 2 2" xfId="14947" xr:uid="{00000000-0005-0000-0000-0000461D0000}"/>
    <cellStyle name="20% - Accent4 7 4 2 2 2" xfId="28496" xr:uid="{00000000-0005-0000-0000-0000471D0000}"/>
    <cellStyle name="20% - Accent4 7 4 2 3" xfId="19247" xr:uid="{00000000-0005-0000-0000-0000481D0000}"/>
    <cellStyle name="20% - Accent4 7 4 3" xfId="10818" xr:uid="{00000000-0005-0000-0000-0000491D0000}"/>
    <cellStyle name="20% - Accent4 7 4 3 2" xfId="24760" xr:uid="{00000000-0005-0000-0000-00004A1D0000}"/>
    <cellStyle name="20% - Accent4 7 4 4" xfId="19246" xr:uid="{00000000-0005-0000-0000-00004B1D0000}"/>
    <cellStyle name="20% - Accent4 7 5" xfId="1925" xr:uid="{00000000-0005-0000-0000-00004C1D0000}"/>
    <cellStyle name="20% - Accent4 7 5 2" xfId="11950" xr:uid="{00000000-0005-0000-0000-00004D1D0000}"/>
    <cellStyle name="20% - Accent4 7 5 2 2" xfId="25665" xr:uid="{00000000-0005-0000-0000-00004E1D0000}"/>
    <cellStyle name="20% - Accent4 7 5 3" xfId="19248" xr:uid="{00000000-0005-0000-0000-00004F1D0000}"/>
    <cellStyle name="20% - Accent4 7 6" xfId="1926" xr:uid="{00000000-0005-0000-0000-0000501D0000}"/>
    <cellStyle name="20% - Accent4 7 6 2" xfId="12761" xr:uid="{00000000-0005-0000-0000-0000511D0000}"/>
    <cellStyle name="20% - Accent4 7 6 2 2" xfId="26473" xr:uid="{00000000-0005-0000-0000-0000521D0000}"/>
    <cellStyle name="20% - Accent4 7 6 3" xfId="19249" xr:uid="{00000000-0005-0000-0000-0000531D0000}"/>
    <cellStyle name="20% - Accent4 7 7" xfId="1927" xr:uid="{00000000-0005-0000-0000-0000541D0000}"/>
    <cellStyle name="20% - Accent4 7 7 2" xfId="13527" xr:uid="{00000000-0005-0000-0000-0000551D0000}"/>
    <cellStyle name="20% - Accent4 7 7 2 2" xfId="27076" xr:uid="{00000000-0005-0000-0000-0000561D0000}"/>
    <cellStyle name="20% - Accent4 7 7 3" xfId="19250" xr:uid="{00000000-0005-0000-0000-0000571D0000}"/>
    <cellStyle name="20% - Accent4 7 8" xfId="1928" xr:uid="{00000000-0005-0000-0000-0000581D0000}"/>
    <cellStyle name="20% - Accent4 7 8 2" xfId="14108" xr:uid="{00000000-0005-0000-0000-0000591D0000}"/>
    <cellStyle name="20% - Accent4 7 8 2 2" xfId="27657" xr:uid="{00000000-0005-0000-0000-00005A1D0000}"/>
    <cellStyle name="20% - Accent4 7 8 3" xfId="19251" xr:uid="{00000000-0005-0000-0000-00005B1D0000}"/>
    <cellStyle name="20% - Accent4 7 9" xfId="1929" xr:uid="{00000000-0005-0000-0000-00005C1D0000}"/>
    <cellStyle name="20% - Accent4 7 9 2" xfId="14942" xr:uid="{00000000-0005-0000-0000-00005D1D0000}"/>
    <cellStyle name="20% - Accent4 7 9 2 2" xfId="28491" xr:uid="{00000000-0005-0000-0000-00005E1D0000}"/>
    <cellStyle name="20% - Accent4 7 9 3" xfId="19252" xr:uid="{00000000-0005-0000-0000-00005F1D0000}"/>
    <cellStyle name="20% - Accent4 8" xfId="1930" xr:uid="{00000000-0005-0000-0000-0000601D0000}"/>
    <cellStyle name="20% - Accent4 8 10" xfId="9097" xr:uid="{00000000-0005-0000-0000-0000611D0000}"/>
    <cellStyle name="20% - Accent4 8 10 2" xfId="23572" xr:uid="{00000000-0005-0000-0000-0000621D0000}"/>
    <cellStyle name="20% - Accent4 8 11" xfId="19253" xr:uid="{00000000-0005-0000-0000-0000631D0000}"/>
    <cellStyle name="20% - Accent4 8 2" xfId="1931" xr:uid="{00000000-0005-0000-0000-0000641D0000}"/>
    <cellStyle name="20% - Accent4 8 2 2" xfId="1932" xr:uid="{00000000-0005-0000-0000-0000651D0000}"/>
    <cellStyle name="20% - Accent4 8 2 2 2" xfId="10823" xr:uid="{00000000-0005-0000-0000-0000661D0000}"/>
    <cellStyle name="20% - Accent4 8 2 2 2 2" xfId="24765" xr:uid="{00000000-0005-0000-0000-0000671D0000}"/>
    <cellStyle name="20% - Accent4 8 2 2 3" xfId="19255" xr:uid="{00000000-0005-0000-0000-0000681D0000}"/>
    <cellStyle name="20% - Accent4 8 2 3" xfId="1933" xr:uid="{00000000-0005-0000-0000-0000691D0000}"/>
    <cellStyle name="20% - Accent4 8 2 3 2" xfId="12724" xr:uid="{00000000-0005-0000-0000-00006A1D0000}"/>
    <cellStyle name="20% - Accent4 8 2 3 2 2" xfId="26436" xr:uid="{00000000-0005-0000-0000-00006B1D0000}"/>
    <cellStyle name="20% - Accent4 8 2 3 3" xfId="19256" xr:uid="{00000000-0005-0000-0000-00006C1D0000}"/>
    <cellStyle name="20% - Accent4 8 2 4" xfId="1934" xr:uid="{00000000-0005-0000-0000-00006D1D0000}"/>
    <cellStyle name="20% - Accent4 8 2 4 2" xfId="14949" xr:uid="{00000000-0005-0000-0000-00006E1D0000}"/>
    <cellStyle name="20% - Accent4 8 2 4 2 2" xfId="28498" xr:uid="{00000000-0005-0000-0000-00006F1D0000}"/>
    <cellStyle name="20% - Accent4 8 2 4 3" xfId="19257" xr:uid="{00000000-0005-0000-0000-0000701D0000}"/>
    <cellStyle name="20% - Accent4 8 2 5" xfId="1935" xr:uid="{00000000-0005-0000-0000-0000711D0000}"/>
    <cellStyle name="20% - Accent4 8 2 5 2" xfId="16715" xr:uid="{00000000-0005-0000-0000-0000721D0000}"/>
    <cellStyle name="20% - Accent4 8 2 5 2 2" xfId="30122" xr:uid="{00000000-0005-0000-0000-0000731D0000}"/>
    <cellStyle name="20% - Accent4 8 2 5 3" xfId="19258" xr:uid="{00000000-0005-0000-0000-0000741D0000}"/>
    <cellStyle name="20% - Accent4 8 2 6" xfId="9098" xr:uid="{00000000-0005-0000-0000-0000751D0000}"/>
    <cellStyle name="20% - Accent4 8 2 6 2" xfId="23573" xr:uid="{00000000-0005-0000-0000-0000761D0000}"/>
    <cellStyle name="20% - Accent4 8 2 7" xfId="19254" xr:uid="{00000000-0005-0000-0000-0000771D0000}"/>
    <cellStyle name="20% - Accent4 8 3" xfId="1936" xr:uid="{00000000-0005-0000-0000-0000781D0000}"/>
    <cellStyle name="20% - Accent4 8 3 2" xfId="1937" xr:uid="{00000000-0005-0000-0000-0000791D0000}"/>
    <cellStyle name="20% - Accent4 8 3 2 2" xfId="14950" xr:uid="{00000000-0005-0000-0000-00007A1D0000}"/>
    <cellStyle name="20% - Accent4 8 3 2 2 2" xfId="28499" xr:uid="{00000000-0005-0000-0000-00007B1D0000}"/>
    <cellStyle name="20% - Accent4 8 3 2 3" xfId="19260" xr:uid="{00000000-0005-0000-0000-00007C1D0000}"/>
    <cellStyle name="20% - Accent4 8 3 3" xfId="10822" xr:uid="{00000000-0005-0000-0000-00007D1D0000}"/>
    <cellStyle name="20% - Accent4 8 3 3 2" xfId="24764" xr:uid="{00000000-0005-0000-0000-00007E1D0000}"/>
    <cellStyle name="20% - Accent4 8 3 4" xfId="19259" xr:uid="{00000000-0005-0000-0000-00007F1D0000}"/>
    <cellStyle name="20% - Accent4 8 4" xfId="1938" xr:uid="{00000000-0005-0000-0000-0000801D0000}"/>
    <cellStyle name="20% - Accent4 8 4 2" xfId="12093" xr:uid="{00000000-0005-0000-0000-0000811D0000}"/>
    <cellStyle name="20% - Accent4 8 4 2 2" xfId="25807" xr:uid="{00000000-0005-0000-0000-0000821D0000}"/>
    <cellStyle name="20% - Accent4 8 4 3" xfId="19261" xr:uid="{00000000-0005-0000-0000-0000831D0000}"/>
    <cellStyle name="20% - Accent4 8 5" xfId="1939" xr:uid="{00000000-0005-0000-0000-0000841D0000}"/>
    <cellStyle name="20% - Accent4 8 5 2" xfId="12500" xr:uid="{00000000-0005-0000-0000-0000851D0000}"/>
    <cellStyle name="20% - Accent4 8 5 2 2" xfId="26212" xr:uid="{00000000-0005-0000-0000-0000861D0000}"/>
    <cellStyle name="20% - Accent4 8 5 3" xfId="19262" xr:uid="{00000000-0005-0000-0000-0000871D0000}"/>
    <cellStyle name="20% - Accent4 8 6" xfId="1940" xr:uid="{00000000-0005-0000-0000-0000881D0000}"/>
    <cellStyle name="20% - Accent4 8 6 2" xfId="13667" xr:uid="{00000000-0005-0000-0000-0000891D0000}"/>
    <cellStyle name="20% - Accent4 8 6 2 2" xfId="27216" xr:uid="{00000000-0005-0000-0000-00008A1D0000}"/>
    <cellStyle name="20% - Accent4 8 6 3" xfId="19263" xr:uid="{00000000-0005-0000-0000-00008B1D0000}"/>
    <cellStyle name="20% - Accent4 8 7" xfId="1941" xr:uid="{00000000-0005-0000-0000-00008C1D0000}"/>
    <cellStyle name="20% - Accent4 8 7 2" xfId="14248" xr:uid="{00000000-0005-0000-0000-00008D1D0000}"/>
    <cellStyle name="20% - Accent4 8 7 2 2" xfId="27797" xr:uid="{00000000-0005-0000-0000-00008E1D0000}"/>
    <cellStyle name="20% - Accent4 8 7 3" xfId="19264" xr:uid="{00000000-0005-0000-0000-00008F1D0000}"/>
    <cellStyle name="20% - Accent4 8 8" xfId="1942" xr:uid="{00000000-0005-0000-0000-0000901D0000}"/>
    <cellStyle name="20% - Accent4 8 8 2" xfId="14948" xr:uid="{00000000-0005-0000-0000-0000911D0000}"/>
    <cellStyle name="20% - Accent4 8 8 2 2" xfId="28497" xr:uid="{00000000-0005-0000-0000-0000921D0000}"/>
    <cellStyle name="20% - Accent4 8 8 3" xfId="19265" xr:uid="{00000000-0005-0000-0000-0000931D0000}"/>
    <cellStyle name="20% - Accent4 8 9" xfId="1943" xr:uid="{00000000-0005-0000-0000-0000941D0000}"/>
    <cellStyle name="20% - Accent4 8 9 2" xfId="16134" xr:uid="{00000000-0005-0000-0000-0000951D0000}"/>
    <cellStyle name="20% - Accent4 8 9 2 2" xfId="29541" xr:uid="{00000000-0005-0000-0000-0000961D0000}"/>
    <cellStyle name="20% - Accent4 8 9 3" xfId="19266" xr:uid="{00000000-0005-0000-0000-0000971D0000}"/>
    <cellStyle name="20% - Accent4 9" xfId="1944" xr:uid="{00000000-0005-0000-0000-0000981D0000}"/>
    <cellStyle name="20% - Accent4 9 2" xfId="1945" xr:uid="{00000000-0005-0000-0000-0000991D0000}"/>
    <cellStyle name="20% - Accent4 9 2 2" xfId="10824" xr:uid="{00000000-0005-0000-0000-00009A1D0000}"/>
    <cellStyle name="20% - Accent4 9 2 2 2" xfId="24766" xr:uid="{00000000-0005-0000-0000-00009B1D0000}"/>
    <cellStyle name="20% - Accent4 9 2 3" xfId="19268" xr:uid="{00000000-0005-0000-0000-00009C1D0000}"/>
    <cellStyle name="20% - Accent4 9 3" xfId="1946" xr:uid="{00000000-0005-0000-0000-00009D1D0000}"/>
    <cellStyle name="20% - Accent4 9 3 2" xfId="12638" xr:uid="{00000000-0005-0000-0000-00009E1D0000}"/>
    <cellStyle name="20% - Accent4 9 3 2 2" xfId="26350" xr:uid="{00000000-0005-0000-0000-00009F1D0000}"/>
    <cellStyle name="20% - Accent4 9 3 3" xfId="19269" xr:uid="{00000000-0005-0000-0000-0000A01D0000}"/>
    <cellStyle name="20% - Accent4 9 4" xfId="1947" xr:uid="{00000000-0005-0000-0000-0000A11D0000}"/>
    <cellStyle name="20% - Accent4 9 4 2" xfId="14951" xr:uid="{00000000-0005-0000-0000-0000A21D0000}"/>
    <cellStyle name="20% - Accent4 9 4 2 2" xfId="28500" xr:uid="{00000000-0005-0000-0000-0000A31D0000}"/>
    <cellStyle name="20% - Accent4 9 4 3" xfId="19270" xr:uid="{00000000-0005-0000-0000-0000A41D0000}"/>
    <cellStyle name="20% - Accent4 9 5" xfId="1948" xr:uid="{00000000-0005-0000-0000-0000A51D0000}"/>
    <cellStyle name="20% - Accent4 9 5 2" xfId="17099" xr:uid="{00000000-0005-0000-0000-0000A61D0000}"/>
    <cellStyle name="20% - Accent4 9 5 2 2" xfId="30458" xr:uid="{00000000-0005-0000-0000-0000A71D0000}"/>
    <cellStyle name="20% - Accent4 9 5 3" xfId="19271" xr:uid="{00000000-0005-0000-0000-0000A81D0000}"/>
    <cellStyle name="20% - Accent4 9 6" xfId="9099" xr:uid="{00000000-0005-0000-0000-0000A91D0000}"/>
    <cellStyle name="20% - Accent4 9 6 2" xfId="23574" xr:uid="{00000000-0005-0000-0000-0000AA1D0000}"/>
    <cellStyle name="20% - Accent4 9 7" xfId="19267" xr:uid="{00000000-0005-0000-0000-0000AB1D0000}"/>
    <cellStyle name="20% - Accent5" xfId="43" builtinId="46" customBuiltin="1"/>
    <cellStyle name="20% - Accent5 10" xfId="1949" xr:uid="{00000000-0005-0000-0000-0000AD1D0000}"/>
    <cellStyle name="20% - Accent5 10 2" xfId="1950" xr:uid="{00000000-0005-0000-0000-0000AE1D0000}"/>
    <cellStyle name="20% - Accent5 10 2 2" xfId="12439" xr:uid="{00000000-0005-0000-0000-0000AF1D0000}"/>
    <cellStyle name="20% - Accent5 10 2 2 2" xfId="26151" xr:uid="{00000000-0005-0000-0000-0000B01D0000}"/>
    <cellStyle name="20% - Accent5 10 2 3" xfId="19274" xr:uid="{00000000-0005-0000-0000-0000B11D0000}"/>
    <cellStyle name="20% - Accent5 10 3" xfId="1951" xr:uid="{00000000-0005-0000-0000-0000B21D0000}"/>
    <cellStyle name="20% - Accent5 10 3 2" xfId="14952" xr:uid="{00000000-0005-0000-0000-0000B31D0000}"/>
    <cellStyle name="20% - Accent5 10 3 2 2" xfId="28501" xr:uid="{00000000-0005-0000-0000-0000B41D0000}"/>
    <cellStyle name="20% - Accent5 10 3 3" xfId="19275" xr:uid="{00000000-0005-0000-0000-0000B51D0000}"/>
    <cellStyle name="20% - Accent5 10 4" xfId="1952" xr:uid="{00000000-0005-0000-0000-0000B61D0000}"/>
    <cellStyle name="20% - Accent5 10 4 2" xfId="17189" xr:uid="{00000000-0005-0000-0000-0000B71D0000}"/>
    <cellStyle name="20% - Accent5 10 4 2 2" xfId="30548" xr:uid="{00000000-0005-0000-0000-0000B81D0000}"/>
    <cellStyle name="20% - Accent5 10 4 3" xfId="19276" xr:uid="{00000000-0005-0000-0000-0000B91D0000}"/>
    <cellStyle name="20% - Accent5 10 5" xfId="10507" xr:uid="{00000000-0005-0000-0000-0000BA1D0000}"/>
    <cellStyle name="20% - Accent5 10 5 2" xfId="24455" xr:uid="{00000000-0005-0000-0000-0000BB1D0000}"/>
    <cellStyle name="20% - Accent5 10 6" xfId="19273" xr:uid="{00000000-0005-0000-0000-0000BC1D0000}"/>
    <cellStyle name="20% - Accent5 11" xfId="1953" xr:uid="{00000000-0005-0000-0000-0000BD1D0000}"/>
    <cellStyle name="20% - Accent5 11 2" xfId="1954" xr:uid="{00000000-0005-0000-0000-0000BE1D0000}"/>
    <cellStyle name="20% - Accent5 11 2 2" xfId="12440" xr:uid="{00000000-0005-0000-0000-0000BF1D0000}"/>
    <cellStyle name="20% - Accent5 11 2 2 2" xfId="26152" xr:uid="{00000000-0005-0000-0000-0000C01D0000}"/>
    <cellStyle name="20% - Accent5 11 2 3" xfId="19278" xr:uid="{00000000-0005-0000-0000-0000C11D0000}"/>
    <cellStyle name="20% - Accent5 11 3" xfId="1955" xr:uid="{00000000-0005-0000-0000-0000C21D0000}"/>
    <cellStyle name="20% - Accent5 11 3 2" xfId="14953" xr:uid="{00000000-0005-0000-0000-0000C31D0000}"/>
    <cellStyle name="20% - Accent5 11 3 2 2" xfId="28502" xr:uid="{00000000-0005-0000-0000-0000C41D0000}"/>
    <cellStyle name="20% - Accent5 11 3 3" xfId="19279" xr:uid="{00000000-0005-0000-0000-0000C51D0000}"/>
    <cellStyle name="20% - Accent5 11 4" xfId="1956" xr:uid="{00000000-0005-0000-0000-0000C61D0000}"/>
    <cellStyle name="20% - Accent5 11 4 2" xfId="17278" xr:uid="{00000000-0005-0000-0000-0000C71D0000}"/>
    <cellStyle name="20% - Accent5 11 4 2 2" xfId="30637" xr:uid="{00000000-0005-0000-0000-0000C81D0000}"/>
    <cellStyle name="20% - Accent5 11 4 3" xfId="19280" xr:uid="{00000000-0005-0000-0000-0000C91D0000}"/>
    <cellStyle name="20% - Accent5 11 5" xfId="10825" xr:uid="{00000000-0005-0000-0000-0000CA1D0000}"/>
    <cellStyle name="20% - Accent5 11 5 2" xfId="24767" xr:uid="{00000000-0005-0000-0000-0000CB1D0000}"/>
    <cellStyle name="20% - Accent5 11 6" xfId="19277" xr:uid="{00000000-0005-0000-0000-0000CC1D0000}"/>
    <cellStyle name="20% - Accent5 12" xfId="1957" xr:uid="{00000000-0005-0000-0000-0000CD1D0000}"/>
    <cellStyle name="20% - Accent5 12 2" xfId="1958" xr:uid="{00000000-0005-0000-0000-0000CE1D0000}"/>
    <cellStyle name="20% - Accent5 12 2 2" xfId="16430" xr:uid="{00000000-0005-0000-0000-0000CF1D0000}"/>
    <cellStyle name="20% - Accent5 12 2 2 2" xfId="29837" xr:uid="{00000000-0005-0000-0000-0000D01D0000}"/>
    <cellStyle name="20% - Accent5 12 2 3" xfId="19282" xr:uid="{00000000-0005-0000-0000-0000D11D0000}"/>
    <cellStyle name="20% - Accent5 12 3" xfId="11743" xr:uid="{00000000-0005-0000-0000-0000D21D0000}"/>
    <cellStyle name="20% - Accent5 12 3 2" xfId="25458" xr:uid="{00000000-0005-0000-0000-0000D31D0000}"/>
    <cellStyle name="20% - Accent5 12 4" xfId="19281" xr:uid="{00000000-0005-0000-0000-0000D41D0000}"/>
    <cellStyle name="20% - Accent5 13" xfId="1959" xr:uid="{00000000-0005-0000-0000-0000D51D0000}"/>
    <cellStyle name="20% - Accent5 13 2" xfId="13382" xr:uid="{00000000-0005-0000-0000-0000D61D0000}"/>
    <cellStyle name="20% - Accent5 13 2 2" xfId="26931" xr:uid="{00000000-0005-0000-0000-0000D71D0000}"/>
    <cellStyle name="20% - Accent5 13 3" xfId="19283" xr:uid="{00000000-0005-0000-0000-0000D81D0000}"/>
    <cellStyle name="20% - Accent5 14" xfId="1960" xr:uid="{00000000-0005-0000-0000-0000D91D0000}"/>
    <cellStyle name="20% - Accent5 14 2" xfId="13963" xr:uid="{00000000-0005-0000-0000-0000DA1D0000}"/>
    <cellStyle name="20% - Accent5 14 2 2" xfId="27512" xr:uid="{00000000-0005-0000-0000-0000DB1D0000}"/>
    <cellStyle name="20% - Accent5 14 3" xfId="19284" xr:uid="{00000000-0005-0000-0000-0000DC1D0000}"/>
    <cellStyle name="20% - Accent5 15" xfId="1961" xr:uid="{00000000-0005-0000-0000-0000DD1D0000}"/>
    <cellStyle name="20% - Accent5 15 2" xfId="15836" xr:uid="{00000000-0005-0000-0000-0000DE1D0000}"/>
    <cellStyle name="20% - Accent5 15 2 2" xfId="29243" xr:uid="{00000000-0005-0000-0000-0000DF1D0000}"/>
    <cellStyle name="20% - Accent5 15 3" xfId="19285" xr:uid="{00000000-0005-0000-0000-0000E01D0000}"/>
    <cellStyle name="20% - Accent5 16" xfId="1962" xr:uid="{00000000-0005-0000-0000-0000E11D0000}"/>
    <cellStyle name="20% - Accent5 16 2" xfId="15849" xr:uid="{00000000-0005-0000-0000-0000E21D0000}"/>
    <cellStyle name="20% - Accent5 16 2 2" xfId="29256" xr:uid="{00000000-0005-0000-0000-0000E31D0000}"/>
    <cellStyle name="20% - Accent5 16 3" xfId="19286" xr:uid="{00000000-0005-0000-0000-0000E41D0000}"/>
    <cellStyle name="20% - Accent5 17" xfId="8818" xr:uid="{00000000-0005-0000-0000-0000E51D0000}"/>
    <cellStyle name="20% - Accent5 17 2" xfId="23294" xr:uid="{00000000-0005-0000-0000-0000E61D0000}"/>
    <cellStyle name="20% - Accent5 18" xfId="19272" xr:uid="{00000000-0005-0000-0000-0000E71D0000}"/>
    <cellStyle name="20% - Accent5 2" xfId="1963" xr:uid="{00000000-0005-0000-0000-0000E81D0000}"/>
    <cellStyle name="20% - Accent5 2 10" xfId="1964" xr:uid="{00000000-0005-0000-0000-0000E91D0000}"/>
    <cellStyle name="20% - Accent5 2 10 2" xfId="15910" xr:uid="{00000000-0005-0000-0000-0000EA1D0000}"/>
    <cellStyle name="20% - Accent5 2 10 2 2" xfId="29317" xr:uid="{00000000-0005-0000-0000-0000EB1D0000}"/>
    <cellStyle name="20% - Accent5 2 10 3" xfId="19288" xr:uid="{00000000-0005-0000-0000-0000EC1D0000}"/>
    <cellStyle name="20% - Accent5 2 11" xfId="9100" xr:uid="{00000000-0005-0000-0000-0000ED1D0000}"/>
    <cellStyle name="20% - Accent5 2 11 2" xfId="23575" xr:uid="{00000000-0005-0000-0000-0000EE1D0000}"/>
    <cellStyle name="20% - Accent5 2 12" xfId="19287" xr:uid="{00000000-0005-0000-0000-0000EF1D0000}"/>
    <cellStyle name="20% - Accent5 2 13" xfId="33078" xr:uid="{00000000-0005-0000-0000-0000F01D0000}"/>
    <cellStyle name="20% - Accent5 2 2" xfId="1965" xr:uid="{00000000-0005-0000-0000-0000F11D0000}"/>
    <cellStyle name="20% - Accent5 2 2 10" xfId="19289" xr:uid="{00000000-0005-0000-0000-0000F21D0000}"/>
    <cellStyle name="20% - Accent5 2 2 2" xfId="1966" xr:uid="{00000000-0005-0000-0000-0000F31D0000}"/>
    <cellStyle name="20% - Accent5 2 2 2 2" xfId="1967" xr:uid="{00000000-0005-0000-0000-0000F41D0000}"/>
    <cellStyle name="20% - Accent5 2 2 2 2 2" xfId="1968" xr:uid="{00000000-0005-0000-0000-0000F51D0000}"/>
    <cellStyle name="20% - Accent5 2 2 2 2 2 2" xfId="1969" xr:uid="{00000000-0005-0000-0000-0000F61D0000}"/>
    <cellStyle name="20% - Accent5 2 2 2 2 2 2 2" xfId="16969" xr:uid="{00000000-0005-0000-0000-0000F71D0000}"/>
    <cellStyle name="20% - Accent5 2 2 2 2 2 2 2 2" xfId="30376" xr:uid="{00000000-0005-0000-0000-0000F81D0000}"/>
    <cellStyle name="20% - Accent5 2 2 2 2 2 2 3" xfId="19293" xr:uid="{00000000-0005-0000-0000-0000F91D0000}"/>
    <cellStyle name="20% - Accent5 2 2 2 2 2 3" xfId="10829" xr:uid="{00000000-0005-0000-0000-0000FA1D0000}"/>
    <cellStyle name="20% - Accent5 2 2 2 2 2 3 2" xfId="24771" xr:uid="{00000000-0005-0000-0000-0000FB1D0000}"/>
    <cellStyle name="20% - Accent5 2 2 2 2 2 4" xfId="19292" xr:uid="{00000000-0005-0000-0000-0000FC1D0000}"/>
    <cellStyle name="20% - Accent5 2 2 2 2 3" xfId="1970" xr:uid="{00000000-0005-0000-0000-0000FD1D0000}"/>
    <cellStyle name="20% - Accent5 2 2 2 2 3 2" xfId="12357" xr:uid="{00000000-0005-0000-0000-0000FE1D0000}"/>
    <cellStyle name="20% - Accent5 2 2 2 2 3 2 2" xfId="26069" xr:uid="{00000000-0005-0000-0000-0000FF1D0000}"/>
    <cellStyle name="20% - Accent5 2 2 2 2 3 3" xfId="19294" xr:uid="{00000000-0005-0000-0000-0000001E0000}"/>
    <cellStyle name="20% - Accent5 2 2 2 2 4" xfId="1971" xr:uid="{00000000-0005-0000-0000-0000011E0000}"/>
    <cellStyle name="20% - Accent5 2 2 2 2 4 2" xfId="13921" xr:uid="{00000000-0005-0000-0000-0000021E0000}"/>
    <cellStyle name="20% - Accent5 2 2 2 2 4 2 2" xfId="27470" xr:uid="{00000000-0005-0000-0000-0000031E0000}"/>
    <cellStyle name="20% - Accent5 2 2 2 2 4 3" xfId="19295" xr:uid="{00000000-0005-0000-0000-0000041E0000}"/>
    <cellStyle name="20% - Accent5 2 2 2 2 5" xfId="1972" xr:uid="{00000000-0005-0000-0000-0000051E0000}"/>
    <cellStyle name="20% - Accent5 2 2 2 2 5 2" xfId="14502" xr:uid="{00000000-0005-0000-0000-0000061E0000}"/>
    <cellStyle name="20% - Accent5 2 2 2 2 5 2 2" xfId="28051" xr:uid="{00000000-0005-0000-0000-0000071E0000}"/>
    <cellStyle name="20% - Accent5 2 2 2 2 5 3" xfId="19296" xr:uid="{00000000-0005-0000-0000-0000081E0000}"/>
    <cellStyle name="20% - Accent5 2 2 2 2 6" xfId="1973" xr:uid="{00000000-0005-0000-0000-0000091E0000}"/>
    <cellStyle name="20% - Accent5 2 2 2 2 6 2" xfId="16388" xr:uid="{00000000-0005-0000-0000-00000A1E0000}"/>
    <cellStyle name="20% - Accent5 2 2 2 2 6 2 2" xfId="29795" xr:uid="{00000000-0005-0000-0000-00000B1E0000}"/>
    <cellStyle name="20% - Accent5 2 2 2 2 6 3" xfId="19297" xr:uid="{00000000-0005-0000-0000-00000C1E0000}"/>
    <cellStyle name="20% - Accent5 2 2 2 2 7" xfId="9103" xr:uid="{00000000-0005-0000-0000-00000D1E0000}"/>
    <cellStyle name="20% - Accent5 2 2 2 2 7 2" xfId="23578" xr:uid="{00000000-0005-0000-0000-00000E1E0000}"/>
    <cellStyle name="20% - Accent5 2 2 2 2 8" xfId="19291" xr:uid="{00000000-0005-0000-0000-00000F1E0000}"/>
    <cellStyle name="20% - Accent5 2 2 2 3" xfId="1974" xr:uid="{00000000-0005-0000-0000-0000101E0000}"/>
    <cellStyle name="20% - Accent5 2 2 2 3 2" xfId="1975" xr:uid="{00000000-0005-0000-0000-0000111E0000}"/>
    <cellStyle name="20% - Accent5 2 2 2 3 2 2" xfId="16680" xr:uid="{00000000-0005-0000-0000-0000121E0000}"/>
    <cellStyle name="20% - Accent5 2 2 2 3 2 2 2" xfId="30087" xr:uid="{00000000-0005-0000-0000-0000131E0000}"/>
    <cellStyle name="20% - Accent5 2 2 2 3 2 3" xfId="19299" xr:uid="{00000000-0005-0000-0000-0000141E0000}"/>
    <cellStyle name="20% - Accent5 2 2 2 3 3" xfId="10828" xr:uid="{00000000-0005-0000-0000-0000151E0000}"/>
    <cellStyle name="20% - Accent5 2 2 2 3 3 2" xfId="24770" xr:uid="{00000000-0005-0000-0000-0000161E0000}"/>
    <cellStyle name="20% - Accent5 2 2 2 3 4" xfId="19298" xr:uid="{00000000-0005-0000-0000-0000171E0000}"/>
    <cellStyle name="20% - Accent5 2 2 2 4" xfId="1976" xr:uid="{00000000-0005-0000-0000-0000181E0000}"/>
    <cellStyle name="20% - Accent5 2 2 2 4 2" xfId="12057" xr:uid="{00000000-0005-0000-0000-0000191E0000}"/>
    <cellStyle name="20% - Accent5 2 2 2 4 2 2" xfId="25772" xr:uid="{00000000-0005-0000-0000-00001A1E0000}"/>
    <cellStyle name="20% - Accent5 2 2 2 4 3" xfId="19300" xr:uid="{00000000-0005-0000-0000-00001B1E0000}"/>
    <cellStyle name="20% - Accent5 2 2 2 5" xfId="1977" xr:uid="{00000000-0005-0000-0000-00001C1E0000}"/>
    <cellStyle name="20% - Accent5 2 2 2 5 2" xfId="13632" xr:uid="{00000000-0005-0000-0000-00001D1E0000}"/>
    <cellStyle name="20% - Accent5 2 2 2 5 2 2" xfId="27181" xr:uid="{00000000-0005-0000-0000-00001E1E0000}"/>
    <cellStyle name="20% - Accent5 2 2 2 5 3" xfId="19301" xr:uid="{00000000-0005-0000-0000-00001F1E0000}"/>
    <cellStyle name="20% - Accent5 2 2 2 6" xfId="1978" xr:uid="{00000000-0005-0000-0000-0000201E0000}"/>
    <cellStyle name="20% - Accent5 2 2 2 6 2" xfId="14213" xr:uid="{00000000-0005-0000-0000-0000211E0000}"/>
    <cellStyle name="20% - Accent5 2 2 2 6 2 2" xfId="27762" xr:uid="{00000000-0005-0000-0000-0000221E0000}"/>
    <cellStyle name="20% - Accent5 2 2 2 6 3" xfId="19302" xr:uid="{00000000-0005-0000-0000-0000231E0000}"/>
    <cellStyle name="20% - Accent5 2 2 2 7" xfId="1979" xr:uid="{00000000-0005-0000-0000-0000241E0000}"/>
    <cellStyle name="20% - Accent5 2 2 2 7 2" xfId="16099" xr:uid="{00000000-0005-0000-0000-0000251E0000}"/>
    <cellStyle name="20% - Accent5 2 2 2 7 2 2" xfId="29506" xr:uid="{00000000-0005-0000-0000-0000261E0000}"/>
    <cellStyle name="20% - Accent5 2 2 2 7 3" xfId="19303" xr:uid="{00000000-0005-0000-0000-0000271E0000}"/>
    <cellStyle name="20% - Accent5 2 2 2 8" xfId="9102" xr:uid="{00000000-0005-0000-0000-0000281E0000}"/>
    <cellStyle name="20% - Accent5 2 2 2 8 2" xfId="23577" xr:uid="{00000000-0005-0000-0000-0000291E0000}"/>
    <cellStyle name="20% - Accent5 2 2 2 9" xfId="19290" xr:uid="{00000000-0005-0000-0000-00002A1E0000}"/>
    <cellStyle name="20% - Accent5 2 2 3" xfId="1980" xr:uid="{00000000-0005-0000-0000-00002B1E0000}"/>
    <cellStyle name="20% - Accent5 2 2 3 2" xfId="1981" xr:uid="{00000000-0005-0000-0000-00002C1E0000}"/>
    <cellStyle name="20% - Accent5 2 2 3 2 2" xfId="1982" xr:uid="{00000000-0005-0000-0000-00002D1E0000}"/>
    <cellStyle name="20% - Accent5 2 2 3 2 2 2" xfId="16826" xr:uid="{00000000-0005-0000-0000-00002E1E0000}"/>
    <cellStyle name="20% - Accent5 2 2 3 2 2 2 2" xfId="30233" xr:uid="{00000000-0005-0000-0000-00002F1E0000}"/>
    <cellStyle name="20% - Accent5 2 2 3 2 2 3" xfId="19306" xr:uid="{00000000-0005-0000-0000-0000301E0000}"/>
    <cellStyle name="20% - Accent5 2 2 3 2 3" xfId="10830" xr:uid="{00000000-0005-0000-0000-0000311E0000}"/>
    <cellStyle name="20% - Accent5 2 2 3 2 3 2" xfId="24772" xr:uid="{00000000-0005-0000-0000-0000321E0000}"/>
    <cellStyle name="20% - Accent5 2 2 3 2 4" xfId="19305" xr:uid="{00000000-0005-0000-0000-0000331E0000}"/>
    <cellStyle name="20% - Accent5 2 2 3 3" xfId="1983" xr:uid="{00000000-0005-0000-0000-0000341E0000}"/>
    <cellStyle name="20% - Accent5 2 2 3 3 2" xfId="12214" xr:uid="{00000000-0005-0000-0000-0000351E0000}"/>
    <cellStyle name="20% - Accent5 2 2 3 3 2 2" xfId="25926" xr:uid="{00000000-0005-0000-0000-0000361E0000}"/>
    <cellStyle name="20% - Accent5 2 2 3 3 3" xfId="19307" xr:uid="{00000000-0005-0000-0000-0000371E0000}"/>
    <cellStyle name="20% - Accent5 2 2 3 4" xfId="1984" xr:uid="{00000000-0005-0000-0000-0000381E0000}"/>
    <cellStyle name="20% - Accent5 2 2 3 4 2" xfId="13778" xr:uid="{00000000-0005-0000-0000-0000391E0000}"/>
    <cellStyle name="20% - Accent5 2 2 3 4 2 2" xfId="27327" xr:uid="{00000000-0005-0000-0000-00003A1E0000}"/>
    <cellStyle name="20% - Accent5 2 2 3 4 3" xfId="19308" xr:uid="{00000000-0005-0000-0000-00003B1E0000}"/>
    <cellStyle name="20% - Accent5 2 2 3 5" xfId="1985" xr:uid="{00000000-0005-0000-0000-00003C1E0000}"/>
    <cellStyle name="20% - Accent5 2 2 3 5 2" xfId="14359" xr:uid="{00000000-0005-0000-0000-00003D1E0000}"/>
    <cellStyle name="20% - Accent5 2 2 3 5 2 2" xfId="27908" xr:uid="{00000000-0005-0000-0000-00003E1E0000}"/>
    <cellStyle name="20% - Accent5 2 2 3 5 3" xfId="19309" xr:uid="{00000000-0005-0000-0000-00003F1E0000}"/>
    <cellStyle name="20% - Accent5 2 2 3 6" xfId="1986" xr:uid="{00000000-0005-0000-0000-0000401E0000}"/>
    <cellStyle name="20% - Accent5 2 2 3 6 2" xfId="16245" xr:uid="{00000000-0005-0000-0000-0000411E0000}"/>
    <cellStyle name="20% - Accent5 2 2 3 6 2 2" xfId="29652" xr:uid="{00000000-0005-0000-0000-0000421E0000}"/>
    <cellStyle name="20% - Accent5 2 2 3 6 3" xfId="19310" xr:uid="{00000000-0005-0000-0000-0000431E0000}"/>
    <cellStyle name="20% - Accent5 2 2 3 7" xfId="9104" xr:uid="{00000000-0005-0000-0000-0000441E0000}"/>
    <cellStyle name="20% - Accent5 2 2 3 7 2" xfId="23579" xr:uid="{00000000-0005-0000-0000-0000451E0000}"/>
    <cellStyle name="20% - Accent5 2 2 3 8" xfId="19304" xr:uid="{00000000-0005-0000-0000-0000461E0000}"/>
    <cellStyle name="20% - Accent5 2 2 4" xfId="1987" xr:uid="{00000000-0005-0000-0000-0000471E0000}"/>
    <cellStyle name="20% - Accent5 2 2 4 2" xfId="1988" xr:uid="{00000000-0005-0000-0000-0000481E0000}"/>
    <cellStyle name="20% - Accent5 2 2 4 2 2" xfId="17173" xr:uid="{00000000-0005-0000-0000-0000491E0000}"/>
    <cellStyle name="20% - Accent5 2 2 4 2 2 2" xfId="30532" xr:uid="{00000000-0005-0000-0000-00004A1E0000}"/>
    <cellStyle name="20% - Accent5 2 2 4 2 3" xfId="19312" xr:uid="{00000000-0005-0000-0000-00004B1E0000}"/>
    <cellStyle name="20% - Accent5 2 2 4 3" xfId="10827" xr:uid="{00000000-0005-0000-0000-00004C1E0000}"/>
    <cellStyle name="20% - Accent5 2 2 4 3 2" xfId="24769" xr:uid="{00000000-0005-0000-0000-00004D1E0000}"/>
    <cellStyle name="20% - Accent5 2 2 4 4" xfId="19311" xr:uid="{00000000-0005-0000-0000-00004E1E0000}"/>
    <cellStyle name="20% - Accent5 2 2 5" xfId="1989" xr:uid="{00000000-0005-0000-0000-00004F1E0000}"/>
    <cellStyle name="20% - Accent5 2 2 5 2" xfId="1990" xr:uid="{00000000-0005-0000-0000-0000501E0000}"/>
    <cellStyle name="20% - Accent5 2 2 5 2 2" xfId="17262" xr:uid="{00000000-0005-0000-0000-0000511E0000}"/>
    <cellStyle name="20% - Accent5 2 2 5 2 2 2" xfId="30621" xr:uid="{00000000-0005-0000-0000-0000521E0000}"/>
    <cellStyle name="20% - Accent5 2 2 5 2 3" xfId="19314" xr:uid="{00000000-0005-0000-0000-0000531E0000}"/>
    <cellStyle name="20% - Accent5 2 2 5 3" xfId="11912" xr:uid="{00000000-0005-0000-0000-0000541E0000}"/>
    <cellStyle name="20% - Accent5 2 2 5 3 2" xfId="25627" xr:uid="{00000000-0005-0000-0000-0000551E0000}"/>
    <cellStyle name="20% - Accent5 2 2 5 4" xfId="19313" xr:uid="{00000000-0005-0000-0000-0000561E0000}"/>
    <cellStyle name="20% - Accent5 2 2 6" xfId="1991" xr:uid="{00000000-0005-0000-0000-0000571E0000}"/>
    <cellStyle name="20% - Accent5 2 2 6 2" xfId="1992" xr:uid="{00000000-0005-0000-0000-0000581E0000}"/>
    <cellStyle name="20% - Accent5 2 2 6 2 2" xfId="16537" xr:uid="{00000000-0005-0000-0000-0000591E0000}"/>
    <cellStyle name="20% - Accent5 2 2 6 2 2 2" xfId="29944" xr:uid="{00000000-0005-0000-0000-00005A1E0000}"/>
    <cellStyle name="20% - Accent5 2 2 6 2 3" xfId="19316" xr:uid="{00000000-0005-0000-0000-00005B1E0000}"/>
    <cellStyle name="20% - Accent5 2 2 6 3" xfId="13489" xr:uid="{00000000-0005-0000-0000-00005C1E0000}"/>
    <cellStyle name="20% - Accent5 2 2 6 3 2" xfId="27038" xr:uid="{00000000-0005-0000-0000-00005D1E0000}"/>
    <cellStyle name="20% - Accent5 2 2 6 4" xfId="19315" xr:uid="{00000000-0005-0000-0000-00005E1E0000}"/>
    <cellStyle name="20% - Accent5 2 2 7" xfId="1993" xr:uid="{00000000-0005-0000-0000-00005F1E0000}"/>
    <cellStyle name="20% - Accent5 2 2 7 2" xfId="14070" xr:uid="{00000000-0005-0000-0000-0000601E0000}"/>
    <cellStyle name="20% - Accent5 2 2 7 2 2" xfId="27619" xr:uid="{00000000-0005-0000-0000-0000611E0000}"/>
    <cellStyle name="20% - Accent5 2 2 7 3" xfId="19317" xr:uid="{00000000-0005-0000-0000-0000621E0000}"/>
    <cellStyle name="20% - Accent5 2 2 8" xfId="1994" xr:uid="{00000000-0005-0000-0000-0000631E0000}"/>
    <cellStyle name="20% - Accent5 2 2 8 2" xfId="15956" xr:uid="{00000000-0005-0000-0000-0000641E0000}"/>
    <cellStyle name="20% - Accent5 2 2 8 2 2" xfId="29363" xr:uid="{00000000-0005-0000-0000-0000651E0000}"/>
    <cellStyle name="20% - Accent5 2 2 8 3" xfId="19318" xr:uid="{00000000-0005-0000-0000-0000661E0000}"/>
    <cellStyle name="20% - Accent5 2 2 9" xfId="9101" xr:uid="{00000000-0005-0000-0000-0000671E0000}"/>
    <cellStyle name="20% - Accent5 2 2 9 2" xfId="23576" xr:uid="{00000000-0005-0000-0000-0000681E0000}"/>
    <cellStyle name="20% - Accent5 2 3" xfId="1995" xr:uid="{00000000-0005-0000-0000-0000691E0000}"/>
    <cellStyle name="20% - Accent5 2 3 2" xfId="1996" xr:uid="{00000000-0005-0000-0000-00006A1E0000}"/>
    <cellStyle name="20% - Accent5 2 3 2 2" xfId="1997" xr:uid="{00000000-0005-0000-0000-00006B1E0000}"/>
    <cellStyle name="20% - Accent5 2 3 2 2 2" xfId="1998" xr:uid="{00000000-0005-0000-0000-00006C1E0000}"/>
    <cellStyle name="20% - Accent5 2 3 2 2 2 2" xfId="16923" xr:uid="{00000000-0005-0000-0000-00006D1E0000}"/>
    <cellStyle name="20% - Accent5 2 3 2 2 2 2 2" xfId="30330" xr:uid="{00000000-0005-0000-0000-00006E1E0000}"/>
    <cellStyle name="20% - Accent5 2 3 2 2 2 3" xfId="19322" xr:uid="{00000000-0005-0000-0000-00006F1E0000}"/>
    <cellStyle name="20% - Accent5 2 3 2 2 3" xfId="10832" xr:uid="{00000000-0005-0000-0000-0000701E0000}"/>
    <cellStyle name="20% - Accent5 2 3 2 2 3 2" xfId="24774" xr:uid="{00000000-0005-0000-0000-0000711E0000}"/>
    <cellStyle name="20% - Accent5 2 3 2 2 4" xfId="19321" xr:uid="{00000000-0005-0000-0000-0000721E0000}"/>
    <cellStyle name="20% - Accent5 2 3 2 3" xfId="1999" xr:uid="{00000000-0005-0000-0000-0000731E0000}"/>
    <cellStyle name="20% - Accent5 2 3 2 3 2" xfId="12311" xr:uid="{00000000-0005-0000-0000-0000741E0000}"/>
    <cellStyle name="20% - Accent5 2 3 2 3 2 2" xfId="26023" xr:uid="{00000000-0005-0000-0000-0000751E0000}"/>
    <cellStyle name="20% - Accent5 2 3 2 3 3" xfId="19323" xr:uid="{00000000-0005-0000-0000-0000761E0000}"/>
    <cellStyle name="20% - Accent5 2 3 2 4" xfId="2000" xr:uid="{00000000-0005-0000-0000-0000771E0000}"/>
    <cellStyle name="20% - Accent5 2 3 2 4 2" xfId="13875" xr:uid="{00000000-0005-0000-0000-0000781E0000}"/>
    <cellStyle name="20% - Accent5 2 3 2 4 2 2" xfId="27424" xr:uid="{00000000-0005-0000-0000-0000791E0000}"/>
    <cellStyle name="20% - Accent5 2 3 2 4 3" xfId="19324" xr:uid="{00000000-0005-0000-0000-00007A1E0000}"/>
    <cellStyle name="20% - Accent5 2 3 2 5" xfId="2001" xr:uid="{00000000-0005-0000-0000-00007B1E0000}"/>
    <cellStyle name="20% - Accent5 2 3 2 5 2" xfId="14456" xr:uid="{00000000-0005-0000-0000-00007C1E0000}"/>
    <cellStyle name="20% - Accent5 2 3 2 5 2 2" xfId="28005" xr:uid="{00000000-0005-0000-0000-00007D1E0000}"/>
    <cellStyle name="20% - Accent5 2 3 2 5 3" xfId="19325" xr:uid="{00000000-0005-0000-0000-00007E1E0000}"/>
    <cellStyle name="20% - Accent5 2 3 2 6" xfId="2002" xr:uid="{00000000-0005-0000-0000-00007F1E0000}"/>
    <cellStyle name="20% - Accent5 2 3 2 6 2" xfId="16342" xr:uid="{00000000-0005-0000-0000-0000801E0000}"/>
    <cellStyle name="20% - Accent5 2 3 2 6 2 2" xfId="29749" xr:uid="{00000000-0005-0000-0000-0000811E0000}"/>
    <cellStyle name="20% - Accent5 2 3 2 6 3" xfId="19326" xr:uid="{00000000-0005-0000-0000-0000821E0000}"/>
    <cellStyle name="20% - Accent5 2 3 2 7" xfId="9106" xr:uid="{00000000-0005-0000-0000-0000831E0000}"/>
    <cellStyle name="20% - Accent5 2 3 2 7 2" xfId="23581" xr:uid="{00000000-0005-0000-0000-0000841E0000}"/>
    <cellStyle name="20% - Accent5 2 3 2 8" xfId="19320" xr:uid="{00000000-0005-0000-0000-0000851E0000}"/>
    <cellStyle name="20% - Accent5 2 3 3" xfId="2003" xr:uid="{00000000-0005-0000-0000-0000861E0000}"/>
    <cellStyle name="20% - Accent5 2 3 3 2" xfId="2004" xr:uid="{00000000-0005-0000-0000-0000871E0000}"/>
    <cellStyle name="20% - Accent5 2 3 3 2 2" xfId="16634" xr:uid="{00000000-0005-0000-0000-0000881E0000}"/>
    <cellStyle name="20% - Accent5 2 3 3 2 2 2" xfId="30041" xr:uid="{00000000-0005-0000-0000-0000891E0000}"/>
    <cellStyle name="20% - Accent5 2 3 3 2 3" xfId="19328" xr:uid="{00000000-0005-0000-0000-00008A1E0000}"/>
    <cellStyle name="20% - Accent5 2 3 3 3" xfId="10831" xr:uid="{00000000-0005-0000-0000-00008B1E0000}"/>
    <cellStyle name="20% - Accent5 2 3 3 3 2" xfId="24773" xr:uid="{00000000-0005-0000-0000-00008C1E0000}"/>
    <cellStyle name="20% - Accent5 2 3 3 4" xfId="19327" xr:uid="{00000000-0005-0000-0000-00008D1E0000}"/>
    <cellStyle name="20% - Accent5 2 3 4" xfId="2005" xr:uid="{00000000-0005-0000-0000-00008E1E0000}"/>
    <cellStyle name="20% - Accent5 2 3 4 2" xfId="12011" xr:uid="{00000000-0005-0000-0000-00008F1E0000}"/>
    <cellStyle name="20% - Accent5 2 3 4 2 2" xfId="25726" xr:uid="{00000000-0005-0000-0000-0000901E0000}"/>
    <cellStyle name="20% - Accent5 2 3 4 3" xfId="19329" xr:uid="{00000000-0005-0000-0000-0000911E0000}"/>
    <cellStyle name="20% - Accent5 2 3 5" xfId="2006" xr:uid="{00000000-0005-0000-0000-0000921E0000}"/>
    <cellStyle name="20% - Accent5 2 3 5 2" xfId="13586" xr:uid="{00000000-0005-0000-0000-0000931E0000}"/>
    <cellStyle name="20% - Accent5 2 3 5 2 2" xfId="27135" xr:uid="{00000000-0005-0000-0000-0000941E0000}"/>
    <cellStyle name="20% - Accent5 2 3 5 3" xfId="19330" xr:uid="{00000000-0005-0000-0000-0000951E0000}"/>
    <cellStyle name="20% - Accent5 2 3 6" xfId="2007" xr:uid="{00000000-0005-0000-0000-0000961E0000}"/>
    <cellStyle name="20% - Accent5 2 3 6 2" xfId="14167" xr:uid="{00000000-0005-0000-0000-0000971E0000}"/>
    <cellStyle name="20% - Accent5 2 3 6 2 2" xfId="27716" xr:uid="{00000000-0005-0000-0000-0000981E0000}"/>
    <cellStyle name="20% - Accent5 2 3 6 3" xfId="19331" xr:uid="{00000000-0005-0000-0000-0000991E0000}"/>
    <cellStyle name="20% - Accent5 2 3 7" xfId="2008" xr:uid="{00000000-0005-0000-0000-00009A1E0000}"/>
    <cellStyle name="20% - Accent5 2 3 7 2" xfId="16053" xr:uid="{00000000-0005-0000-0000-00009B1E0000}"/>
    <cellStyle name="20% - Accent5 2 3 7 2 2" xfId="29460" xr:uid="{00000000-0005-0000-0000-00009C1E0000}"/>
    <cellStyle name="20% - Accent5 2 3 7 3" xfId="19332" xr:uid="{00000000-0005-0000-0000-00009D1E0000}"/>
    <cellStyle name="20% - Accent5 2 3 8" xfId="9105" xr:uid="{00000000-0005-0000-0000-00009E1E0000}"/>
    <cellStyle name="20% - Accent5 2 3 8 2" xfId="23580" xr:uid="{00000000-0005-0000-0000-00009F1E0000}"/>
    <cellStyle name="20% - Accent5 2 3 9" xfId="19319" xr:uid="{00000000-0005-0000-0000-0000A01E0000}"/>
    <cellStyle name="20% - Accent5 2 4" xfId="2009" xr:uid="{00000000-0005-0000-0000-0000A11E0000}"/>
    <cellStyle name="20% - Accent5 2 4 2" xfId="2010" xr:uid="{00000000-0005-0000-0000-0000A21E0000}"/>
    <cellStyle name="20% - Accent5 2 4 2 2" xfId="2011" xr:uid="{00000000-0005-0000-0000-0000A31E0000}"/>
    <cellStyle name="20% - Accent5 2 4 2 2 2" xfId="16780" xr:uid="{00000000-0005-0000-0000-0000A41E0000}"/>
    <cellStyle name="20% - Accent5 2 4 2 2 2 2" xfId="30187" xr:uid="{00000000-0005-0000-0000-0000A51E0000}"/>
    <cellStyle name="20% - Accent5 2 4 2 2 3" xfId="19335" xr:uid="{00000000-0005-0000-0000-0000A61E0000}"/>
    <cellStyle name="20% - Accent5 2 4 2 3" xfId="10833" xr:uid="{00000000-0005-0000-0000-0000A71E0000}"/>
    <cellStyle name="20% - Accent5 2 4 2 3 2" xfId="24775" xr:uid="{00000000-0005-0000-0000-0000A81E0000}"/>
    <cellStyle name="20% - Accent5 2 4 2 4" xfId="19334" xr:uid="{00000000-0005-0000-0000-0000A91E0000}"/>
    <cellStyle name="20% - Accent5 2 4 3" xfId="2012" xr:uid="{00000000-0005-0000-0000-0000AA1E0000}"/>
    <cellStyle name="20% - Accent5 2 4 3 2" xfId="12168" xr:uid="{00000000-0005-0000-0000-0000AB1E0000}"/>
    <cellStyle name="20% - Accent5 2 4 3 2 2" xfId="25880" xr:uid="{00000000-0005-0000-0000-0000AC1E0000}"/>
    <cellStyle name="20% - Accent5 2 4 3 3" xfId="19336" xr:uid="{00000000-0005-0000-0000-0000AD1E0000}"/>
    <cellStyle name="20% - Accent5 2 4 4" xfId="2013" xr:uid="{00000000-0005-0000-0000-0000AE1E0000}"/>
    <cellStyle name="20% - Accent5 2 4 4 2" xfId="13732" xr:uid="{00000000-0005-0000-0000-0000AF1E0000}"/>
    <cellStyle name="20% - Accent5 2 4 4 2 2" xfId="27281" xr:uid="{00000000-0005-0000-0000-0000B01E0000}"/>
    <cellStyle name="20% - Accent5 2 4 4 3" xfId="19337" xr:uid="{00000000-0005-0000-0000-0000B11E0000}"/>
    <cellStyle name="20% - Accent5 2 4 5" xfId="2014" xr:uid="{00000000-0005-0000-0000-0000B21E0000}"/>
    <cellStyle name="20% - Accent5 2 4 5 2" xfId="14313" xr:uid="{00000000-0005-0000-0000-0000B31E0000}"/>
    <cellStyle name="20% - Accent5 2 4 5 2 2" xfId="27862" xr:uid="{00000000-0005-0000-0000-0000B41E0000}"/>
    <cellStyle name="20% - Accent5 2 4 5 3" xfId="19338" xr:uid="{00000000-0005-0000-0000-0000B51E0000}"/>
    <cellStyle name="20% - Accent5 2 4 6" xfId="2015" xr:uid="{00000000-0005-0000-0000-0000B61E0000}"/>
    <cellStyle name="20% - Accent5 2 4 6 2" xfId="16199" xr:uid="{00000000-0005-0000-0000-0000B71E0000}"/>
    <cellStyle name="20% - Accent5 2 4 6 2 2" xfId="29606" xr:uid="{00000000-0005-0000-0000-0000B81E0000}"/>
    <cellStyle name="20% - Accent5 2 4 6 3" xfId="19339" xr:uid="{00000000-0005-0000-0000-0000B91E0000}"/>
    <cellStyle name="20% - Accent5 2 4 7" xfId="9107" xr:uid="{00000000-0005-0000-0000-0000BA1E0000}"/>
    <cellStyle name="20% - Accent5 2 4 7 2" xfId="23582" xr:uid="{00000000-0005-0000-0000-0000BB1E0000}"/>
    <cellStyle name="20% - Accent5 2 4 8" xfId="19333" xr:uid="{00000000-0005-0000-0000-0000BC1E0000}"/>
    <cellStyle name="20% - Accent5 2 5" xfId="2016" xr:uid="{00000000-0005-0000-0000-0000BD1E0000}"/>
    <cellStyle name="20% - Accent5 2 5 2" xfId="2017" xr:uid="{00000000-0005-0000-0000-0000BE1E0000}"/>
    <cellStyle name="20% - Accent5 2 5 2 2" xfId="12639" xr:uid="{00000000-0005-0000-0000-0000BF1E0000}"/>
    <cellStyle name="20% - Accent5 2 5 2 2 2" xfId="26351" xr:uid="{00000000-0005-0000-0000-0000C01E0000}"/>
    <cellStyle name="20% - Accent5 2 5 2 3" xfId="19341" xr:uid="{00000000-0005-0000-0000-0000C11E0000}"/>
    <cellStyle name="20% - Accent5 2 5 3" xfId="2018" xr:uid="{00000000-0005-0000-0000-0000C21E0000}"/>
    <cellStyle name="20% - Accent5 2 5 3 2" xfId="14954" xr:uid="{00000000-0005-0000-0000-0000C31E0000}"/>
    <cellStyle name="20% - Accent5 2 5 3 2 2" xfId="28503" xr:uid="{00000000-0005-0000-0000-0000C41E0000}"/>
    <cellStyle name="20% - Accent5 2 5 3 3" xfId="19342" xr:uid="{00000000-0005-0000-0000-0000C51E0000}"/>
    <cellStyle name="20% - Accent5 2 5 4" xfId="2019" xr:uid="{00000000-0005-0000-0000-0000C61E0000}"/>
    <cellStyle name="20% - Accent5 2 5 4 2" xfId="17011" xr:uid="{00000000-0005-0000-0000-0000C71E0000}"/>
    <cellStyle name="20% - Accent5 2 5 4 2 2" xfId="30418" xr:uid="{00000000-0005-0000-0000-0000C81E0000}"/>
    <cellStyle name="20% - Accent5 2 5 4 3" xfId="19343" xr:uid="{00000000-0005-0000-0000-0000C91E0000}"/>
    <cellStyle name="20% - Accent5 2 5 5" xfId="10532" xr:uid="{00000000-0005-0000-0000-0000CA1E0000}"/>
    <cellStyle name="20% - Accent5 2 5 5 2" xfId="24474" xr:uid="{00000000-0005-0000-0000-0000CB1E0000}"/>
    <cellStyle name="20% - Accent5 2 5 6" xfId="19340" xr:uid="{00000000-0005-0000-0000-0000CC1E0000}"/>
    <cellStyle name="20% - Accent5 2 6" xfId="2020" xr:uid="{00000000-0005-0000-0000-0000CD1E0000}"/>
    <cellStyle name="20% - Accent5 2 6 2" xfId="2021" xr:uid="{00000000-0005-0000-0000-0000CE1E0000}"/>
    <cellStyle name="20% - Accent5 2 6 2 2" xfId="12521" xr:uid="{00000000-0005-0000-0000-0000CF1E0000}"/>
    <cellStyle name="20% - Accent5 2 6 2 2 2" xfId="26233" xr:uid="{00000000-0005-0000-0000-0000D01E0000}"/>
    <cellStyle name="20% - Accent5 2 6 2 3" xfId="19345" xr:uid="{00000000-0005-0000-0000-0000D11E0000}"/>
    <cellStyle name="20% - Accent5 2 6 3" xfId="2022" xr:uid="{00000000-0005-0000-0000-0000D21E0000}"/>
    <cellStyle name="20% - Accent5 2 6 3 2" xfId="14955" xr:uid="{00000000-0005-0000-0000-0000D31E0000}"/>
    <cellStyle name="20% - Accent5 2 6 3 2 2" xfId="28504" xr:uid="{00000000-0005-0000-0000-0000D41E0000}"/>
    <cellStyle name="20% - Accent5 2 6 3 3" xfId="19346" xr:uid="{00000000-0005-0000-0000-0000D51E0000}"/>
    <cellStyle name="20% - Accent5 2 6 4" xfId="2023" xr:uid="{00000000-0005-0000-0000-0000D61E0000}"/>
    <cellStyle name="20% - Accent5 2 6 4 2" xfId="17127" xr:uid="{00000000-0005-0000-0000-0000D71E0000}"/>
    <cellStyle name="20% - Accent5 2 6 4 2 2" xfId="30486" xr:uid="{00000000-0005-0000-0000-0000D81E0000}"/>
    <cellStyle name="20% - Accent5 2 6 4 3" xfId="19347" xr:uid="{00000000-0005-0000-0000-0000D91E0000}"/>
    <cellStyle name="20% - Accent5 2 6 5" xfId="10826" xr:uid="{00000000-0005-0000-0000-0000DA1E0000}"/>
    <cellStyle name="20% - Accent5 2 6 5 2" xfId="24768" xr:uid="{00000000-0005-0000-0000-0000DB1E0000}"/>
    <cellStyle name="20% - Accent5 2 6 6" xfId="19344" xr:uid="{00000000-0005-0000-0000-0000DC1E0000}"/>
    <cellStyle name="20% - Accent5 2 7" xfId="2024" xr:uid="{00000000-0005-0000-0000-0000DD1E0000}"/>
    <cellStyle name="20% - Accent5 2 7 2" xfId="2025" xr:uid="{00000000-0005-0000-0000-0000DE1E0000}"/>
    <cellStyle name="20% - Accent5 2 7 2 2" xfId="17216" xr:uid="{00000000-0005-0000-0000-0000DF1E0000}"/>
    <cellStyle name="20% - Accent5 2 7 2 2 2" xfId="30575" xr:uid="{00000000-0005-0000-0000-0000E01E0000}"/>
    <cellStyle name="20% - Accent5 2 7 2 3" xfId="19349" xr:uid="{00000000-0005-0000-0000-0000E11E0000}"/>
    <cellStyle name="20% - Accent5 2 7 3" xfId="11845" xr:uid="{00000000-0005-0000-0000-0000E21E0000}"/>
    <cellStyle name="20% - Accent5 2 7 3 2" xfId="25560" xr:uid="{00000000-0005-0000-0000-0000E31E0000}"/>
    <cellStyle name="20% - Accent5 2 7 4" xfId="19348" xr:uid="{00000000-0005-0000-0000-0000E41E0000}"/>
    <cellStyle name="20% - Accent5 2 8" xfId="2026" xr:uid="{00000000-0005-0000-0000-0000E51E0000}"/>
    <cellStyle name="20% - Accent5 2 8 2" xfId="2027" xr:uid="{00000000-0005-0000-0000-0000E61E0000}"/>
    <cellStyle name="20% - Accent5 2 8 2 2" xfId="16491" xr:uid="{00000000-0005-0000-0000-0000E71E0000}"/>
    <cellStyle name="20% - Accent5 2 8 2 2 2" xfId="29898" xr:uid="{00000000-0005-0000-0000-0000E81E0000}"/>
    <cellStyle name="20% - Accent5 2 8 2 3" xfId="19351" xr:uid="{00000000-0005-0000-0000-0000E91E0000}"/>
    <cellStyle name="20% - Accent5 2 8 3" xfId="13443" xr:uid="{00000000-0005-0000-0000-0000EA1E0000}"/>
    <cellStyle name="20% - Accent5 2 8 3 2" xfId="26992" xr:uid="{00000000-0005-0000-0000-0000EB1E0000}"/>
    <cellStyle name="20% - Accent5 2 8 4" xfId="19350" xr:uid="{00000000-0005-0000-0000-0000EC1E0000}"/>
    <cellStyle name="20% - Accent5 2 9" xfId="2028" xr:uid="{00000000-0005-0000-0000-0000ED1E0000}"/>
    <cellStyle name="20% - Accent5 2 9 2" xfId="14024" xr:uid="{00000000-0005-0000-0000-0000EE1E0000}"/>
    <cellStyle name="20% - Accent5 2 9 2 2" xfId="27573" xr:uid="{00000000-0005-0000-0000-0000EF1E0000}"/>
    <cellStyle name="20% - Accent5 2 9 3" xfId="19352" xr:uid="{00000000-0005-0000-0000-0000F01E0000}"/>
    <cellStyle name="20% - Accent5 3" xfId="2029" xr:uid="{00000000-0005-0000-0000-0000F11E0000}"/>
    <cellStyle name="20% - Accent5 3 10" xfId="19353" xr:uid="{00000000-0005-0000-0000-0000F21E0000}"/>
    <cellStyle name="20% - Accent5 3 2" xfId="2030" xr:uid="{00000000-0005-0000-0000-0000F31E0000}"/>
    <cellStyle name="20% - Accent5 3 2 2" xfId="2031" xr:uid="{00000000-0005-0000-0000-0000F41E0000}"/>
    <cellStyle name="20% - Accent5 3 2 2 2" xfId="2032" xr:uid="{00000000-0005-0000-0000-0000F51E0000}"/>
    <cellStyle name="20% - Accent5 3 2 2 2 2" xfId="2033" xr:uid="{00000000-0005-0000-0000-0000F61E0000}"/>
    <cellStyle name="20% - Accent5 3 2 2 2 2 2" xfId="16946" xr:uid="{00000000-0005-0000-0000-0000F71E0000}"/>
    <cellStyle name="20% - Accent5 3 2 2 2 2 2 2" xfId="30353" xr:uid="{00000000-0005-0000-0000-0000F81E0000}"/>
    <cellStyle name="20% - Accent5 3 2 2 2 2 3" xfId="19357" xr:uid="{00000000-0005-0000-0000-0000F91E0000}"/>
    <cellStyle name="20% - Accent5 3 2 2 2 3" xfId="10836" xr:uid="{00000000-0005-0000-0000-0000FA1E0000}"/>
    <cellStyle name="20% - Accent5 3 2 2 2 3 2" xfId="24778" xr:uid="{00000000-0005-0000-0000-0000FB1E0000}"/>
    <cellStyle name="20% - Accent5 3 2 2 2 4" xfId="19356" xr:uid="{00000000-0005-0000-0000-0000FC1E0000}"/>
    <cellStyle name="20% - Accent5 3 2 2 3" xfId="2034" xr:uid="{00000000-0005-0000-0000-0000FD1E0000}"/>
    <cellStyle name="20% - Accent5 3 2 2 3 2" xfId="12334" xr:uid="{00000000-0005-0000-0000-0000FE1E0000}"/>
    <cellStyle name="20% - Accent5 3 2 2 3 2 2" xfId="26046" xr:uid="{00000000-0005-0000-0000-0000FF1E0000}"/>
    <cellStyle name="20% - Accent5 3 2 2 3 3" xfId="19358" xr:uid="{00000000-0005-0000-0000-0000001F0000}"/>
    <cellStyle name="20% - Accent5 3 2 2 4" xfId="2035" xr:uid="{00000000-0005-0000-0000-0000011F0000}"/>
    <cellStyle name="20% - Accent5 3 2 2 4 2" xfId="13898" xr:uid="{00000000-0005-0000-0000-0000021F0000}"/>
    <cellStyle name="20% - Accent5 3 2 2 4 2 2" xfId="27447" xr:uid="{00000000-0005-0000-0000-0000031F0000}"/>
    <cellStyle name="20% - Accent5 3 2 2 4 3" xfId="19359" xr:uid="{00000000-0005-0000-0000-0000041F0000}"/>
    <cellStyle name="20% - Accent5 3 2 2 5" xfId="2036" xr:uid="{00000000-0005-0000-0000-0000051F0000}"/>
    <cellStyle name="20% - Accent5 3 2 2 5 2" xfId="14479" xr:uid="{00000000-0005-0000-0000-0000061F0000}"/>
    <cellStyle name="20% - Accent5 3 2 2 5 2 2" xfId="28028" xr:uid="{00000000-0005-0000-0000-0000071F0000}"/>
    <cellStyle name="20% - Accent5 3 2 2 5 3" xfId="19360" xr:uid="{00000000-0005-0000-0000-0000081F0000}"/>
    <cellStyle name="20% - Accent5 3 2 2 6" xfId="2037" xr:uid="{00000000-0005-0000-0000-0000091F0000}"/>
    <cellStyle name="20% - Accent5 3 2 2 6 2" xfId="16365" xr:uid="{00000000-0005-0000-0000-00000A1F0000}"/>
    <cellStyle name="20% - Accent5 3 2 2 6 2 2" xfId="29772" xr:uid="{00000000-0005-0000-0000-00000B1F0000}"/>
    <cellStyle name="20% - Accent5 3 2 2 6 3" xfId="19361" xr:uid="{00000000-0005-0000-0000-00000C1F0000}"/>
    <cellStyle name="20% - Accent5 3 2 2 7" xfId="9110" xr:uid="{00000000-0005-0000-0000-00000D1F0000}"/>
    <cellStyle name="20% - Accent5 3 2 2 7 2" xfId="23585" xr:uid="{00000000-0005-0000-0000-00000E1F0000}"/>
    <cellStyle name="20% - Accent5 3 2 2 8" xfId="19355" xr:uid="{00000000-0005-0000-0000-00000F1F0000}"/>
    <cellStyle name="20% - Accent5 3 2 3" xfId="2038" xr:uid="{00000000-0005-0000-0000-0000101F0000}"/>
    <cellStyle name="20% - Accent5 3 2 3 2" xfId="2039" xr:uid="{00000000-0005-0000-0000-0000111F0000}"/>
    <cellStyle name="20% - Accent5 3 2 3 2 2" xfId="16657" xr:uid="{00000000-0005-0000-0000-0000121F0000}"/>
    <cellStyle name="20% - Accent5 3 2 3 2 2 2" xfId="30064" xr:uid="{00000000-0005-0000-0000-0000131F0000}"/>
    <cellStyle name="20% - Accent5 3 2 3 2 3" xfId="19363" xr:uid="{00000000-0005-0000-0000-0000141F0000}"/>
    <cellStyle name="20% - Accent5 3 2 3 3" xfId="10835" xr:uid="{00000000-0005-0000-0000-0000151F0000}"/>
    <cellStyle name="20% - Accent5 3 2 3 3 2" xfId="24777" xr:uid="{00000000-0005-0000-0000-0000161F0000}"/>
    <cellStyle name="20% - Accent5 3 2 3 4" xfId="19362" xr:uid="{00000000-0005-0000-0000-0000171F0000}"/>
    <cellStyle name="20% - Accent5 3 2 4" xfId="2040" xr:uid="{00000000-0005-0000-0000-0000181F0000}"/>
    <cellStyle name="20% - Accent5 3 2 4 2" xfId="12034" xr:uid="{00000000-0005-0000-0000-0000191F0000}"/>
    <cellStyle name="20% - Accent5 3 2 4 2 2" xfId="25749" xr:uid="{00000000-0005-0000-0000-00001A1F0000}"/>
    <cellStyle name="20% - Accent5 3 2 4 3" xfId="19364" xr:uid="{00000000-0005-0000-0000-00001B1F0000}"/>
    <cellStyle name="20% - Accent5 3 2 5" xfId="2041" xr:uid="{00000000-0005-0000-0000-00001C1F0000}"/>
    <cellStyle name="20% - Accent5 3 2 5 2" xfId="13609" xr:uid="{00000000-0005-0000-0000-00001D1F0000}"/>
    <cellStyle name="20% - Accent5 3 2 5 2 2" xfId="27158" xr:uid="{00000000-0005-0000-0000-00001E1F0000}"/>
    <cellStyle name="20% - Accent5 3 2 5 3" xfId="19365" xr:uid="{00000000-0005-0000-0000-00001F1F0000}"/>
    <cellStyle name="20% - Accent5 3 2 6" xfId="2042" xr:uid="{00000000-0005-0000-0000-0000201F0000}"/>
    <cellStyle name="20% - Accent5 3 2 6 2" xfId="14190" xr:uid="{00000000-0005-0000-0000-0000211F0000}"/>
    <cellStyle name="20% - Accent5 3 2 6 2 2" xfId="27739" xr:uid="{00000000-0005-0000-0000-0000221F0000}"/>
    <cellStyle name="20% - Accent5 3 2 6 3" xfId="19366" xr:uid="{00000000-0005-0000-0000-0000231F0000}"/>
    <cellStyle name="20% - Accent5 3 2 7" xfId="2043" xr:uid="{00000000-0005-0000-0000-0000241F0000}"/>
    <cellStyle name="20% - Accent5 3 2 7 2" xfId="16076" xr:uid="{00000000-0005-0000-0000-0000251F0000}"/>
    <cellStyle name="20% - Accent5 3 2 7 2 2" xfId="29483" xr:uid="{00000000-0005-0000-0000-0000261F0000}"/>
    <cellStyle name="20% - Accent5 3 2 7 3" xfId="19367" xr:uid="{00000000-0005-0000-0000-0000271F0000}"/>
    <cellStyle name="20% - Accent5 3 2 8" xfId="9109" xr:uid="{00000000-0005-0000-0000-0000281F0000}"/>
    <cellStyle name="20% - Accent5 3 2 8 2" xfId="23584" xr:uid="{00000000-0005-0000-0000-0000291F0000}"/>
    <cellStyle name="20% - Accent5 3 2 9" xfId="19354" xr:uid="{00000000-0005-0000-0000-00002A1F0000}"/>
    <cellStyle name="20% - Accent5 3 3" xfId="2044" xr:uid="{00000000-0005-0000-0000-00002B1F0000}"/>
    <cellStyle name="20% - Accent5 3 3 2" xfId="2045" xr:uid="{00000000-0005-0000-0000-00002C1F0000}"/>
    <cellStyle name="20% - Accent5 3 3 2 2" xfId="2046" xr:uid="{00000000-0005-0000-0000-00002D1F0000}"/>
    <cellStyle name="20% - Accent5 3 3 2 2 2" xfId="16803" xr:uid="{00000000-0005-0000-0000-00002E1F0000}"/>
    <cellStyle name="20% - Accent5 3 3 2 2 2 2" xfId="30210" xr:uid="{00000000-0005-0000-0000-00002F1F0000}"/>
    <cellStyle name="20% - Accent5 3 3 2 2 3" xfId="19370" xr:uid="{00000000-0005-0000-0000-0000301F0000}"/>
    <cellStyle name="20% - Accent5 3 3 2 3" xfId="10837" xr:uid="{00000000-0005-0000-0000-0000311F0000}"/>
    <cellStyle name="20% - Accent5 3 3 2 3 2" xfId="24779" xr:uid="{00000000-0005-0000-0000-0000321F0000}"/>
    <cellStyle name="20% - Accent5 3 3 2 4" xfId="19369" xr:uid="{00000000-0005-0000-0000-0000331F0000}"/>
    <cellStyle name="20% - Accent5 3 3 3" xfId="2047" xr:uid="{00000000-0005-0000-0000-0000341F0000}"/>
    <cellStyle name="20% - Accent5 3 3 3 2" xfId="12191" xr:uid="{00000000-0005-0000-0000-0000351F0000}"/>
    <cellStyle name="20% - Accent5 3 3 3 2 2" xfId="25903" xr:uid="{00000000-0005-0000-0000-0000361F0000}"/>
    <cellStyle name="20% - Accent5 3 3 3 3" xfId="19371" xr:uid="{00000000-0005-0000-0000-0000371F0000}"/>
    <cellStyle name="20% - Accent5 3 3 4" xfId="2048" xr:uid="{00000000-0005-0000-0000-0000381F0000}"/>
    <cellStyle name="20% - Accent5 3 3 4 2" xfId="13755" xr:uid="{00000000-0005-0000-0000-0000391F0000}"/>
    <cellStyle name="20% - Accent5 3 3 4 2 2" xfId="27304" xr:uid="{00000000-0005-0000-0000-00003A1F0000}"/>
    <cellStyle name="20% - Accent5 3 3 4 3" xfId="19372" xr:uid="{00000000-0005-0000-0000-00003B1F0000}"/>
    <cellStyle name="20% - Accent5 3 3 5" xfId="2049" xr:uid="{00000000-0005-0000-0000-00003C1F0000}"/>
    <cellStyle name="20% - Accent5 3 3 5 2" xfId="14336" xr:uid="{00000000-0005-0000-0000-00003D1F0000}"/>
    <cellStyle name="20% - Accent5 3 3 5 2 2" xfId="27885" xr:uid="{00000000-0005-0000-0000-00003E1F0000}"/>
    <cellStyle name="20% - Accent5 3 3 5 3" xfId="19373" xr:uid="{00000000-0005-0000-0000-00003F1F0000}"/>
    <cellStyle name="20% - Accent5 3 3 6" xfId="2050" xr:uid="{00000000-0005-0000-0000-0000401F0000}"/>
    <cellStyle name="20% - Accent5 3 3 6 2" xfId="16222" xr:uid="{00000000-0005-0000-0000-0000411F0000}"/>
    <cellStyle name="20% - Accent5 3 3 6 2 2" xfId="29629" xr:uid="{00000000-0005-0000-0000-0000421F0000}"/>
    <cellStyle name="20% - Accent5 3 3 6 3" xfId="19374" xr:uid="{00000000-0005-0000-0000-0000431F0000}"/>
    <cellStyle name="20% - Accent5 3 3 7" xfId="9111" xr:uid="{00000000-0005-0000-0000-0000441F0000}"/>
    <cellStyle name="20% - Accent5 3 3 7 2" xfId="23586" xr:uid="{00000000-0005-0000-0000-0000451F0000}"/>
    <cellStyle name="20% - Accent5 3 3 8" xfId="19368" xr:uid="{00000000-0005-0000-0000-0000461F0000}"/>
    <cellStyle name="20% - Accent5 3 4" xfId="2051" xr:uid="{00000000-0005-0000-0000-0000471F0000}"/>
    <cellStyle name="20% - Accent5 3 4 2" xfId="2052" xr:uid="{00000000-0005-0000-0000-0000481F0000}"/>
    <cellStyle name="20% - Accent5 3 4 2 2" xfId="17150" xr:uid="{00000000-0005-0000-0000-0000491F0000}"/>
    <cellStyle name="20% - Accent5 3 4 2 2 2" xfId="30509" xr:uid="{00000000-0005-0000-0000-00004A1F0000}"/>
    <cellStyle name="20% - Accent5 3 4 2 3" xfId="19376" xr:uid="{00000000-0005-0000-0000-00004B1F0000}"/>
    <cellStyle name="20% - Accent5 3 4 3" xfId="10834" xr:uid="{00000000-0005-0000-0000-00004C1F0000}"/>
    <cellStyle name="20% - Accent5 3 4 3 2" xfId="24776" xr:uid="{00000000-0005-0000-0000-00004D1F0000}"/>
    <cellStyle name="20% - Accent5 3 4 4" xfId="19375" xr:uid="{00000000-0005-0000-0000-00004E1F0000}"/>
    <cellStyle name="20% - Accent5 3 5" xfId="2053" xr:uid="{00000000-0005-0000-0000-00004F1F0000}"/>
    <cellStyle name="20% - Accent5 3 5 2" xfId="2054" xr:uid="{00000000-0005-0000-0000-0000501F0000}"/>
    <cellStyle name="20% - Accent5 3 5 2 2" xfId="17239" xr:uid="{00000000-0005-0000-0000-0000511F0000}"/>
    <cellStyle name="20% - Accent5 3 5 2 2 2" xfId="30598" xr:uid="{00000000-0005-0000-0000-0000521F0000}"/>
    <cellStyle name="20% - Accent5 3 5 2 3" xfId="19378" xr:uid="{00000000-0005-0000-0000-0000531F0000}"/>
    <cellStyle name="20% - Accent5 3 5 3" xfId="11886" xr:uid="{00000000-0005-0000-0000-0000541F0000}"/>
    <cellStyle name="20% - Accent5 3 5 3 2" xfId="25601" xr:uid="{00000000-0005-0000-0000-0000551F0000}"/>
    <cellStyle name="20% - Accent5 3 5 4" xfId="19377" xr:uid="{00000000-0005-0000-0000-0000561F0000}"/>
    <cellStyle name="20% - Accent5 3 6" xfId="2055" xr:uid="{00000000-0005-0000-0000-0000571F0000}"/>
    <cellStyle name="20% - Accent5 3 6 2" xfId="2056" xr:uid="{00000000-0005-0000-0000-0000581F0000}"/>
    <cellStyle name="20% - Accent5 3 6 2 2" xfId="16514" xr:uid="{00000000-0005-0000-0000-0000591F0000}"/>
    <cellStyle name="20% - Accent5 3 6 2 2 2" xfId="29921" xr:uid="{00000000-0005-0000-0000-00005A1F0000}"/>
    <cellStyle name="20% - Accent5 3 6 2 3" xfId="19380" xr:uid="{00000000-0005-0000-0000-00005B1F0000}"/>
    <cellStyle name="20% - Accent5 3 6 3" xfId="13466" xr:uid="{00000000-0005-0000-0000-00005C1F0000}"/>
    <cellStyle name="20% - Accent5 3 6 3 2" xfId="27015" xr:uid="{00000000-0005-0000-0000-00005D1F0000}"/>
    <cellStyle name="20% - Accent5 3 6 4" xfId="19379" xr:uid="{00000000-0005-0000-0000-00005E1F0000}"/>
    <cellStyle name="20% - Accent5 3 7" xfId="2057" xr:uid="{00000000-0005-0000-0000-00005F1F0000}"/>
    <cellStyle name="20% - Accent5 3 7 2" xfId="14047" xr:uid="{00000000-0005-0000-0000-0000601F0000}"/>
    <cellStyle name="20% - Accent5 3 7 2 2" xfId="27596" xr:uid="{00000000-0005-0000-0000-0000611F0000}"/>
    <cellStyle name="20% - Accent5 3 7 3" xfId="19381" xr:uid="{00000000-0005-0000-0000-0000621F0000}"/>
    <cellStyle name="20% - Accent5 3 8" xfId="2058" xr:uid="{00000000-0005-0000-0000-0000631F0000}"/>
    <cellStyle name="20% - Accent5 3 8 2" xfId="15933" xr:uid="{00000000-0005-0000-0000-0000641F0000}"/>
    <cellStyle name="20% - Accent5 3 8 2 2" xfId="29340" xr:uid="{00000000-0005-0000-0000-0000651F0000}"/>
    <cellStyle name="20% - Accent5 3 8 3" xfId="19382" xr:uid="{00000000-0005-0000-0000-0000661F0000}"/>
    <cellStyle name="20% - Accent5 3 9" xfId="9108" xr:uid="{00000000-0005-0000-0000-0000671F0000}"/>
    <cellStyle name="20% - Accent5 3 9 2" xfId="23583" xr:uid="{00000000-0005-0000-0000-0000681F0000}"/>
    <cellStyle name="20% - Accent5 4" xfId="2059" xr:uid="{00000000-0005-0000-0000-0000691F0000}"/>
    <cellStyle name="20% - Accent5 4 10" xfId="19383" xr:uid="{00000000-0005-0000-0000-00006A1F0000}"/>
    <cellStyle name="20% - Accent5 4 2" xfId="2060" xr:uid="{00000000-0005-0000-0000-00006B1F0000}"/>
    <cellStyle name="20% - Accent5 4 2 2" xfId="2061" xr:uid="{00000000-0005-0000-0000-00006C1F0000}"/>
    <cellStyle name="20% - Accent5 4 2 2 2" xfId="2062" xr:uid="{00000000-0005-0000-0000-00006D1F0000}"/>
    <cellStyle name="20% - Accent5 4 2 2 2 2" xfId="2063" xr:uid="{00000000-0005-0000-0000-00006E1F0000}"/>
    <cellStyle name="20% - Accent5 4 2 2 2 2 2" xfId="16896" xr:uid="{00000000-0005-0000-0000-00006F1F0000}"/>
    <cellStyle name="20% - Accent5 4 2 2 2 2 2 2" xfId="30303" xr:uid="{00000000-0005-0000-0000-0000701F0000}"/>
    <cellStyle name="20% - Accent5 4 2 2 2 2 3" xfId="19387" xr:uid="{00000000-0005-0000-0000-0000711F0000}"/>
    <cellStyle name="20% - Accent5 4 2 2 2 3" xfId="10840" xr:uid="{00000000-0005-0000-0000-0000721F0000}"/>
    <cellStyle name="20% - Accent5 4 2 2 2 3 2" xfId="24782" xr:uid="{00000000-0005-0000-0000-0000731F0000}"/>
    <cellStyle name="20% - Accent5 4 2 2 2 4" xfId="19386" xr:uid="{00000000-0005-0000-0000-0000741F0000}"/>
    <cellStyle name="20% - Accent5 4 2 2 3" xfId="2064" xr:uid="{00000000-0005-0000-0000-0000751F0000}"/>
    <cellStyle name="20% - Accent5 4 2 2 3 2" xfId="12284" xr:uid="{00000000-0005-0000-0000-0000761F0000}"/>
    <cellStyle name="20% - Accent5 4 2 2 3 2 2" xfId="25996" xr:uid="{00000000-0005-0000-0000-0000771F0000}"/>
    <cellStyle name="20% - Accent5 4 2 2 3 3" xfId="19388" xr:uid="{00000000-0005-0000-0000-0000781F0000}"/>
    <cellStyle name="20% - Accent5 4 2 2 4" xfId="2065" xr:uid="{00000000-0005-0000-0000-0000791F0000}"/>
    <cellStyle name="20% - Accent5 4 2 2 4 2" xfId="13848" xr:uid="{00000000-0005-0000-0000-00007A1F0000}"/>
    <cellStyle name="20% - Accent5 4 2 2 4 2 2" xfId="27397" xr:uid="{00000000-0005-0000-0000-00007B1F0000}"/>
    <cellStyle name="20% - Accent5 4 2 2 4 3" xfId="19389" xr:uid="{00000000-0005-0000-0000-00007C1F0000}"/>
    <cellStyle name="20% - Accent5 4 2 2 5" xfId="2066" xr:uid="{00000000-0005-0000-0000-00007D1F0000}"/>
    <cellStyle name="20% - Accent5 4 2 2 5 2" xfId="14429" xr:uid="{00000000-0005-0000-0000-00007E1F0000}"/>
    <cellStyle name="20% - Accent5 4 2 2 5 2 2" xfId="27978" xr:uid="{00000000-0005-0000-0000-00007F1F0000}"/>
    <cellStyle name="20% - Accent5 4 2 2 5 3" xfId="19390" xr:uid="{00000000-0005-0000-0000-0000801F0000}"/>
    <cellStyle name="20% - Accent5 4 2 2 6" xfId="2067" xr:uid="{00000000-0005-0000-0000-0000811F0000}"/>
    <cellStyle name="20% - Accent5 4 2 2 6 2" xfId="16315" xr:uid="{00000000-0005-0000-0000-0000821F0000}"/>
    <cellStyle name="20% - Accent5 4 2 2 6 2 2" xfId="29722" xr:uid="{00000000-0005-0000-0000-0000831F0000}"/>
    <cellStyle name="20% - Accent5 4 2 2 6 3" xfId="19391" xr:uid="{00000000-0005-0000-0000-0000841F0000}"/>
    <cellStyle name="20% - Accent5 4 2 2 7" xfId="9114" xr:uid="{00000000-0005-0000-0000-0000851F0000}"/>
    <cellStyle name="20% - Accent5 4 2 2 7 2" xfId="23589" xr:uid="{00000000-0005-0000-0000-0000861F0000}"/>
    <cellStyle name="20% - Accent5 4 2 2 8" xfId="19385" xr:uid="{00000000-0005-0000-0000-0000871F0000}"/>
    <cellStyle name="20% - Accent5 4 2 3" xfId="2068" xr:uid="{00000000-0005-0000-0000-0000881F0000}"/>
    <cellStyle name="20% - Accent5 4 2 3 2" xfId="2069" xr:uid="{00000000-0005-0000-0000-0000891F0000}"/>
    <cellStyle name="20% - Accent5 4 2 3 2 2" xfId="16607" xr:uid="{00000000-0005-0000-0000-00008A1F0000}"/>
    <cellStyle name="20% - Accent5 4 2 3 2 2 2" xfId="30014" xr:uid="{00000000-0005-0000-0000-00008B1F0000}"/>
    <cellStyle name="20% - Accent5 4 2 3 2 3" xfId="19393" xr:uid="{00000000-0005-0000-0000-00008C1F0000}"/>
    <cellStyle name="20% - Accent5 4 2 3 3" xfId="10839" xr:uid="{00000000-0005-0000-0000-00008D1F0000}"/>
    <cellStyle name="20% - Accent5 4 2 3 3 2" xfId="24781" xr:uid="{00000000-0005-0000-0000-00008E1F0000}"/>
    <cellStyle name="20% - Accent5 4 2 3 4" xfId="19392" xr:uid="{00000000-0005-0000-0000-00008F1F0000}"/>
    <cellStyle name="20% - Accent5 4 2 4" xfId="2070" xr:uid="{00000000-0005-0000-0000-0000901F0000}"/>
    <cellStyle name="20% - Accent5 4 2 4 2" xfId="11984" xr:uid="{00000000-0005-0000-0000-0000911F0000}"/>
    <cellStyle name="20% - Accent5 4 2 4 2 2" xfId="25699" xr:uid="{00000000-0005-0000-0000-0000921F0000}"/>
    <cellStyle name="20% - Accent5 4 2 4 3" xfId="19394" xr:uid="{00000000-0005-0000-0000-0000931F0000}"/>
    <cellStyle name="20% - Accent5 4 2 5" xfId="2071" xr:uid="{00000000-0005-0000-0000-0000941F0000}"/>
    <cellStyle name="20% - Accent5 4 2 5 2" xfId="13559" xr:uid="{00000000-0005-0000-0000-0000951F0000}"/>
    <cellStyle name="20% - Accent5 4 2 5 2 2" xfId="27108" xr:uid="{00000000-0005-0000-0000-0000961F0000}"/>
    <cellStyle name="20% - Accent5 4 2 5 3" xfId="19395" xr:uid="{00000000-0005-0000-0000-0000971F0000}"/>
    <cellStyle name="20% - Accent5 4 2 6" xfId="2072" xr:uid="{00000000-0005-0000-0000-0000981F0000}"/>
    <cellStyle name="20% - Accent5 4 2 6 2" xfId="14140" xr:uid="{00000000-0005-0000-0000-0000991F0000}"/>
    <cellStyle name="20% - Accent5 4 2 6 2 2" xfId="27689" xr:uid="{00000000-0005-0000-0000-00009A1F0000}"/>
    <cellStyle name="20% - Accent5 4 2 6 3" xfId="19396" xr:uid="{00000000-0005-0000-0000-00009B1F0000}"/>
    <cellStyle name="20% - Accent5 4 2 7" xfId="2073" xr:uid="{00000000-0005-0000-0000-00009C1F0000}"/>
    <cellStyle name="20% - Accent5 4 2 7 2" xfId="16026" xr:uid="{00000000-0005-0000-0000-00009D1F0000}"/>
    <cellStyle name="20% - Accent5 4 2 7 2 2" xfId="29433" xr:uid="{00000000-0005-0000-0000-00009E1F0000}"/>
    <cellStyle name="20% - Accent5 4 2 7 3" xfId="19397" xr:uid="{00000000-0005-0000-0000-00009F1F0000}"/>
    <cellStyle name="20% - Accent5 4 2 8" xfId="9113" xr:uid="{00000000-0005-0000-0000-0000A01F0000}"/>
    <cellStyle name="20% - Accent5 4 2 8 2" xfId="23588" xr:uid="{00000000-0005-0000-0000-0000A11F0000}"/>
    <cellStyle name="20% - Accent5 4 2 9" xfId="19384" xr:uid="{00000000-0005-0000-0000-0000A21F0000}"/>
    <cellStyle name="20% - Accent5 4 3" xfId="2074" xr:uid="{00000000-0005-0000-0000-0000A31F0000}"/>
    <cellStyle name="20% - Accent5 4 3 2" xfId="2075" xr:uid="{00000000-0005-0000-0000-0000A41F0000}"/>
    <cellStyle name="20% - Accent5 4 3 2 2" xfId="2076" xr:uid="{00000000-0005-0000-0000-0000A51F0000}"/>
    <cellStyle name="20% - Accent5 4 3 2 2 2" xfId="16756" xr:uid="{00000000-0005-0000-0000-0000A61F0000}"/>
    <cellStyle name="20% - Accent5 4 3 2 2 2 2" xfId="30163" xr:uid="{00000000-0005-0000-0000-0000A71F0000}"/>
    <cellStyle name="20% - Accent5 4 3 2 2 3" xfId="19400" xr:uid="{00000000-0005-0000-0000-0000A81F0000}"/>
    <cellStyle name="20% - Accent5 4 3 2 3" xfId="10841" xr:uid="{00000000-0005-0000-0000-0000A91F0000}"/>
    <cellStyle name="20% - Accent5 4 3 2 3 2" xfId="24783" xr:uid="{00000000-0005-0000-0000-0000AA1F0000}"/>
    <cellStyle name="20% - Accent5 4 3 2 4" xfId="19399" xr:uid="{00000000-0005-0000-0000-0000AB1F0000}"/>
    <cellStyle name="20% - Accent5 4 3 3" xfId="2077" xr:uid="{00000000-0005-0000-0000-0000AC1F0000}"/>
    <cellStyle name="20% - Accent5 4 3 3 2" xfId="12144" xr:uid="{00000000-0005-0000-0000-0000AD1F0000}"/>
    <cellStyle name="20% - Accent5 4 3 3 2 2" xfId="25856" xr:uid="{00000000-0005-0000-0000-0000AE1F0000}"/>
    <cellStyle name="20% - Accent5 4 3 3 3" xfId="19401" xr:uid="{00000000-0005-0000-0000-0000AF1F0000}"/>
    <cellStyle name="20% - Accent5 4 3 4" xfId="2078" xr:uid="{00000000-0005-0000-0000-0000B01F0000}"/>
    <cellStyle name="20% - Accent5 4 3 4 2" xfId="13708" xr:uid="{00000000-0005-0000-0000-0000B11F0000}"/>
    <cellStyle name="20% - Accent5 4 3 4 2 2" xfId="27257" xr:uid="{00000000-0005-0000-0000-0000B21F0000}"/>
    <cellStyle name="20% - Accent5 4 3 4 3" xfId="19402" xr:uid="{00000000-0005-0000-0000-0000B31F0000}"/>
    <cellStyle name="20% - Accent5 4 3 5" xfId="2079" xr:uid="{00000000-0005-0000-0000-0000B41F0000}"/>
    <cellStyle name="20% - Accent5 4 3 5 2" xfId="14289" xr:uid="{00000000-0005-0000-0000-0000B51F0000}"/>
    <cellStyle name="20% - Accent5 4 3 5 2 2" xfId="27838" xr:uid="{00000000-0005-0000-0000-0000B61F0000}"/>
    <cellStyle name="20% - Accent5 4 3 5 3" xfId="19403" xr:uid="{00000000-0005-0000-0000-0000B71F0000}"/>
    <cellStyle name="20% - Accent5 4 3 6" xfId="2080" xr:uid="{00000000-0005-0000-0000-0000B81F0000}"/>
    <cellStyle name="20% - Accent5 4 3 6 2" xfId="16175" xr:uid="{00000000-0005-0000-0000-0000B91F0000}"/>
    <cellStyle name="20% - Accent5 4 3 6 2 2" xfId="29582" xr:uid="{00000000-0005-0000-0000-0000BA1F0000}"/>
    <cellStyle name="20% - Accent5 4 3 6 3" xfId="19404" xr:uid="{00000000-0005-0000-0000-0000BB1F0000}"/>
    <cellStyle name="20% - Accent5 4 3 7" xfId="9115" xr:uid="{00000000-0005-0000-0000-0000BC1F0000}"/>
    <cellStyle name="20% - Accent5 4 3 7 2" xfId="23590" xr:uid="{00000000-0005-0000-0000-0000BD1F0000}"/>
    <cellStyle name="20% - Accent5 4 3 8" xfId="19398" xr:uid="{00000000-0005-0000-0000-0000BE1F0000}"/>
    <cellStyle name="20% - Accent5 4 4" xfId="2081" xr:uid="{00000000-0005-0000-0000-0000BF1F0000}"/>
    <cellStyle name="20% - Accent5 4 4 2" xfId="2082" xr:uid="{00000000-0005-0000-0000-0000C01F0000}"/>
    <cellStyle name="20% - Accent5 4 4 2 2" xfId="16464" xr:uid="{00000000-0005-0000-0000-0000C11F0000}"/>
    <cellStyle name="20% - Accent5 4 4 2 2 2" xfId="29871" xr:uid="{00000000-0005-0000-0000-0000C21F0000}"/>
    <cellStyle name="20% - Accent5 4 4 2 3" xfId="19406" xr:uid="{00000000-0005-0000-0000-0000C31F0000}"/>
    <cellStyle name="20% - Accent5 4 4 3" xfId="10838" xr:uid="{00000000-0005-0000-0000-0000C41F0000}"/>
    <cellStyle name="20% - Accent5 4 4 3 2" xfId="24780" xr:uid="{00000000-0005-0000-0000-0000C51F0000}"/>
    <cellStyle name="20% - Accent5 4 4 4" xfId="19405" xr:uid="{00000000-0005-0000-0000-0000C61F0000}"/>
    <cellStyle name="20% - Accent5 4 5" xfId="2083" xr:uid="{00000000-0005-0000-0000-0000C71F0000}"/>
    <cellStyle name="20% - Accent5 4 5 2" xfId="11815" xr:uid="{00000000-0005-0000-0000-0000C81F0000}"/>
    <cellStyle name="20% - Accent5 4 5 2 2" xfId="25530" xr:uid="{00000000-0005-0000-0000-0000C91F0000}"/>
    <cellStyle name="20% - Accent5 4 5 3" xfId="19407" xr:uid="{00000000-0005-0000-0000-0000CA1F0000}"/>
    <cellStyle name="20% - Accent5 4 6" xfId="2084" xr:uid="{00000000-0005-0000-0000-0000CB1F0000}"/>
    <cellStyle name="20% - Accent5 4 6 2" xfId="13416" xr:uid="{00000000-0005-0000-0000-0000CC1F0000}"/>
    <cellStyle name="20% - Accent5 4 6 2 2" xfId="26965" xr:uid="{00000000-0005-0000-0000-0000CD1F0000}"/>
    <cellStyle name="20% - Accent5 4 6 3" xfId="19408" xr:uid="{00000000-0005-0000-0000-0000CE1F0000}"/>
    <cellStyle name="20% - Accent5 4 7" xfId="2085" xr:uid="{00000000-0005-0000-0000-0000CF1F0000}"/>
    <cellStyle name="20% - Accent5 4 7 2" xfId="13997" xr:uid="{00000000-0005-0000-0000-0000D01F0000}"/>
    <cellStyle name="20% - Accent5 4 7 2 2" xfId="27546" xr:uid="{00000000-0005-0000-0000-0000D11F0000}"/>
    <cellStyle name="20% - Accent5 4 7 3" xfId="19409" xr:uid="{00000000-0005-0000-0000-0000D21F0000}"/>
    <cellStyle name="20% - Accent5 4 8" xfId="2086" xr:uid="{00000000-0005-0000-0000-0000D31F0000}"/>
    <cellStyle name="20% - Accent5 4 8 2" xfId="15883" xr:uid="{00000000-0005-0000-0000-0000D41F0000}"/>
    <cellStyle name="20% - Accent5 4 8 2 2" xfId="29290" xr:uid="{00000000-0005-0000-0000-0000D51F0000}"/>
    <cellStyle name="20% - Accent5 4 8 3" xfId="19410" xr:uid="{00000000-0005-0000-0000-0000D61F0000}"/>
    <cellStyle name="20% - Accent5 4 9" xfId="9112" xr:uid="{00000000-0005-0000-0000-0000D71F0000}"/>
    <cellStyle name="20% - Accent5 4 9 2" xfId="23587" xr:uid="{00000000-0005-0000-0000-0000D81F0000}"/>
    <cellStyle name="20% - Accent5 5" xfId="2087" xr:uid="{00000000-0005-0000-0000-0000D91F0000}"/>
    <cellStyle name="20% - Accent5 5 10" xfId="19411" xr:uid="{00000000-0005-0000-0000-0000DA1F0000}"/>
    <cellStyle name="20% - Accent5 5 2" xfId="2088" xr:uid="{00000000-0005-0000-0000-0000DB1F0000}"/>
    <cellStyle name="20% - Accent5 5 2 2" xfId="2089" xr:uid="{00000000-0005-0000-0000-0000DC1F0000}"/>
    <cellStyle name="20% - Accent5 5 2 2 2" xfId="2090" xr:uid="{00000000-0005-0000-0000-0000DD1F0000}"/>
    <cellStyle name="20% - Accent5 5 2 2 2 2" xfId="2091" xr:uid="{00000000-0005-0000-0000-0000DE1F0000}"/>
    <cellStyle name="20% - Accent5 5 2 2 2 2 2" xfId="16879" xr:uid="{00000000-0005-0000-0000-0000DF1F0000}"/>
    <cellStyle name="20% - Accent5 5 2 2 2 2 2 2" xfId="30286" xr:uid="{00000000-0005-0000-0000-0000E01F0000}"/>
    <cellStyle name="20% - Accent5 5 2 2 2 2 3" xfId="19415" xr:uid="{00000000-0005-0000-0000-0000E11F0000}"/>
    <cellStyle name="20% - Accent5 5 2 2 2 3" xfId="10844" xr:uid="{00000000-0005-0000-0000-0000E21F0000}"/>
    <cellStyle name="20% - Accent5 5 2 2 2 3 2" xfId="24786" xr:uid="{00000000-0005-0000-0000-0000E31F0000}"/>
    <cellStyle name="20% - Accent5 5 2 2 2 4" xfId="19414" xr:uid="{00000000-0005-0000-0000-0000E41F0000}"/>
    <cellStyle name="20% - Accent5 5 2 2 3" xfId="2092" xr:uid="{00000000-0005-0000-0000-0000E51F0000}"/>
    <cellStyle name="20% - Accent5 5 2 2 3 2" xfId="12267" xr:uid="{00000000-0005-0000-0000-0000E61F0000}"/>
    <cellStyle name="20% - Accent5 5 2 2 3 2 2" xfId="25979" xr:uid="{00000000-0005-0000-0000-0000E71F0000}"/>
    <cellStyle name="20% - Accent5 5 2 2 3 3" xfId="19416" xr:uid="{00000000-0005-0000-0000-0000E81F0000}"/>
    <cellStyle name="20% - Accent5 5 2 2 4" xfId="2093" xr:uid="{00000000-0005-0000-0000-0000E91F0000}"/>
    <cellStyle name="20% - Accent5 5 2 2 4 2" xfId="13831" xr:uid="{00000000-0005-0000-0000-0000EA1F0000}"/>
    <cellStyle name="20% - Accent5 5 2 2 4 2 2" xfId="27380" xr:uid="{00000000-0005-0000-0000-0000EB1F0000}"/>
    <cellStyle name="20% - Accent5 5 2 2 4 3" xfId="19417" xr:uid="{00000000-0005-0000-0000-0000EC1F0000}"/>
    <cellStyle name="20% - Accent5 5 2 2 5" xfId="2094" xr:uid="{00000000-0005-0000-0000-0000ED1F0000}"/>
    <cellStyle name="20% - Accent5 5 2 2 5 2" xfId="14412" xr:uid="{00000000-0005-0000-0000-0000EE1F0000}"/>
    <cellStyle name="20% - Accent5 5 2 2 5 2 2" xfId="27961" xr:uid="{00000000-0005-0000-0000-0000EF1F0000}"/>
    <cellStyle name="20% - Accent5 5 2 2 5 3" xfId="19418" xr:uid="{00000000-0005-0000-0000-0000F01F0000}"/>
    <cellStyle name="20% - Accent5 5 2 2 6" xfId="2095" xr:uid="{00000000-0005-0000-0000-0000F11F0000}"/>
    <cellStyle name="20% - Accent5 5 2 2 6 2" xfId="16298" xr:uid="{00000000-0005-0000-0000-0000F21F0000}"/>
    <cellStyle name="20% - Accent5 5 2 2 6 2 2" xfId="29705" xr:uid="{00000000-0005-0000-0000-0000F31F0000}"/>
    <cellStyle name="20% - Accent5 5 2 2 6 3" xfId="19419" xr:uid="{00000000-0005-0000-0000-0000F41F0000}"/>
    <cellStyle name="20% - Accent5 5 2 2 7" xfId="9118" xr:uid="{00000000-0005-0000-0000-0000F51F0000}"/>
    <cellStyle name="20% - Accent5 5 2 2 7 2" xfId="23593" xr:uid="{00000000-0005-0000-0000-0000F61F0000}"/>
    <cellStyle name="20% - Accent5 5 2 2 8" xfId="19413" xr:uid="{00000000-0005-0000-0000-0000F71F0000}"/>
    <cellStyle name="20% - Accent5 5 2 3" xfId="2096" xr:uid="{00000000-0005-0000-0000-0000F81F0000}"/>
    <cellStyle name="20% - Accent5 5 2 3 2" xfId="2097" xr:uid="{00000000-0005-0000-0000-0000F91F0000}"/>
    <cellStyle name="20% - Accent5 5 2 3 2 2" xfId="16590" xr:uid="{00000000-0005-0000-0000-0000FA1F0000}"/>
    <cellStyle name="20% - Accent5 5 2 3 2 2 2" xfId="29997" xr:uid="{00000000-0005-0000-0000-0000FB1F0000}"/>
    <cellStyle name="20% - Accent5 5 2 3 2 3" xfId="19421" xr:uid="{00000000-0005-0000-0000-0000FC1F0000}"/>
    <cellStyle name="20% - Accent5 5 2 3 3" xfId="10843" xr:uid="{00000000-0005-0000-0000-0000FD1F0000}"/>
    <cellStyle name="20% - Accent5 5 2 3 3 2" xfId="24785" xr:uid="{00000000-0005-0000-0000-0000FE1F0000}"/>
    <cellStyle name="20% - Accent5 5 2 3 4" xfId="19420" xr:uid="{00000000-0005-0000-0000-0000FF1F0000}"/>
    <cellStyle name="20% - Accent5 5 2 4" xfId="2098" xr:uid="{00000000-0005-0000-0000-000000200000}"/>
    <cellStyle name="20% - Accent5 5 2 4 2" xfId="11967" xr:uid="{00000000-0005-0000-0000-000001200000}"/>
    <cellStyle name="20% - Accent5 5 2 4 2 2" xfId="25682" xr:uid="{00000000-0005-0000-0000-000002200000}"/>
    <cellStyle name="20% - Accent5 5 2 4 3" xfId="19422" xr:uid="{00000000-0005-0000-0000-000003200000}"/>
    <cellStyle name="20% - Accent5 5 2 5" xfId="2099" xr:uid="{00000000-0005-0000-0000-000004200000}"/>
    <cellStyle name="20% - Accent5 5 2 5 2" xfId="13542" xr:uid="{00000000-0005-0000-0000-000005200000}"/>
    <cellStyle name="20% - Accent5 5 2 5 2 2" xfId="27091" xr:uid="{00000000-0005-0000-0000-000006200000}"/>
    <cellStyle name="20% - Accent5 5 2 5 3" xfId="19423" xr:uid="{00000000-0005-0000-0000-000007200000}"/>
    <cellStyle name="20% - Accent5 5 2 6" xfId="2100" xr:uid="{00000000-0005-0000-0000-000008200000}"/>
    <cellStyle name="20% - Accent5 5 2 6 2" xfId="14123" xr:uid="{00000000-0005-0000-0000-000009200000}"/>
    <cellStyle name="20% - Accent5 5 2 6 2 2" xfId="27672" xr:uid="{00000000-0005-0000-0000-00000A200000}"/>
    <cellStyle name="20% - Accent5 5 2 6 3" xfId="19424" xr:uid="{00000000-0005-0000-0000-00000B200000}"/>
    <cellStyle name="20% - Accent5 5 2 7" xfId="2101" xr:uid="{00000000-0005-0000-0000-00000C200000}"/>
    <cellStyle name="20% - Accent5 5 2 7 2" xfId="16009" xr:uid="{00000000-0005-0000-0000-00000D200000}"/>
    <cellStyle name="20% - Accent5 5 2 7 2 2" xfId="29416" xr:uid="{00000000-0005-0000-0000-00000E200000}"/>
    <cellStyle name="20% - Accent5 5 2 7 3" xfId="19425" xr:uid="{00000000-0005-0000-0000-00000F200000}"/>
    <cellStyle name="20% - Accent5 5 2 8" xfId="9117" xr:uid="{00000000-0005-0000-0000-000010200000}"/>
    <cellStyle name="20% - Accent5 5 2 8 2" xfId="23592" xr:uid="{00000000-0005-0000-0000-000011200000}"/>
    <cellStyle name="20% - Accent5 5 2 9" xfId="19412" xr:uid="{00000000-0005-0000-0000-000012200000}"/>
    <cellStyle name="20% - Accent5 5 3" xfId="2102" xr:uid="{00000000-0005-0000-0000-000013200000}"/>
    <cellStyle name="20% - Accent5 5 3 2" xfId="2103" xr:uid="{00000000-0005-0000-0000-000014200000}"/>
    <cellStyle name="20% - Accent5 5 3 2 2" xfId="2104" xr:uid="{00000000-0005-0000-0000-000015200000}"/>
    <cellStyle name="20% - Accent5 5 3 2 2 2" xfId="16739" xr:uid="{00000000-0005-0000-0000-000016200000}"/>
    <cellStyle name="20% - Accent5 5 3 2 2 2 2" xfId="30146" xr:uid="{00000000-0005-0000-0000-000017200000}"/>
    <cellStyle name="20% - Accent5 5 3 2 2 3" xfId="19428" xr:uid="{00000000-0005-0000-0000-000018200000}"/>
    <cellStyle name="20% - Accent5 5 3 2 3" xfId="10845" xr:uid="{00000000-0005-0000-0000-000019200000}"/>
    <cellStyle name="20% - Accent5 5 3 2 3 2" xfId="24787" xr:uid="{00000000-0005-0000-0000-00001A200000}"/>
    <cellStyle name="20% - Accent5 5 3 2 4" xfId="19427" xr:uid="{00000000-0005-0000-0000-00001B200000}"/>
    <cellStyle name="20% - Accent5 5 3 3" xfId="2105" xr:uid="{00000000-0005-0000-0000-00001C200000}"/>
    <cellStyle name="20% - Accent5 5 3 3 2" xfId="12127" xr:uid="{00000000-0005-0000-0000-00001D200000}"/>
    <cellStyle name="20% - Accent5 5 3 3 2 2" xfId="25839" xr:uid="{00000000-0005-0000-0000-00001E200000}"/>
    <cellStyle name="20% - Accent5 5 3 3 3" xfId="19429" xr:uid="{00000000-0005-0000-0000-00001F200000}"/>
    <cellStyle name="20% - Accent5 5 3 4" xfId="2106" xr:uid="{00000000-0005-0000-0000-000020200000}"/>
    <cellStyle name="20% - Accent5 5 3 4 2" xfId="13691" xr:uid="{00000000-0005-0000-0000-000021200000}"/>
    <cellStyle name="20% - Accent5 5 3 4 2 2" xfId="27240" xr:uid="{00000000-0005-0000-0000-000022200000}"/>
    <cellStyle name="20% - Accent5 5 3 4 3" xfId="19430" xr:uid="{00000000-0005-0000-0000-000023200000}"/>
    <cellStyle name="20% - Accent5 5 3 5" xfId="2107" xr:uid="{00000000-0005-0000-0000-000024200000}"/>
    <cellStyle name="20% - Accent5 5 3 5 2" xfId="14272" xr:uid="{00000000-0005-0000-0000-000025200000}"/>
    <cellStyle name="20% - Accent5 5 3 5 2 2" xfId="27821" xr:uid="{00000000-0005-0000-0000-000026200000}"/>
    <cellStyle name="20% - Accent5 5 3 5 3" xfId="19431" xr:uid="{00000000-0005-0000-0000-000027200000}"/>
    <cellStyle name="20% - Accent5 5 3 6" xfId="2108" xr:uid="{00000000-0005-0000-0000-000028200000}"/>
    <cellStyle name="20% - Accent5 5 3 6 2" xfId="16158" xr:uid="{00000000-0005-0000-0000-000029200000}"/>
    <cellStyle name="20% - Accent5 5 3 6 2 2" xfId="29565" xr:uid="{00000000-0005-0000-0000-00002A200000}"/>
    <cellStyle name="20% - Accent5 5 3 6 3" xfId="19432" xr:uid="{00000000-0005-0000-0000-00002B200000}"/>
    <cellStyle name="20% - Accent5 5 3 7" xfId="9119" xr:uid="{00000000-0005-0000-0000-00002C200000}"/>
    <cellStyle name="20% - Accent5 5 3 7 2" xfId="23594" xr:uid="{00000000-0005-0000-0000-00002D200000}"/>
    <cellStyle name="20% - Accent5 5 3 8" xfId="19426" xr:uid="{00000000-0005-0000-0000-00002E200000}"/>
    <cellStyle name="20% - Accent5 5 4" xfId="2109" xr:uid="{00000000-0005-0000-0000-00002F200000}"/>
    <cellStyle name="20% - Accent5 5 4 2" xfId="2110" xr:uid="{00000000-0005-0000-0000-000030200000}"/>
    <cellStyle name="20% - Accent5 5 4 2 2" xfId="16447" xr:uid="{00000000-0005-0000-0000-000031200000}"/>
    <cellStyle name="20% - Accent5 5 4 2 2 2" xfId="29854" xr:uid="{00000000-0005-0000-0000-000032200000}"/>
    <cellStyle name="20% - Accent5 5 4 2 3" xfId="19434" xr:uid="{00000000-0005-0000-0000-000033200000}"/>
    <cellStyle name="20% - Accent5 5 4 3" xfId="10842" xr:uid="{00000000-0005-0000-0000-000034200000}"/>
    <cellStyle name="20% - Accent5 5 4 3 2" xfId="24784" xr:uid="{00000000-0005-0000-0000-000035200000}"/>
    <cellStyle name="20% - Accent5 5 4 4" xfId="19433" xr:uid="{00000000-0005-0000-0000-000036200000}"/>
    <cellStyle name="20% - Accent5 5 5" xfId="2111" xr:uid="{00000000-0005-0000-0000-000037200000}"/>
    <cellStyle name="20% - Accent5 5 5 2" xfId="11798" xr:uid="{00000000-0005-0000-0000-000038200000}"/>
    <cellStyle name="20% - Accent5 5 5 2 2" xfId="25513" xr:uid="{00000000-0005-0000-0000-000039200000}"/>
    <cellStyle name="20% - Accent5 5 5 3" xfId="19435" xr:uid="{00000000-0005-0000-0000-00003A200000}"/>
    <cellStyle name="20% - Accent5 5 6" xfId="2112" xr:uid="{00000000-0005-0000-0000-00003B200000}"/>
    <cellStyle name="20% - Accent5 5 6 2" xfId="13399" xr:uid="{00000000-0005-0000-0000-00003C200000}"/>
    <cellStyle name="20% - Accent5 5 6 2 2" xfId="26948" xr:uid="{00000000-0005-0000-0000-00003D200000}"/>
    <cellStyle name="20% - Accent5 5 6 3" xfId="19436" xr:uid="{00000000-0005-0000-0000-00003E200000}"/>
    <cellStyle name="20% - Accent5 5 7" xfId="2113" xr:uid="{00000000-0005-0000-0000-00003F200000}"/>
    <cellStyle name="20% - Accent5 5 7 2" xfId="13980" xr:uid="{00000000-0005-0000-0000-000040200000}"/>
    <cellStyle name="20% - Accent5 5 7 2 2" xfId="27529" xr:uid="{00000000-0005-0000-0000-000041200000}"/>
    <cellStyle name="20% - Accent5 5 7 3" xfId="19437" xr:uid="{00000000-0005-0000-0000-000042200000}"/>
    <cellStyle name="20% - Accent5 5 8" xfId="2114" xr:uid="{00000000-0005-0000-0000-000043200000}"/>
    <cellStyle name="20% - Accent5 5 8 2" xfId="15866" xr:uid="{00000000-0005-0000-0000-000044200000}"/>
    <cellStyle name="20% - Accent5 5 8 2 2" xfId="29273" xr:uid="{00000000-0005-0000-0000-000045200000}"/>
    <cellStyle name="20% - Accent5 5 8 3" xfId="19438" xr:uid="{00000000-0005-0000-0000-000046200000}"/>
    <cellStyle name="20% - Accent5 5 9" xfId="9116" xr:uid="{00000000-0005-0000-0000-000047200000}"/>
    <cellStyle name="20% - Accent5 5 9 2" xfId="23591" xr:uid="{00000000-0005-0000-0000-000048200000}"/>
    <cellStyle name="20% - Accent5 6" xfId="2115" xr:uid="{00000000-0005-0000-0000-000049200000}"/>
    <cellStyle name="20% - Accent5 6 10" xfId="19439" xr:uid="{00000000-0005-0000-0000-00004A200000}"/>
    <cellStyle name="20% - Accent5 6 2" xfId="2116" xr:uid="{00000000-0005-0000-0000-00004B200000}"/>
    <cellStyle name="20% - Accent5 6 2 2" xfId="2117" xr:uid="{00000000-0005-0000-0000-00004C200000}"/>
    <cellStyle name="20% - Accent5 6 2 2 2" xfId="2118" xr:uid="{00000000-0005-0000-0000-00004D200000}"/>
    <cellStyle name="20% - Accent5 6 2 2 2 2" xfId="2119" xr:uid="{00000000-0005-0000-0000-00004E200000}"/>
    <cellStyle name="20% - Accent5 6 2 2 2 2 2" xfId="16985" xr:uid="{00000000-0005-0000-0000-00004F200000}"/>
    <cellStyle name="20% - Accent5 6 2 2 2 2 2 2" xfId="30392" xr:uid="{00000000-0005-0000-0000-000050200000}"/>
    <cellStyle name="20% - Accent5 6 2 2 2 2 3" xfId="19443" xr:uid="{00000000-0005-0000-0000-000051200000}"/>
    <cellStyle name="20% - Accent5 6 2 2 2 3" xfId="10848" xr:uid="{00000000-0005-0000-0000-000052200000}"/>
    <cellStyle name="20% - Accent5 6 2 2 2 3 2" xfId="24790" xr:uid="{00000000-0005-0000-0000-000053200000}"/>
    <cellStyle name="20% - Accent5 6 2 2 2 4" xfId="19442" xr:uid="{00000000-0005-0000-0000-000054200000}"/>
    <cellStyle name="20% - Accent5 6 2 2 3" xfId="2120" xr:uid="{00000000-0005-0000-0000-000055200000}"/>
    <cellStyle name="20% - Accent5 6 2 2 3 2" xfId="12373" xr:uid="{00000000-0005-0000-0000-000056200000}"/>
    <cellStyle name="20% - Accent5 6 2 2 3 2 2" xfId="26085" xr:uid="{00000000-0005-0000-0000-000057200000}"/>
    <cellStyle name="20% - Accent5 6 2 2 3 3" xfId="19444" xr:uid="{00000000-0005-0000-0000-000058200000}"/>
    <cellStyle name="20% - Accent5 6 2 2 4" xfId="2121" xr:uid="{00000000-0005-0000-0000-000059200000}"/>
    <cellStyle name="20% - Accent5 6 2 2 4 2" xfId="13937" xr:uid="{00000000-0005-0000-0000-00005A200000}"/>
    <cellStyle name="20% - Accent5 6 2 2 4 2 2" xfId="27486" xr:uid="{00000000-0005-0000-0000-00005B200000}"/>
    <cellStyle name="20% - Accent5 6 2 2 4 3" xfId="19445" xr:uid="{00000000-0005-0000-0000-00005C200000}"/>
    <cellStyle name="20% - Accent5 6 2 2 5" xfId="2122" xr:uid="{00000000-0005-0000-0000-00005D200000}"/>
    <cellStyle name="20% - Accent5 6 2 2 5 2" xfId="14518" xr:uid="{00000000-0005-0000-0000-00005E200000}"/>
    <cellStyle name="20% - Accent5 6 2 2 5 2 2" xfId="28067" xr:uid="{00000000-0005-0000-0000-00005F200000}"/>
    <cellStyle name="20% - Accent5 6 2 2 5 3" xfId="19446" xr:uid="{00000000-0005-0000-0000-000060200000}"/>
    <cellStyle name="20% - Accent5 6 2 2 6" xfId="2123" xr:uid="{00000000-0005-0000-0000-000061200000}"/>
    <cellStyle name="20% - Accent5 6 2 2 6 2" xfId="16404" xr:uid="{00000000-0005-0000-0000-000062200000}"/>
    <cellStyle name="20% - Accent5 6 2 2 6 2 2" xfId="29811" xr:uid="{00000000-0005-0000-0000-000063200000}"/>
    <cellStyle name="20% - Accent5 6 2 2 6 3" xfId="19447" xr:uid="{00000000-0005-0000-0000-000064200000}"/>
    <cellStyle name="20% - Accent5 6 2 2 7" xfId="9122" xr:uid="{00000000-0005-0000-0000-000065200000}"/>
    <cellStyle name="20% - Accent5 6 2 2 7 2" xfId="23597" xr:uid="{00000000-0005-0000-0000-000066200000}"/>
    <cellStyle name="20% - Accent5 6 2 2 8" xfId="19441" xr:uid="{00000000-0005-0000-0000-000067200000}"/>
    <cellStyle name="20% - Accent5 6 2 3" xfId="2124" xr:uid="{00000000-0005-0000-0000-000068200000}"/>
    <cellStyle name="20% - Accent5 6 2 3 2" xfId="2125" xr:uid="{00000000-0005-0000-0000-000069200000}"/>
    <cellStyle name="20% - Accent5 6 2 3 2 2" xfId="16696" xr:uid="{00000000-0005-0000-0000-00006A200000}"/>
    <cellStyle name="20% - Accent5 6 2 3 2 2 2" xfId="30103" xr:uid="{00000000-0005-0000-0000-00006B200000}"/>
    <cellStyle name="20% - Accent5 6 2 3 2 3" xfId="19449" xr:uid="{00000000-0005-0000-0000-00006C200000}"/>
    <cellStyle name="20% - Accent5 6 2 3 3" xfId="10847" xr:uid="{00000000-0005-0000-0000-00006D200000}"/>
    <cellStyle name="20% - Accent5 6 2 3 3 2" xfId="24789" xr:uid="{00000000-0005-0000-0000-00006E200000}"/>
    <cellStyle name="20% - Accent5 6 2 3 4" xfId="19448" xr:uid="{00000000-0005-0000-0000-00006F200000}"/>
    <cellStyle name="20% - Accent5 6 2 4" xfId="2126" xr:uid="{00000000-0005-0000-0000-000070200000}"/>
    <cellStyle name="20% - Accent5 6 2 4 2" xfId="12073" xr:uid="{00000000-0005-0000-0000-000071200000}"/>
    <cellStyle name="20% - Accent5 6 2 4 2 2" xfId="25788" xr:uid="{00000000-0005-0000-0000-000072200000}"/>
    <cellStyle name="20% - Accent5 6 2 4 3" xfId="19450" xr:uid="{00000000-0005-0000-0000-000073200000}"/>
    <cellStyle name="20% - Accent5 6 2 5" xfId="2127" xr:uid="{00000000-0005-0000-0000-000074200000}"/>
    <cellStyle name="20% - Accent5 6 2 5 2" xfId="13648" xr:uid="{00000000-0005-0000-0000-000075200000}"/>
    <cellStyle name="20% - Accent5 6 2 5 2 2" xfId="27197" xr:uid="{00000000-0005-0000-0000-000076200000}"/>
    <cellStyle name="20% - Accent5 6 2 5 3" xfId="19451" xr:uid="{00000000-0005-0000-0000-000077200000}"/>
    <cellStyle name="20% - Accent5 6 2 6" xfId="2128" xr:uid="{00000000-0005-0000-0000-000078200000}"/>
    <cellStyle name="20% - Accent5 6 2 6 2" xfId="14229" xr:uid="{00000000-0005-0000-0000-000079200000}"/>
    <cellStyle name="20% - Accent5 6 2 6 2 2" xfId="27778" xr:uid="{00000000-0005-0000-0000-00007A200000}"/>
    <cellStyle name="20% - Accent5 6 2 6 3" xfId="19452" xr:uid="{00000000-0005-0000-0000-00007B200000}"/>
    <cellStyle name="20% - Accent5 6 2 7" xfId="2129" xr:uid="{00000000-0005-0000-0000-00007C200000}"/>
    <cellStyle name="20% - Accent5 6 2 7 2" xfId="16115" xr:uid="{00000000-0005-0000-0000-00007D200000}"/>
    <cellStyle name="20% - Accent5 6 2 7 2 2" xfId="29522" xr:uid="{00000000-0005-0000-0000-00007E200000}"/>
    <cellStyle name="20% - Accent5 6 2 7 3" xfId="19453" xr:uid="{00000000-0005-0000-0000-00007F200000}"/>
    <cellStyle name="20% - Accent5 6 2 8" xfId="9121" xr:uid="{00000000-0005-0000-0000-000080200000}"/>
    <cellStyle name="20% - Accent5 6 2 8 2" xfId="23596" xr:uid="{00000000-0005-0000-0000-000081200000}"/>
    <cellStyle name="20% - Accent5 6 2 9" xfId="19440" xr:uid="{00000000-0005-0000-0000-000082200000}"/>
    <cellStyle name="20% - Accent5 6 3" xfId="2130" xr:uid="{00000000-0005-0000-0000-000083200000}"/>
    <cellStyle name="20% - Accent5 6 3 2" xfId="2131" xr:uid="{00000000-0005-0000-0000-000084200000}"/>
    <cellStyle name="20% - Accent5 6 3 2 2" xfId="2132" xr:uid="{00000000-0005-0000-0000-000085200000}"/>
    <cellStyle name="20% - Accent5 6 3 2 2 2" xfId="16842" xr:uid="{00000000-0005-0000-0000-000086200000}"/>
    <cellStyle name="20% - Accent5 6 3 2 2 2 2" xfId="30249" xr:uid="{00000000-0005-0000-0000-000087200000}"/>
    <cellStyle name="20% - Accent5 6 3 2 2 3" xfId="19456" xr:uid="{00000000-0005-0000-0000-000088200000}"/>
    <cellStyle name="20% - Accent5 6 3 2 3" xfId="10849" xr:uid="{00000000-0005-0000-0000-000089200000}"/>
    <cellStyle name="20% - Accent5 6 3 2 3 2" xfId="24791" xr:uid="{00000000-0005-0000-0000-00008A200000}"/>
    <cellStyle name="20% - Accent5 6 3 2 4" xfId="19455" xr:uid="{00000000-0005-0000-0000-00008B200000}"/>
    <cellStyle name="20% - Accent5 6 3 3" xfId="2133" xr:uid="{00000000-0005-0000-0000-00008C200000}"/>
    <cellStyle name="20% - Accent5 6 3 3 2" xfId="12230" xr:uid="{00000000-0005-0000-0000-00008D200000}"/>
    <cellStyle name="20% - Accent5 6 3 3 2 2" xfId="25942" xr:uid="{00000000-0005-0000-0000-00008E200000}"/>
    <cellStyle name="20% - Accent5 6 3 3 3" xfId="19457" xr:uid="{00000000-0005-0000-0000-00008F200000}"/>
    <cellStyle name="20% - Accent5 6 3 4" xfId="2134" xr:uid="{00000000-0005-0000-0000-000090200000}"/>
    <cellStyle name="20% - Accent5 6 3 4 2" xfId="13794" xr:uid="{00000000-0005-0000-0000-000091200000}"/>
    <cellStyle name="20% - Accent5 6 3 4 2 2" xfId="27343" xr:uid="{00000000-0005-0000-0000-000092200000}"/>
    <cellStyle name="20% - Accent5 6 3 4 3" xfId="19458" xr:uid="{00000000-0005-0000-0000-000093200000}"/>
    <cellStyle name="20% - Accent5 6 3 5" xfId="2135" xr:uid="{00000000-0005-0000-0000-000094200000}"/>
    <cellStyle name="20% - Accent5 6 3 5 2" xfId="14375" xr:uid="{00000000-0005-0000-0000-000095200000}"/>
    <cellStyle name="20% - Accent5 6 3 5 2 2" xfId="27924" xr:uid="{00000000-0005-0000-0000-000096200000}"/>
    <cellStyle name="20% - Accent5 6 3 5 3" xfId="19459" xr:uid="{00000000-0005-0000-0000-000097200000}"/>
    <cellStyle name="20% - Accent5 6 3 6" xfId="2136" xr:uid="{00000000-0005-0000-0000-000098200000}"/>
    <cellStyle name="20% - Accent5 6 3 6 2" xfId="16261" xr:uid="{00000000-0005-0000-0000-000099200000}"/>
    <cellStyle name="20% - Accent5 6 3 6 2 2" xfId="29668" xr:uid="{00000000-0005-0000-0000-00009A200000}"/>
    <cellStyle name="20% - Accent5 6 3 6 3" xfId="19460" xr:uid="{00000000-0005-0000-0000-00009B200000}"/>
    <cellStyle name="20% - Accent5 6 3 7" xfId="9123" xr:uid="{00000000-0005-0000-0000-00009C200000}"/>
    <cellStyle name="20% - Accent5 6 3 7 2" xfId="23598" xr:uid="{00000000-0005-0000-0000-00009D200000}"/>
    <cellStyle name="20% - Accent5 6 3 8" xfId="19454" xr:uid="{00000000-0005-0000-0000-00009E200000}"/>
    <cellStyle name="20% - Accent5 6 4" xfId="2137" xr:uid="{00000000-0005-0000-0000-00009F200000}"/>
    <cellStyle name="20% - Accent5 6 4 2" xfId="2138" xr:uid="{00000000-0005-0000-0000-0000A0200000}"/>
    <cellStyle name="20% - Accent5 6 4 2 2" xfId="16553" xr:uid="{00000000-0005-0000-0000-0000A1200000}"/>
    <cellStyle name="20% - Accent5 6 4 2 2 2" xfId="29960" xr:uid="{00000000-0005-0000-0000-0000A2200000}"/>
    <cellStyle name="20% - Accent5 6 4 2 3" xfId="19462" xr:uid="{00000000-0005-0000-0000-0000A3200000}"/>
    <cellStyle name="20% - Accent5 6 4 3" xfId="10846" xr:uid="{00000000-0005-0000-0000-0000A4200000}"/>
    <cellStyle name="20% - Accent5 6 4 3 2" xfId="24788" xr:uid="{00000000-0005-0000-0000-0000A5200000}"/>
    <cellStyle name="20% - Accent5 6 4 4" xfId="19461" xr:uid="{00000000-0005-0000-0000-0000A6200000}"/>
    <cellStyle name="20% - Accent5 6 5" xfId="2139" xr:uid="{00000000-0005-0000-0000-0000A7200000}"/>
    <cellStyle name="20% - Accent5 6 5 2" xfId="11928" xr:uid="{00000000-0005-0000-0000-0000A8200000}"/>
    <cellStyle name="20% - Accent5 6 5 2 2" xfId="25643" xr:uid="{00000000-0005-0000-0000-0000A9200000}"/>
    <cellStyle name="20% - Accent5 6 5 3" xfId="19463" xr:uid="{00000000-0005-0000-0000-0000AA200000}"/>
    <cellStyle name="20% - Accent5 6 6" xfId="2140" xr:uid="{00000000-0005-0000-0000-0000AB200000}"/>
    <cellStyle name="20% - Accent5 6 6 2" xfId="13505" xr:uid="{00000000-0005-0000-0000-0000AC200000}"/>
    <cellStyle name="20% - Accent5 6 6 2 2" xfId="27054" xr:uid="{00000000-0005-0000-0000-0000AD200000}"/>
    <cellStyle name="20% - Accent5 6 6 3" xfId="19464" xr:uid="{00000000-0005-0000-0000-0000AE200000}"/>
    <cellStyle name="20% - Accent5 6 7" xfId="2141" xr:uid="{00000000-0005-0000-0000-0000AF200000}"/>
    <cellStyle name="20% - Accent5 6 7 2" xfId="14086" xr:uid="{00000000-0005-0000-0000-0000B0200000}"/>
    <cellStyle name="20% - Accent5 6 7 2 2" xfId="27635" xr:uid="{00000000-0005-0000-0000-0000B1200000}"/>
    <cellStyle name="20% - Accent5 6 7 3" xfId="19465" xr:uid="{00000000-0005-0000-0000-0000B2200000}"/>
    <cellStyle name="20% - Accent5 6 8" xfId="2142" xr:uid="{00000000-0005-0000-0000-0000B3200000}"/>
    <cellStyle name="20% - Accent5 6 8 2" xfId="15972" xr:uid="{00000000-0005-0000-0000-0000B4200000}"/>
    <cellStyle name="20% - Accent5 6 8 2 2" xfId="29379" xr:uid="{00000000-0005-0000-0000-0000B5200000}"/>
    <cellStyle name="20% - Accent5 6 8 3" xfId="19466" xr:uid="{00000000-0005-0000-0000-0000B6200000}"/>
    <cellStyle name="20% - Accent5 6 9" xfId="9120" xr:uid="{00000000-0005-0000-0000-0000B7200000}"/>
    <cellStyle name="20% - Accent5 6 9 2" xfId="23595" xr:uid="{00000000-0005-0000-0000-0000B8200000}"/>
    <cellStyle name="20% - Accent5 7" xfId="2143" xr:uid="{00000000-0005-0000-0000-0000B9200000}"/>
    <cellStyle name="20% - Accent5 7 2" xfId="2144" xr:uid="{00000000-0005-0000-0000-0000BA200000}"/>
    <cellStyle name="20% - Accent5 7 2 2" xfId="2145" xr:uid="{00000000-0005-0000-0000-0000BB200000}"/>
    <cellStyle name="20% - Accent5 7 2 2 2" xfId="2146" xr:uid="{00000000-0005-0000-0000-0000BC200000}"/>
    <cellStyle name="20% - Accent5 7 2 2 2 2" xfId="16866" xr:uid="{00000000-0005-0000-0000-0000BD200000}"/>
    <cellStyle name="20% - Accent5 7 2 2 2 2 2" xfId="30273" xr:uid="{00000000-0005-0000-0000-0000BE200000}"/>
    <cellStyle name="20% - Accent5 7 2 2 2 3" xfId="19470" xr:uid="{00000000-0005-0000-0000-0000BF200000}"/>
    <cellStyle name="20% - Accent5 7 2 2 3" xfId="10851" xr:uid="{00000000-0005-0000-0000-0000C0200000}"/>
    <cellStyle name="20% - Accent5 7 2 2 3 2" xfId="24793" xr:uid="{00000000-0005-0000-0000-0000C1200000}"/>
    <cellStyle name="20% - Accent5 7 2 2 4" xfId="19469" xr:uid="{00000000-0005-0000-0000-0000C2200000}"/>
    <cellStyle name="20% - Accent5 7 2 3" xfId="2147" xr:uid="{00000000-0005-0000-0000-0000C3200000}"/>
    <cellStyle name="20% - Accent5 7 2 3 2" xfId="12254" xr:uid="{00000000-0005-0000-0000-0000C4200000}"/>
    <cellStyle name="20% - Accent5 7 2 3 2 2" xfId="25966" xr:uid="{00000000-0005-0000-0000-0000C5200000}"/>
    <cellStyle name="20% - Accent5 7 2 3 3" xfId="19471" xr:uid="{00000000-0005-0000-0000-0000C6200000}"/>
    <cellStyle name="20% - Accent5 7 2 4" xfId="2148" xr:uid="{00000000-0005-0000-0000-0000C7200000}"/>
    <cellStyle name="20% - Accent5 7 2 4 2" xfId="13818" xr:uid="{00000000-0005-0000-0000-0000C8200000}"/>
    <cellStyle name="20% - Accent5 7 2 4 2 2" xfId="27367" xr:uid="{00000000-0005-0000-0000-0000C9200000}"/>
    <cellStyle name="20% - Accent5 7 2 4 3" xfId="19472" xr:uid="{00000000-0005-0000-0000-0000CA200000}"/>
    <cellStyle name="20% - Accent5 7 2 5" xfId="2149" xr:uid="{00000000-0005-0000-0000-0000CB200000}"/>
    <cellStyle name="20% - Accent5 7 2 5 2" xfId="14399" xr:uid="{00000000-0005-0000-0000-0000CC200000}"/>
    <cellStyle name="20% - Accent5 7 2 5 2 2" xfId="27948" xr:uid="{00000000-0005-0000-0000-0000CD200000}"/>
    <cellStyle name="20% - Accent5 7 2 5 3" xfId="19473" xr:uid="{00000000-0005-0000-0000-0000CE200000}"/>
    <cellStyle name="20% - Accent5 7 2 6" xfId="2150" xr:uid="{00000000-0005-0000-0000-0000CF200000}"/>
    <cellStyle name="20% - Accent5 7 2 6 2" xfId="16285" xr:uid="{00000000-0005-0000-0000-0000D0200000}"/>
    <cellStyle name="20% - Accent5 7 2 6 2 2" xfId="29692" xr:uid="{00000000-0005-0000-0000-0000D1200000}"/>
    <cellStyle name="20% - Accent5 7 2 6 3" xfId="19474" xr:uid="{00000000-0005-0000-0000-0000D2200000}"/>
    <cellStyle name="20% - Accent5 7 2 7" xfId="9125" xr:uid="{00000000-0005-0000-0000-0000D3200000}"/>
    <cellStyle name="20% - Accent5 7 2 7 2" xfId="23600" xr:uid="{00000000-0005-0000-0000-0000D4200000}"/>
    <cellStyle name="20% - Accent5 7 2 8" xfId="19468" xr:uid="{00000000-0005-0000-0000-0000D5200000}"/>
    <cellStyle name="20% - Accent5 7 3" xfId="2151" xr:uid="{00000000-0005-0000-0000-0000D6200000}"/>
    <cellStyle name="20% - Accent5 7 3 2" xfId="2152" xr:uid="{00000000-0005-0000-0000-0000D7200000}"/>
    <cellStyle name="20% - Accent5 7 3 2 2" xfId="16577" xr:uid="{00000000-0005-0000-0000-0000D8200000}"/>
    <cellStyle name="20% - Accent5 7 3 2 2 2" xfId="29984" xr:uid="{00000000-0005-0000-0000-0000D9200000}"/>
    <cellStyle name="20% - Accent5 7 3 2 3" xfId="19476" xr:uid="{00000000-0005-0000-0000-0000DA200000}"/>
    <cellStyle name="20% - Accent5 7 3 3" xfId="10850" xr:uid="{00000000-0005-0000-0000-0000DB200000}"/>
    <cellStyle name="20% - Accent5 7 3 3 2" xfId="24792" xr:uid="{00000000-0005-0000-0000-0000DC200000}"/>
    <cellStyle name="20% - Accent5 7 3 4" xfId="19475" xr:uid="{00000000-0005-0000-0000-0000DD200000}"/>
    <cellStyle name="20% - Accent5 7 4" xfId="2153" xr:uid="{00000000-0005-0000-0000-0000DE200000}"/>
    <cellStyle name="20% - Accent5 7 4 2" xfId="11952" xr:uid="{00000000-0005-0000-0000-0000DF200000}"/>
    <cellStyle name="20% - Accent5 7 4 2 2" xfId="25667" xr:uid="{00000000-0005-0000-0000-0000E0200000}"/>
    <cellStyle name="20% - Accent5 7 4 3" xfId="19477" xr:uid="{00000000-0005-0000-0000-0000E1200000}"/>
    <cellStyle name="20% - Accent5 7 5" xfId="2154" xr:uid="{00000000-0005-0000-0000-0000E2200000}"/>
    <cellStyle name="20% - Accent5 7 5 2" xfId="13529" xr:uid="{00000000-0005-0000-0000-0000E3200000}"/>
    <cellStyle name="20% - Accent5 7 5 2 2" xfId="27078" xr:uid="{00000000-0005-0000-0000-0000E4200000}"/>
    <cellStyle name="20% - Accent5 7 5 3" xfId="19478" xr:uid="{00000000-0005-0000-0000-0000E5200000}"/>
    <cellStyle name="20% - Accent5 7 6" xfId="2155" xr:uid="{00000000-0005-0000-0000-0000E6200000}"/>
    <cellStyle name="20% - Accent5 7 6 2" xfId="14110" xr:uid="{00000000-0005-0000-0000-0000E7200000}"/>
    <cellStyle name="20% - Accent5 7 6 2 2" xfId="27659" xr:uid="{00000000-0005-0000-0000-0000E8200000}"/>
    <cellStyle name="20% - Accent5 7 6 3" xfId="19479" xr:uid="{00000000-0005-0000-0000-0000E9200000}"/>
    <cellStyle name="20% - Accent5 7 7" xfId="2156" xr:uid="{00000000-0005-0000-0000-0000EA200000}"/>
    <cellStyle name="20% - Accent5 7 7 2" xfId="15996" xr:uid="{00000000-0005-0000-0000-0000EB200000}"/>
    <cellStyle name="20% - Accent5 7 7 2 2" xfId="29403" xr:uid="{00000000-0005-0000-0000-0000EC200000}"/>
    <cellStyle name="20% - Accent5 7 7 3" xfId="19480" xr:uid="{00000000-0005-0000-0000-0000ED200000}"/>
    <cellStyle name="20% - Accent5 7 8" xfId="9124" xr:uid="{00000000-0005-0000-0000-0000EE200000}"/>
    <cellStyle name="20% - Accent5 7 8 2" xfId="23599" xr:uid="{00000000-0005-0000-0000-0000EF200000}"/>
    <cellStyle name="20% - Accent5 7 9" xfId="19467" xr:uid="{00000000-0005-0000-0000-0000F0200000}"/>
    <cellStyle name="20% - Accent5 8" xfId="2157" xr:uid="{00000000-0005-0000-0000-0000F1200000}"/>
    <cellStyle name="20% - Accent5 8 2" xfId="2158" xr:uid="{00000000-0005-0000-0000-0000F2200000}"/>
    <cellStyle name="20% - Accent5 8 2 2" xfId="2159" xr:uid="{00000000-0005-0000-0000-0000F3200000}"/>
    <cellStyle name="20% - Accent5 8 2 2 2" xfId="16716" xr:uid="{00000000-0005-0000-0000-0000F4200000}"/>
    <cellStyle name="20% - Accent5 8 2 2 2 2" xfId="30123" xr:uid="{00000000-0005-0000-0000-0000F5200000}"/>
    <cellStyle name="20% - Accent5 8 2 2 3" xfId="19483" xr:uid="{00000000-0005-0000-0000-0000F6200000}"/>
    <cellStyle name="20% - Accent5 8 2 3" xfId="10852" xr:uid="{00000000-0005-0000-0000-0000F7200000}"/>
    <cellStyle name="20% - Accent5 8 2 3 2" xfId="24794" xr:uid="{00000000-0005-0000-0000-0000F8200000}"/>
    <cellStyle name="20% - Accent5 8 2 4" xfId="19482" xr:uid="{00000000-0005-0000-0000-0000F9200000}"/>
    <cellStyle name="20% - Accent5 8 3" xfId="2160" xr:uid="{00000000-0005-0000-0000-0000FA200000}"/>
    <cellStyle name="20% - Accent5 8 3 2" xfId="12094" xr:uid="{00000000-0005-0000-0000-0000FB200000}"/>
    <cellStyle name="20% - Accent5 8 3 2 2" xfId="25808" xr:uid="{00000000-0005-0000-0000-0000FC200000}"/>
    <cellStyle name="20% - Accent5 8 3 3" xfId="19484" xr:uid="{00000000-0005-0000-0000-0000FD200000}"/>
    <cellStyle name="20% - Accent5 8 4" xfId="2161" xr:uid="{00000000-0005-0000-0000-0000FE200000}"/>
    <cellStyle name="20% - Accent5 8 4 2" xfId="13668" xr:uid="{00000000-0005-0000-0000-0000FF200000}"/>
    <cellStyle name="20% - Accent5 8 4 2 2" xfId="27217" xr:uid="{00000000-0005-0000-0000-000000210000}"/>
    <cellStyle name="20% - Accent5 8 4 3" xfId="19485" xr:uid="{00000000-0005-0000-0000-000001210000}"/>
    <cellStyle name="20% - Accent5 8 5" xfId="2162" xr:uid="{00000000-0005-0000-0000-000002210000}"/>
    <cellStyle name="20% - Accent5 8 5 2" xfId="14249" xr:uid="{00000000-0005-0000-0000-000003210000}"/>
    <cellStyle name="20% - Accent5 8 5 2 2" xfId="27798" xr:uid="{00000000-0005-0000-0000-000004210000}"/>
    <cellStyle name="20% - Accent5 8 5 3" xfId="19486" xr:uid="{00000000-0005-0000-0000-000005210000}"/>
    <cellStyle name="20% - Accent5 8 6" xfId="2163" xr:uid="{00000000-0005-0000-0000-000006210000}"/>
    <cellStyle name="20% - Accent5 8 6 2" xfId="16135" xr:uid="{00000000-0005-0000-0000-000007210000}"/>
    <cellStyle name="20% - Accent5 8 6 2 2" xfId="29542" xr:uid="{00000000-0005-0000-0000-000008210000}"/>
    <cellStyle name="20% - Accent5 8 6 3" xfId="19487" xr:uid="{00000000-0005-0000-0000-000009210000}"/>
    <cellStyle name="20% - Accent5 8 7" xfId="9126" xr:uid="{00000000-0005-0000-0000-00000A210000}"/>
    <cellStyle name="20% - Accent5 8 7 2" xfId="23601" xr:uid="{00000000-0005-0000-0000-00000B210000}"/>
    <cellStyle name="20% - Accent5 8 8" xfId="19481" xr:uid="{00000000-0005-0000-0000-00000C210000}"/>
    <cellStyle name="20% - Accent5 9" xfId="2164" xr:uid="{00000000-0005-0000-0000-00000D210000}"/>
    <cellStyle name="20% - Accent5 9 2" xfId="2165" xr:uid="{00000000-0005-0000-0000-00000E210000}"/>
    <cellStyle name="20% - Accent5 9 2 2" xfId="11714" xr:uid="{00000000-0005-0000-0000-00000F210000}"/>
    <cellStyle name="20% - Accent5 9 2 2 2" xfId="25434" xr:uid="{00000000-0005-0000-0000-000010210000}"/>
    <cellStyle name="20% - Accent5 9 2 3" xfId="19489" xr:uid="{00000000-0005-0000-0000-000011210000}"/>
    <cellStyle name="20% - Accent5 9 3" xfId="2166" xr:uid="{00000000-0005-0000-0000-000012210000}"/>
    <cellStyle name="20% - Accent5 9 3 2" xfId="12809" xr:uid="{00000000-0005-0000-0000-000013210000}"/>
    <cellStyle name="20% - Accent5 9 3 2 2" xfId="26521" xr:uid="{00000000-0005-0000-0000-000014210000}"/>
    <cellStyle name="20% - Accent5 9 3 3" xfId="19490" xr:uid="{00000000-0005-0000-0000-000015210000}"/>
    <cellStyle name="20% - Accent5 9 4" xfId="2167" xr:uid="{00000000-0005-0000-0000-000016210000}"/>
    <cellStyle name="20% - Accent5 9 4 2" xfId="14956" xr:uid="{00000000-0005-0000-0000-000017210000}"/>
    <cellStyle name="20% - Accent5 9 4 2 2" xfId="28505" xr:uid="{00000000-0005-0000-0000-000018210000}"/>
    <cellStyle name="20% - Accent5 9 4 3" xfId="19491" xr:uid="{00000000-0005-0000-0000-000019210000}"/>
    <cellStyle name="20% - Accent5 9 5" xfId="2168" xr:uid="{00000000-0005-0000-0000-00001A210000}"/>
    <cellStyle name="20% - Accent5 9 5 2" xfId="17100" xr:uid="{00000000-0005-0000-0000-00001B210000}"/>
    <cellStyle name="20% - Accent5 9 5 2 2" xfId="30459" xr:uid="{00000000-0005-0000-0000-00001C210000}"/>
    <cellStyle name="20% - Accent5 9 5 3" xfId="19492" xr:uid="{00000000-0005-0000-0000-00001D210000}"/>
    <cellStyle name="20% - Accent5 9 6" xfId="10466" xr:uid="{00000000-0005-0000-0000-00001E210000}"/>
    <cellStyle name="20% - Accent5 9 6 2" xfId="24425" xr:uid="{00000000-0005-0000-0000-00001F210000}"/>
    <cellStyle name="20% - Accent5 9 7" xfId="19488" xr:uid="{00000000-0005-0000-0000-000020210000}"/>
    <cellStyle name="20% - Accent6" xfId="47" builtinId="50" customBuiltin="1"/>
    <cellStyle name="20% - Accent6 10" xfId="2169" xr:uid="{00000000-0005-0000-0000-000022210000}"/>
    <cellStyle name="20% - Accent6 10 2" xfId="2170" xr:uid="{00000000-0005-0000-0000-000023210000}"/>
    <cellStyle name="20% - Accent6 10 2 2" xfId="2171" xr:uid="{00000000-0005-0000-0000-000024210000}"/>
    <cellStyle name="20% - Accent6 10 2 2 2" xfId="12400" xr:uid="{00000000-0005-0000-0000-000025210000}"/>
    <cellStyle name="20% - Accent6 10 2 2 2 2" xfId="26112" xr:uid="{00000000-0005-0000-0000-000026210000}"/>
    <cellStyle name="20% - Accent6 10 2 2 3" xfId="19495" xr:uid="{00000000-0005-0000-0000-000027210000}"/>
    <cellStyle name="20% - Accent6 10 2 3" xfId="2172" xr:uid="{00000000-0005-0000-0000-000028210000}"/>
    <cellStyle name="20% - Accent6 10 2 3 2" xfId="14959" xr:uid="{00000000-0005-0000-0000-000029210000}"/>
    <cellStyle name="20% - Accent6 10 2 3 2 2" xfId="28508" xr:uid="{00000000-0005-0000-0000-00002A210000}"/>
    <cellStyle name="20% - Accent6 10 2 3 3" xfId="19496" xr:uid="{00000000-0005-0000-0000-00002B210000}"/>
    <cellStyle name="20% - Accent6 10 2 4" xfId="10854" xr:uid="{00000000-0005-0000-0000-00002C210000}"/>
    <cellStyle name="20% - Accent6 10 2 4 2" xfId="24796" xr:uid="{00000000-0005-0000-0000-00002D210000}"/>
    <cellStyle name="20% - Accent6 10 2 5" xfId="19494" xr:uid="{00000000-0005-0000-0000-00002E210000}"/>
    <cellStyle name="20% - Accent6 10 3" xfId="2173" xr:uid="{00000000-0005-0000-0000-00002F210000}"/>
    <cellStyle name="20% - Accent6 10 3 2" xfId="12472" xr:uid="{00000000-0005-0000-0000-000030210000}"/>
    <cellStyle name="20% - Accent6 10 3 2 2" xfId="26184" xr:uid="{00000000-0005-0000-0000-000031210000}"/>
    <cellStyle name="20% - Accent6 10 3 3" xfId="19497" xr:uid="{00000000-0005-0000-0000-000032210000}"/>
    <cellStyle name="20% - Accent6 10 4" xfId="2174" xr:uid="{00000000-0005-0000-0000-000033210000}"/>
    <cellStyle name="20% - Accent6 10 4 2" xfId="14958" xr:uid="{00000000-0005-0000-0000-000034210000}"/>
    <cellStyle name="20% - Accent6 10 4 2 2" xfId="28507" xr:uid="{00000000-0005-0000-0000-000035210000}"/>
    <cellStyle name="20% - Accent6 10 4 3" xfId="19498" xr:uid="{00000000-0005-0000-0000-000036210000}"/>
    <cellStyle name="20% - Accent6 10 5" xfId="2175" xr:uid="{00000000-0005-0000-0000-000037210000}"/>
    <cellStyle name="20% - Accent6 10 5 2" xfId="17190" xr:uid="{00000000-0005-0000-0000-000038210000}"/>
    <cellStyle name="20% - Accent6 10 5 2 2" xfId="30549" xr:uid="{00000000-0005-0000-0000-000039210000}"/>
    <cellStyle name="20% - Accent6 10 5 3" xfId="19499" xr:uid="{00000000-0005-0000-0000-00003A210000}"/>
    <cellStyle name="20% - Accent6 10 6" xfId="9128" xr:uid="{00000000-0005-0000-0000-00003B210000}"/>
    <cellStyle name="20% - Accent6 10 6 2" xfId="23603" xr:uid="{00000000-0005-0000-0000-00003C210000}"/>
    <cellStyle name="20% - Accent6 10 7" xfId="19493" xr:uid="{00000000-0005-0000-0000-00003D210000}"/>
    <cellStyle name="20% - Accent6 11" xfId="2176" xr:uid="{00000000-0005-0000-0000-00003E210000}"/>
    <cellStyle name="20% - Accent6 11 2" xfId="2177" xr:uid="{00000000-0005-0000-0000-00003F210000}"/>
    <cellStyle name="20% - Accent6 11 2 2" xfId="10855" xr:uid="{00000000-0005-0000-0000-000040210000}"/>
    <cellStyle name="20% - Accent6 11 2 2 2" xfId="24797" xr:uid="{00000000-0005-0000-0000-000041210000}"/>
    <cellStyle name="20% - Accent6 11 2 3" xfId="19501" xr:uid="{00000000-0005-0000-0000-000042210000}"/>
    <cellStyle name="20% - Accent6 11 3" xfId="2178" xr:uid="{00000000-0005-0000-0000-000043210000}"/>
    <cellStyle name="20% - Accent6 11 3 2" xfId="12812" xr:uid="{00000000-0005-0000-0000-000044210000}"/>
    <cellStyle name="20% - Accent6 11 3 2 2" xfId="26524" xr:uid="{00000000-0005-0000-0000-000045210000}"/>
    <cellStyle name="20% - Accent6 11 3 3" xfId="19502" xr:uid="{00000000-0005-0000-0000-000046210000}"/>
    <cellStyle name="20% - Accent6 11 4" xfId="2179" xr:uid="{00000000-0005-0000-0000-000047210000}"/>
    <cellStyle name="20% - Accent6 11 4 2" xfId="14960" xr:uid="{00000000-0005-0000-0000-000048210000}"/>
    <cellStyle name="20% - Accent6 11 4 2 2" xfId="28509" xr:uid="{00000000-0005-0000-0000-000049210000}"/>
    <cellStyle name="20% - Accent6 11 4 3" xfId="19503" xr:uid="{00000000-0005-0000-0000-00004A210000}"/>
    <cellStyle name="20% - Accent6 11 5" xfId="2180" xr:uid="{00000000-0005-0000-0000-00004B210000}"/>
    <cellStyle name="20% - Accent6 11 5 2" xfId="17279" xr:uid="{00000000-0005-0000-0000-00004C210000}"/>
    <cellStyle name="20% - Accent6 11 5 2 2" xfId="30638" xr:uid="{00000000-0005-0000-0000-00004D210000}"/>
    <cellStyle name="20% - Accent6 11 5 3" xfId="19504" xr:uid="{00000000-0005-0000-0000-00004E210000}"/>
    <cellStyle name="20% - Accent6 11 6" xfId="9129" xr:uid="{00000000-0005-0000-0000-00004F210000}"/>
    <cellStyle name="20% - Accent6 11 6 2" xfId="23604" xr:uid="{00000000-0005-0000-0000-000050210000}"/>
    <cellStyle name="20% - Accent6 11 7" xfId="19500" xr:uid="{00000000-0005-0000-0000-000051210000}"/>
    <cellStyle name="20% - Accent6 12" xfId="2181" xr:uid="{00000000-0005-0000-0000-000052210000}"/>
    <cellStyle name="20% - Accent6 12 2" xfId="2182" xr:uid="{00000000-0005-0000-0000-000053210000}"/>
    <cellStyle name="20% - Accent6 12 2 2" xfId="2183" xr:uid="{00000000-0005-0000-0000-000054210000}"/>
    <cellStyle name="20% - Accent6 12 2 2 2" xfId="10857" xr:uid="{00000000-0005-0000-0000-000055210000}"/>
    <cellStyle name="20% - Accent6 12 2 2 2 2" xfId="24799" xr:uid="{00000000-0005-0000-0000-000056210000}"/>
    <cellStyle name="20% - Accent6 12 2 2 3" xfId="19507" xr:uid="{00000000-0005-0000-0000-000057210000}"/>
    <cellStyle name="20% - Accent6 12 2 3" xfId="2184" xr:uid="{00000000-0005-0000-0000-000058210000}"/>
    <cellStyle name="20% - Accent6 12 2 3 2" xfId="12744" xr:uid="{00000000-0005-0000-0000-000059210000}"/>
    <cellStyle name="20% - Accent6 12 2 3 2 2" xfId="26456" xr:uid="{00000000-0005-0000-0000-00005A210000}"/>
    <cellStyle name="20% - Accent6 12 2 3 3" xfId="19508" xr:uid="{00000000-0005-0000-0000-00005B210000}"/>
    <cellStyle name="20% - Accent6 12 2 4" xfId="2185" xr:uid="{00000000-0005-0000-0000-00005C210000}"/>
    <cellStyle name="20% - Accent6 12 2 4 2" xfId="14962" xr:uid="{00000000-0005-0000-0000-00005D210000}"/>
    <cellStyle name="20% - Accent6 12 2 4 2 2" xfId="28511" xr:uid="{00000000-0005-0000-0000-00005E210000}"/>
    <cellStyle name="20% - Accent6 12 2 4 3" xfId="19509" xr:uid="{00000000-0005-0000-0000-00005F210000}"/>
    <cellStyle name="20% - Accent6 12 2 5" xfId="9131" xr:uid="{00000000-0005-0000-0000-000060210000}"/>
    <cellStyle name="20% - Accent6 12 2 5 2" xfId="23606" xr:uid="{00000000-0005-0000-0000-000061210000}"/>
    <cellStyle name="20% - Accent6 12 2 6" xfId="19506" xr:uid="{00000000-0005-0000-0000-000062210000}"/>
    <cellStyle name="20% - Accent6 12 3" xfId="2186" xr:uid="{00000000-0005-0000-0000-000063210000}"/>
    <cellStyle name="20% - Accent6 12 3 2" xfId="10856" xr:uid="{00000000-0005-0000-0000-000064210000}"/>
    <cellStyle name="20% - Accent6 12 3 2 2" xfId="24798" xr:uid="{00000000-0005-0000-0000-000065210000}"/>
    <cellStyle name="20% - Accent6 12 3 3" xfId="19510" xr:uid="{00000000-0005-0000-0000-000066210000}"/>
    <cellStyle name="20% - Accent6 12 4" xfId="2187" xr:uid="{00000000-0005-0000-0000-000067210000}"/>
    <cellStyle name="20% - Accent6 12 4 2" xfId="12548" xr:uid="{00000000-0005-0000-0000-000068210000}"/>
    <cellStyle name="20% - Accent6 12 4 2 2" xfId="26260" xr:uid="{00000000-0005-0000-0000-000069210000}"/>
    <cellStyle name="20% - Accent6 12 4 3" xfId="19511" xr:uid="{00000000-0005-0000-0000-00006A210000}"/>
    <cellStyle name="20% - Accent6 12 5" xfId="2188" xr:uid="{00000000-0005-0000-0000-00006B210000}"/>
    <cellStyle name="20% - Accent6 12 5 2" xfId="14961" xr:uid="{00000000-0005-0000-0000-00006C210000}"/>
    <cellStyle name="20% - Accent6 12 5 2 2" xfId="28510" xr:uid="{00000000-0005-0000-0000-00006D210000}"/>
    <cellStyle name="20% - Accent6 12 5 3" xfId="19512" xr:uid="{00000000-0005-0000-0000-00006E210000}"/>
    <cellStyle name="20% - Accent6 12 6" xfId="2189" xr:uid="{00000000-0005-0000-0000-00006F210000}"/>
    <cellStyle name="20% - Accent6 12 6 2" xfId="16431" xr:uid="{00000000-0005-0000-0000-000070210000}"/>
    <cellStyle name="20% - Accent6 12 6 2 2" xfId="29838" xr:uid="{00000000-0005-0000-0000-000071210000}"/>
    <cellStyle name="20% - Accent6 12 6 3" xfId="19513" xr:uid="{00000000-0005-0000-0000-000072210000}"/>
    <cellStyle name="20% - Accent6 12 7" xfId="9130" xr:uid="{00000000-0005-0000-0000-000073210000}"/>
    <cellStyle name="20% - Accent6 12 7 2" xfId="23605" xr:uid="{00000000-0005-0000-0000-000074210000}"/>
    <cellStyle name="20% - Accent6 12 8" xfId="19505" xr:uid="{00000000-0005-0000-0000-000075210000}"/>
    <cellStyle name="20% - Accent6 13" xfId="2190" xr:uid="{00000000-0005-0000-0000-000076210000}"/>
    <cellStyle name="20% - Accent6 13 2" xfId="2191" xr:uid="{00000000-0005-0000-0000-000077210000}"/>
    <cellStyle name="20% - Accent6 13 2 2" xfId="10858" xr:uid="{00000000-0005-0000-0000-000078210000}"/>
    <cellStyle name="20% - Accent6 13 2 2 2" xfId="24800" xr:uid="{00000000-0005-0000-0000-000079210000}"/>
    <cellStyle name="20% - Accent6 13 2 3" xfId="19515" xr:uid="{00000000-0005-0000-0000-00007A210000}"/>
    <cellStyle name="20% - Accent6 13 3" xfId="2192" xr:uid="{00000000-0005-0000-0000-00007B210000}"/>
    <cellStyle name="20% - Accent6 13 3 2" xfId="12552" xr:uid="{00000000-0005-0000-0000-00007C210000}"/>
    <cellStyle name="20% - Accent6 13 3 2 2" xfId="26264" xr:uid="{00000000-0005-0000-0000-00007D210000}"/>
    <cellStyle name="20% - Accent6 13 3 3" xfId="19516" xr:uid="{00000000-0005-0000-0000-00007E210000}"/>
    <cellStyle name="20% - Accent6 13 4" xfId="2193" xr:uid="{00000000-0005-0000-0000-00007F210000}"/>
    <cellStyle name="20% - Accent6 13 4 2" xfId="14963" xr:uid="{00000000-0005-0000-0000-000080210000}"/>
    <cellStyle name="20% - Accent6 13 4 2 2" xfId="28512" xr:uid="{00000000-0005-0000-0000-000081210000}"/>
    <cellStyle name="20% - Accent6 13 4 3" xfId="19517" xr:uid="{00000000-0005-0000-0000-000082210000}"/>
    <cellStyle name="20% - Accent6 13 5" xfId="9132" xr:uid="{00000000-0005-0000-0000-000083210000}"/>
    <cellStyle name="20% - Accent6 13 5 2" xfId="23607" xr:uid="{00000000-0005-0000-0000-000084210000}"/>
    <cellStyle name="20% - Accent6 13 6" xfId="19514" xr:uid="{00000000-0005-0000-0000-000085210000}"/>
    <cellStyle name="20% - Accent6 14" xfId="2194" xr:uid="{00000000-0005-0000-0000-000086210000}"/>
    <cellStyle name="20% - Accent6 14 2" xfId="2195" xr:uid="{00000000-0005-0000-0000-000087210000}"/>
    <cellStyle name="20% - Accent6 14 2 2" xfId="10859" xr:uid="{00000000-0005-0000-0000-000088210000}"/>
    <cellStyle name="20% - Accent6 14 2 2 2" xfId="24801" xr:uid="{00000000-0005-0000-0000-000089210000}"/>
    <cellStyle name="20% - Accent6 14 2 3" xfId="19519" xr:uid="{00000000-0005-0000-0000-00008A210000}"/>
    <cellStyle name="20% - Accent6 14 3" xfId="2196" xr:uid="{00000000-0005-0000-0000-00008B210000}"/>
    <cellStyle name="20% - Accent6 14 3 2" xfId="12608" xr:uid="{00000000-0005-0000-0000-00008C210000}"/>
    <cellStyle name="20% - Accent6 14 3 2 2" xfId="26320" xr:uid="{00000000-0005-0000-0000-00008D210000}"/>
    <cellStyle name="20% - Accent6 14 3 3" xfId="19520" xr:uid="{00000000-0005-0000-0000-00008E210000}"/>
    <cellStyle name="20% - Accent6 14 4" xfId="2197" xr:uid="{00000000-0005-0000-0000-00008F210000}"/>
    <cellStyle name="20% - Accent6 14 4 2" xfId="14964" xr:uid="{00000000-0005-0000-0000-000090210000}"/>
    <cellStyle name="20% - Accent6 14 4 2 2" xfId="28513" xr:uid="{00000000-0005-0000-0000-000091210000}"/>
    <cellStyle name="20% - Accent6 14 4 3" xfId="19521" xr:uid="{00000000-0005-0000-0000-000092210000}"/>
    <cellStyle name="20% - Accent6 14 5" xfId="9133" xr:uid="{00000000-0005-0000-0000-000093210000}"/>
    <cellStyle name="20% - Accent6 14 5 2" xfId="23608" xr:uid="{00000000-0005-0000-0000-000094210000}"/>
    <cellStyle name="20% - Accent6 14 6" xfId="19518" xr:uid="{00000000-0005-0000-0000-000095210000}"/>
    <cellStyle name="20% - Accent6 15" xfId="2198" xr:uid="{00000000-0005-0000-0000-000096210000}"/>
    <cellStyle name="20% - Accent6 15 2" xfId="2199" xr:uid="{00000000-0005-0000-0000-000097210000}"/>
    <cellStyle name="20% - Accent6 15 2 2" xfId="10860" xr:uid="{00000000-0005-0000-0000-000098210000}"/>
    <cellStyle name="20% - Accent6 15 2 2 2" xfId="24802" xr:uid="{00000000-0005-0000-0000-000099210000}"/>
    <cellStyle name="20% - Accent6 15 2 3" xfId="19523" xr:uid="{00000000-0005-0000-0000-00009A210000}"/>
    <cellStyle name="20% - Accent6 15 3" xfId="2200" xr:uid="{00000000-0005-0000-0000-00009B210000}"/>
    <cellStyle name="20% - Accent6 15 3 2" xfId="12669" xr:uid="{00000000-0005-0000-0000-00009C210000}"/>
    <cellStyle name="20% - Accent6 15 3 2 2" xfId="26381" xr:uid="{00000000-0005-0000-0000-00009D210000}"/>
    <cellStyle name="20% - Accent6 15 3 3" xfId="19524" xr:uid="{00000000-0005-0000-0000-00009E210000}"/>
    <cellStyle name="20% - Accent6 15 4" xfId="2201" xr:uid="{00000000-0005-0000-0000-00009F210000}"/>
    <cellStyle name="20% - Accent6 15 4 2" xfId="14965" xr:uid="{00000000-0005-0000-0000-0000A0210000}"/>
    <cellStyle name="20% - Accent6 15 4 2 2" xfId="28514" xr:uid="{00000000-0005-0000-0000-0000A1210000}"/>
    <cellStyle name="20% - Accent6 15 4 3" xfId="19525" xr:uid="{00000000-0005-0000-0000-0000A2210000}"/>
    <cellStyle name="20% - Accent6 15 5" xfId="9134" xr:uid="{00000000-0005-0000-0000-0000A3210000}"/>
    <cellStyle name="20% - Accent6 15 5 2" xfId="23609" xr:uid="{00000000-0005-0000-0000-0000A4210000}"/>
    <cellStyle name="20% - Accent6 15 6" xfId="19522" xr:uid="{00000000-0005-0000-0000-0000A5210000}"/>
    <cellStyle name="20% - Accent6 16" xfId="2202" xr:uid="{00000000-0005-0000-0000-0000A6210000}"/>
    <cellStyle name="20% - Accent6 16 2" xfId="2203" xr:uid="{00000000-0005-0000-0000-0000A7210000}"/>
    <cellStyle name="20% - Accent6 16 2 2" xfId="10861" xr:uid="{00000000-0005-0000-0000-0000A8210000}"/>
    <cellStyle name="20% - Accent6 16 2 2 2" xfId="24803" xr:uid="{00000000-0005-0000-0000-0000A9210000}"/>
    <cellStyle name="20% - Accent6 16 2 3" xfId="19527" xr:uid="{00000000-0005-0000-0000-0000AA210000}"/>
    <cellStyle name="20% - Accent6 16 3" xfId="2204" xr:uid="{00000000-0005-0000-0000-0000AB210000}"/>
    <cellStyle name="20% - Accent6 16 3 2" xfId="12461" xr:uid="{00000000-0005-0000-0000-0000AC210000}"/>
    <cellStyle name="20% - Accent6 16 3 2 2" xfId="26173" xr:uid="{00000000-0005-0000-0000-0000AD210000}"/>
    <cellStyle name="20% - Accent6 16 3 3" xfId="19528" xr:uid="{00000000-0005-0000-0000-0000AE210000}"/>
    <cellStyle name="20% - Accent6 16 4" xfId="2205" xr:uid="{00000000-0005-0000-0000-0000AF210000}"/>
    <cellStyle name="20% - Accent6 16 4 2" xfId="14966" xr:uid="{00000000-0005-0000-0000-0000B0210000}"/>
    <cellStyle name="20% - Accent6 16 4 2 2" xfId="28515" xr:uid="{00000000-0005-0000-0000-0000B1210000}"/>
    <cellStyle name="20% - Accent6 16 4 3" xfId="19529" xr:uid="{00000000-0005-0000-0000-0000B2210000}"/>
    <cellStyle name="20% - Accent6 16 5" xfId="9135" xr:uid="{00000000-0005-0000-0000-0000B3210000}"/>
    <cellStyle name="20% - Accent6 16 5 2" xfId="23610" xr:uid="{00000000-0005-0000-0000-0000B4210000}"/>
    <cellStyle name="20% - Accent6 16 6" xfId="19526" xr:uid="{00000000-0005-0000-0000-0000B5210000}"/>
    <cellStyle name="20% - Accent6 17" xfId="2206" xr:uid="{00000000-0005-0000-0000-0000B6210000}"/>
    <cellStyle name="20% - Accent6 17 2" xfId="2207" xr:uid="{00000000-0005-0000-0000-0000B7210000}"/>
    <cellStyle name="20% - Accent6 17 2 2" xfId="10862" xr:uid="{00000000-0005-0000-0000-0000B8210000}"/>
    <cellStyle name="20% - Accent6 17 2 2 2" xfId="24804" xr:uid="{00000000-0005-0000-0000-0000B9210000}"/>
    <cellStyle name="20% - Accent6 17 2 3" xfId="19531" xr:uid="{00000000-0005-0000-0000-0000BA210000}"/>
    <cellStyle name="20% - Accent6 17 3" xfId="2208" xr:uid="{00000000-0005-0000-0000-0000BB210000}"/>
    <cellStyle name="20% - Accent6 17 3 2" xfId="11781" xr:uid="{00000000-0005-0000-0000-0000BC210000}"/>
    <cellStyle name="20% - Accent6 17 3 2 2" xfId="25496" xr:uid="{00000000-0005-0000-0000-0000BD210000}"/>
    <cellStyle name="20% - Accent6 17 3 3" xfId="19532" xr:uid="{00000000-0005-0000-0000-0000BE210000}"/>
    <cellStyle name="20% - Accent6 17 4" xfId="2209" xr:uid="{00000000-0005-0000-0000-0000BF210000}"/>
    <cellStyle name="20% - Accent6 17 4 2" xfId="14967" xr:uid="{00000000-0005-0000-0000-0000C0210000}"/>
    <cellStyle name="20% - Accent6 17 4 2 2" xfId="28516" xr:uid="{00000000-0005-0000-0000-0000C1210000}"/>
    <cellStyle name="20% - Accent6 17 4 3" xfId="19533" xr:uid="{00000000-0005-0000-0000-0000C2210000}"/>
    <cellStyle name="20% - Accent6 17 5" xfId="9136" xr:uid="{00000000-0005-0000-0000-0000C3210000}"/>
    <cellStyle name="20% - Accent6 17 5 2" xfId="23611" xr:uid="{00000000-0005-0000-0000-0000C4210000}"/>
    <cellStyle name="20% - Accent6 17 6" xfId="19530" xr:uid="{00000000-0005-0000-0000-0000C5210000}"/>
    <cellStyle name="20% - Accent6 18" xfId="2210" xr:uid="{00000000-0005-0000-0000-0000C6210000}"/>
    <cellStyle name="20% - Accent6 18 2" xfId="2211" xr:uid="{00000000-0005-0000-0000-0000C7210000}"/>
    <cellStyle name="20% - Accent6 18 2 2" xfId="10863" xr:uid="{00000000-0005-0000-0000-0000C8210000}"/>
    <cellStyle name="20% - Accent6 18 2 2 2" xfId="24805" xr:uid="{00000000-0005-0000-0000-0000C9210000}"/>
    <cellStyle name="20% - Accent6 18 2 3" xfId="19535" xr:uid="{00000000-0005-0000-0000-0000CA210000}"/>
    <cellStyle name="20% - Accent6 18 3" xfId="2212" xr:uid="{00000000-0005-0000-0000-0000CB210000}"/>
    <cellStyle name="20% - Accent6 18 3 2" xfId="12729" xr:uid="{00000000-0005-0000-0000-0000CC210000}"/>
    <cellStyle name="20% - Accent6 18 3 2 2" xfId="26441" xr:uid="{00000000-0005-0000-0000-0000CD210000}"/>
    <cellStyle name="20% - Accent6 18 3 3" xfId="19536" xr:uid="{00000000-0005-0000-0000-0000CE210000}"/>
    <cellStyle name="20% - Accent6 18 4" xfId="2213" xr:uid="{00000000-0005-0000-0000-0000CF210000}"/>
    <cellStyle name="20% - Accent6 18 4 2" xfId="14968" xr:uid="{00000000-0005-0000-0000-0000D0210000}"/>
    <cellStyle name="20% - Accent6 18 4 2 2" xfId="28517" xr:uid="{00000000-0005-0000-0000-0000D1210000}"/>
    <cellStyle name="20% - Accent6 18 4 3" xfId="19537" xr:uid="{00000000-0005-0000-0000-0000D2210000}"/>
    <cellStyle name="20% - Accent6 18 5" xfId="9137" xr:uid="{00000000-0005-0000-0000-0000D3210000}"/>
    <cellStyle name="20% - Accent6 18 5 2" xfId="23612" xr:uid="{00000000-0005-0000-0000-0000D4210000}"/>
    <cellStyle name="20% - Accent6 18 6" xfId="19534" xr:uid="{00000000-0005-0000-0000-0000D5210000}"/>
    <cellStyle name="20% - Accent6 19" xfId="2214" xr:uid="{00000000-0005-0000-0000-0000D6210000}"/>
    <cellStyle name="20% - Accent6 19 2" xfId="2215" xr:uid="{00000000-0005-0000-0000-0000D7210000}"/>
    <cellStyle name="20% - Accent6 19 2 2" xfId="11715" xr:uid="{00000000-0005-0000-0000-0000D8210000}"/>
    <cellStyle name="20% - Accent6 19 2 2 2" xfId="25435" xr:uid="{00000000-0005-0000-0000-0000D9210000}"/>
    <cellStyle name="20% - Accent6 19 2 3" xfId="19539" xr:uid="{00000000-0005-0000-0000-0000DA210000}"/>
    <cellStyle name="20% - Accent6 19 3" xfId="2216" xr:uid="{00000000-0005-0000-0000-0000DB210000}"/>
    <cellStyle name="20% - Accent6 19 3 2" xfId="12650" xr:uid="{00000000-0005-0000-0000-0000DC210000}"/>
    <cellStyle name="20% - Accent6 19 3 2 2" xfId="26362" xr:uid="{00000000-0005-0000-0000-0000DD210000}"/>
    <cellStyle name="20% - Accent6 19 3 3" xfId="19540" xr:uid="{00000000-0005-0000-0000-0000DE210000}"/>
    <cellStyle name="20% - Accent6 19 4" xfId="2217" xr:uid="{00000000-0005-0000-0000-0000DF210000}"/>
    <cellStyle name="20% - Accent6 19 4 2" xfId="14969" xr:uid="{00000000-0005-0000-0000-0000E0210000}"/>
    <cellStyle name="20% - Accent6 19 4 2 2" xfId="28518" xr:uid="{00000000-0005-0000-0000-0000E1210000}"/>
    <cellStyle name="20% - Accent6 19 4 3" xfId="19541" xr:uid="{00000000-0005-0000-0000-0000E2210000}"/>
    <cellStyle name="20% - Accent6 19 5" xfId="10467" xr:uid="{00000000-0005-0000-0000-0000E3210000}"/>
    <cellStyle name="20% - Accent6 19 5 2" xfId="24426" xr:uid="{00000000-0005-0000-0000-0000E4210000}"/>
    <cellStyle name="20% - Accent6 19 6" xfId="19538" xr:uid="{00000000-0005-0000-0000-0000E5210000}"/>
    <cellStyle name="20% - Accent6 2" xfId="2218" xr:uid="{00000000-0005-0000-0000-0000E6210000}"/>
    <cellStyle name="20% - Accent6 2 10" xfId="2219" xr:uid="{00000000-0005-0000-0000-0000E7210000}"/>
    <cellStyle name="20% - Accent6 2 10 2" xfId="2220" xr:uid="{00000000-0005-0000-0000-0000E8210000}"/>
    <cellStyle name="20% - Accent6 2 10 2 2" xfId="14971" xr:uid="{00000000-0005-0000-0000-0000E9210000}"/>
    <cellStyle name="20% - Accent6 2 10 2 2 2" xfId="28520" xr:uid="{00000000-0005-0000-0000-0000EA210000}"/>
    <cellStyle name="20% - Accent6 2 10 2 3" xfId="19544" xr:uid="{00000000-0005-0000-0000-0000EB210000}"/>
    <cellStyle name="20% - Accent6 2 10 3" xfId="11848" xr:uid="{00000000-0005-0000-0000-0000EC210000}"/>
    <cellStyle name="20% - Accent6 2 10 3 2" xfId="25563" xr:uid="{00000000-0005-0000-0000-0000ED210000}"/>
    <cellStyle name="20% - Accent6 2 10 4" xfId="19543" xr:uid="{00000000-0005-0000-0000-0000EE210000}"/>
    <cellStyle name="20% - Accent6 2 11" xfId="2221" xr:uid="{00000000-0005-0000-0000-0000EF210000}"/>
    <cellStyle name="20% - Accent6 2 11 2" xfId="11866" xr:uid="{00000000-0005-0000-0000-0000F0210000}"/>
    <cellStyle name="20% - Accent6 2 11 2 2" xfId="25581" xr:uid="{00000000-0005-0000-0000-0000F1210000}"/>
    <cellStyle name="20% - Accent6 2 11 3" xfId="19545" xr:uid="{00000000-0005-0000-0000-0000F2210000}"/>
    <cellStyle name="20% - Accent6 2 12" xfId="2222" xr:uid="{00000000-0005-0000-0000-0000F3210000}"/>
    <cellStyle name="20% - Accent6 2 12 2" xfId="13445" xr:uid="{00000000-0005-0000-0000-0000F4210000}"/>
    <cellStyle name="20% - Accent6 2 12 2 2" xfId="26994" xr:uid="{00000000-0005-0000-0000-0000F5210000}"/>
    <cellStyle name="20% - Accent6 2 12 3" xfId="19546" xr:uid="{00000000-0005-0000-0000-0000F6210000}"/>
    <cellStyle name="20% - Accent6 2 13" xfId="2223" xr:uid="{00000000-0005-0000-0000-0000F7210000}"/>
    <cellStyle name="20% - Accent6 2 13 2" xfId="14026" xr:uid="{00000000-0005-0000-0000-0000F8210000}"/>
    <cellStyle name="20% - Accent6 2 13 2 2" xfId="27575" xr:uid="{00000000-0005-0000-0000-0000F9210000}"/>
    <cellStyle name="20% - Accent6 2 13 3" xfId="19547" xr:uid="{00000000-0005-0000-0000-0000FA210000}"/>
    <cellStyle name="20% - Accent6 2 14" xfId="2224" xr:uid="{00000000-0005-0000-0000-0000FB210000}"/>
    <cellStyle name="20% - Accent6 2 14 2" xfId="14970" xr:uid="{00000000-0005-0000-0000-0000FC210000}"/>
    <cellStyle name="20% - Accent6 2 14 2 2" xfId="28519" xr:uid="{00000000-0005-0000-0000-0000FD210000}"/>
    <cellStyle name="20% - Accent6 2 14 3" xfId="19548" xr:uid="{00000000-0005-0000-0000-0000FE210000}"/>
    <cellStyle name="20% - Accent6 2 15" xfId="2225" xr:uid="{00000000-0005-0000-0000-0000FF210000}"/>
    <cellStyle name="20% - Accent6 2 15 2" xfId="15912" xr:uid="{00000000-0005-0000-0000-000000220000}"/>
    <cellStyle name="20% - Accent6 2 15 2 2" xfId="29319" xr:uid="{00000000-0005-0000-0000-000001220000}"/>
    <cellStyle name="20% - Accent6 2 15 3" xfId="19549" xr:uid="{00000000-0005-0000-0000-000002220000}"/>
    <cellStyle name="20% - Accent6 2 16" xfId="9138" xr:uid="{00000000-0005-0000-0000-000003220000}"/>
    <cellStyle name="20% - Accent6 2 16 2" xfId="23613" xr:uid="{00000000-0005-0000-0000-000004220000}"/>
    <cellStyle name="20% - Accent6 2 17" xfId="19542" xr:uid="{00000000-0005-0000-0000-000005220000}"/>
    <cellStyle name="20% - Accent6 2 18" xfId="33082" xr:uid="{00000000-0005-0000-0000-000006220000}"/>
    <cellStyle name="20% - Accent6 2 2" xfId="2226" xr:uid="{00000000-0005-0000-0000-000007220000}"/>
    <cellStyle name="20% - Accent6 2 2 10" xfId="2227" xr:uid="{00000000-0005-0000-0000-000008220000}"/>
    <cellStyle name="20% - Accent6 2 2 10 2" xfId="14972" xr:uid="{00000000-0005-0000-0000-000009220000}"/>
    <cellStyle name="20% - Accent6 2 2 10 2 2" xfId="28521" xr:uid="{00000000-0005-0000-0000-00000A220000}"/>
    <cellStyle name="20% - Accent6 2 2 10 3" xfId="19551" xr:uid="{00000000-0005-0000-0000-00000B220000}"/>
    <cellStyle name="20% - Accent6 2 2 11" xfId="2228" xr:uid="{00000000-0005-0000-0000-00000C220000}"/>
    <cellStyle name="20% - Accent6 2 2 11 2" xfId="15958" xr:uid="{00000000-0005-0000-0000-00000D220000}"/>
    <cellStyle name="20% - Accent6 2 2 11 2 2" xfId="29365" xr:uid="{00000000-0005-0000-0000-00000E220000}"/>
    <cellStyle name="20% - Accent6 2 2 11 3" xfId="19552" xr:uid="{00000000-0005-0000-0000-00000F220000}"/>
    <cellStyle name="20% - Accent6 2 2 12" xfId="9139" xr:uid="{00000000-0005-0000-0000-000010220000}"/>
    <cellStyle name="20% - Accent6 2 2 12 2" xfId="23614" xr:uid="{00000000-0005-0000-0000-000011220000}"/>
    <cellStyle name="20% - Accent6 2 2 13" xfId="19550" xr:uid="{00000000-0005-0000-0000-000012220000}"/>
    <cellStyle name="20% - Accent6 2 2 2" xfId="2229" xr:uid="{00000000-0005-0000-0000-000013220000}"/>
    <cellStyle name="20% - Accent6 2 2 2 10" xfId="2230" xr:uid="{00000000-0005-0000-0000-000014220000}"/>
    <cellStyle name="20% - Accent6 2 2 2 10 2" xfId="16101" xr:uid="{00000000-0005-0000-0000-000015220000}"/>
    <cellStyle name="20% - Accent6 2 2 2 10 2 2" xfId="29508" xr:uid="{00000000-0005-0000-0000-000016220000}"/>
    <cellStyle name="20% - Accent6 2 2 2 10 3" xfId="19554" xr:uid="{00000000-0005-0000-0000-000017220000}"/>
    <cellStyle name="20% - Accent6 2 2 2 11" xfId="9140" xr:uid="{00000000-0005-0000-0000-000018220000}"/>
    <cellStyle name="20% - Accent6 2 2 2 11 2" xfId="23615" xr:uid="{00000000-0005-0000-0000-000019220000}"/>
    <cellStyle name="20% - Accent6 2 2 2 12" xfId="19553" xr:uid="{00000000-0005-0000-0000-00001A220000}"/>
    <cellStyle name="20% - Accent6 2 2 2 2" xfId="2231" xr:uid="{00000000-0005-0000-0000-00001B220000}"/>
    <cellStyle name="20% - Accent6 2 2 2 2 10" xfId="9141" xr:uid="{00000000-0005-0000-0000-00001C220000}"/>
    <cellStyle name="20% - Accent6 2 2 2 2 10 2" xfId="23616" xr:uid="{00000000-0005-0000-0000-00001D220000}"/>
    <cellStyle name="20% - Accent6 2 2 2 2 11" xfId="19555" xr:uid="{00000000-0005-0000-0000-00001E220000}"/>
    <cellStyle name="20% - Accent6 2 2 2 2 2" xfId="2232" xr:uid="{00000000-0005-0000-0000-00001F220000}"/>
    <cellStyle name="20% - Accent6 2 2 2 2 2 2" xfId="2233" xr:uid="{00000000-0005-0000-0000-000020220000}"/>
    <cellStyle name="20% - Accent6 2 2 2 2 2 2 2" xfId="10868" xr:uid="{00000000-0005-0000-0000-000021220000}"/>
    <cellStyle name="20% - Accent6 2 2 2 2 2 2 2 2" xfId="24810" xr:uid="{00000000-0005-0000-0000-000022220000}"/>
    <cellStyle name="20% - Accent6 2 2 2 2 2 2 3" xfId="19557" xr:uid="{00000000-0005-0000-0000-000023220000}"/>
    <cellStyle name="20% - Accent6 2 2 2 2 2 3" xfId="2234" xr:uid="{00000000-0005-0000-0000-000024220000}"/>
    <cellStyle name="20% - Accent6 2 2 2 2 2 3 2" xfId="12674" xr:uid="{00000000-0005-0000-0000-000025220000}"/>
    <cellStyle name="20% - Accent6 2 2 2 2 2 3 2 2" xfId="26386" xr:uid="{00000000-0005-0000-0000-000026220000}"/>
    <cellStyle name="20% - Accent6 2 2 2 2 2 3 3" xfId="19558" xr:uid="{00000000-0005-0000-0000-000027220000}"/>
    <cellStyle name="20% - Accent6 2 2 2 2 2 4" xfId="2235" xr:uid="{00000000-0005-0000-0000-000028220000}"/>
    <cellStyle name="20% - Accent6 2 2 2 2 2 4 2" xfId="14975" xr:uid="{00000000-0005-0000-0000-000029220000}"/>
    <cellStyle name="20% - Accent6 2 2 2 2 2 4 2 2" xfId="28524" xr:uid="{00000000-0005-0000-0000-00002A220000}"/>
    <cellStyle name="20% - Accent6 2 2 2 2 2 4 3" xfId="19559" xr:uid="{00000000-0005-0000-0000-00002B220000}"/>
    <cellStyle name="20% - Accent6 2 2 2 2 2 5" xfId="2236" xr:uid="{00000000-0005-0000-0000-00002C220000}"/>
    <cellStyle name="20% - Accent6 2 2 2 2 2 5 2" xfId="16971" xr:uid="{00000000-0005-0000-0000-00002D220000}"/>
    <cellStyle name="20% - Accent6 2 2 2 2 2 5 2 2" xfId="30378" xr:uid="{00000000-0005-0000-0000-00002E220000}"/>
    <cellStyle name="20% - Accent6 2 2 2 2 2 5 3" xfId="19560" xr:uid="{00000000-0005-0000-0000-00002F220000}"/>
    <cellStyle name="20% - Accent6 2 2 2 2 2 6" xfId="9142" xr:uid="{00000000-0005-0000-0000-000030220000}"/>
    <cellStyle name="20% - Accent6 2 2 2 2 2 6 2" xfId="23617" xr:uid="{00000000-0005-0000-0000-000031220000}"/>
    <cellStyle name="20% - Accent6 2 2 2 2 2 7" xfId="19556" xr:uid="{00000000-0005-0000-0000-000032220000}"/>
    <cellStyle name="20% - Accent6 2 2 2 2 3" xfId="2237" xr:uid="{00000000-0005-0000-0000-000033220000}"/>
    <cellStyle name="20% - Accent6 2 2 2 2 3 2" xfId="2238" xr:uid="{00000000-0005-0000-0000-000034220000}"/>
    <cellStyle name="20% - Accent6 2 2 2 2 3 2 2" xfId="14976" xr:uid="{00000000-0005-0000-0000-000035220000}"/>
    <cellStyle name="20% - Accent6 2 2 2 2 3 2 2 2" xfId="28525" xr:uid="{00000000-0005-0000-0000-000036220000}"/>
    <cellStyle name="20% - Accent6 2 2 2 2 3 2 3" xfId="19562" xr:uid="{00000000-0005-0000-0000-000037220000}"/>
    <cellStyle name="20% - Accent6 2 2 2 2 3 3" xfId="10867" xr:uid="{00000000-0005-0000-0000-000038220000}"/>
    <cellStyle name="20% - Accent6 2 2 2 2 3 3 2" xfId="24809" xr:uid="{00000000-0005-0000-0000-000039220000}"/>
    <cellStyle name="20% - Accent6 2 2 2 2 3 4" xfId="19561" xr:uid="{00000000-0005-0000-0000-00003A220000}"/>
    <cellStyle name="20% - Accent6 2 2 2 2 4" xfId="2239" xr:uid="{00000000-0005-0000-0000-00003B220000}"/>
    <cellStyle name="20% - Accent6 2 2 2 2 4 2" xfId="12359" xr:uid="{00000000-0005-0000-0000-00003C220000}"/>
    <cellStyle name="20% - Accent6 2 2 2 2 4 2 2" xfId="26071" xr:uid="{00000000-0005-0000-0000-00003D220000}"/>
    <cellStyle name="20% - Accent6 2 2 2 2 4 3" xfId="19563" xr:uid="{00000000-0005-0000-0000-00003E220000}"/>
    <cellStyle name="20% - Accent6 2 2 2 2 5" xfId="2240" xr:uid="{00000000-0005-0000-0000-00003F220000}"/>
    <cellStyle name="20% - Accent6 2 2 2 2 5 2" xfId="11759" xr:uid="{00000000-0005-0000-0000-000040220000}"/>
    <cellStyle name="20% - Accent6 2 2 2 2 5 2 2" xfId="25474" xr:uid="{00000000-0005-0000-0000-000041220000}"/>
    <cellStyle name="20% - Accent6 2 2 2 2 5 3" xfId="19564" xr:uid="{00000000-0005-0000-0000-000042220000}"/>
    <cellStyle name="20% - Accent6 2 2 2 2 6" xfId="2241" xr:uid="{00000000-0005-0000-0000-000043220000}"/>
    <cellStyle name="20% - Accent6 2 2 2 2 6 2" xfId="13923" xr:uid="{00000000-0005-0000-0000-000044220000}"/>
    <cellStyle name="20% - Accent6 2 2 2 2 6 2 2" xfId="27472" xr:uid="{00000000-0005-0000-0000-000045220000}"/>
    <cellStyle name="20% - Accent6 2 2 2 2 6 3" xfId="19565" xr:uid="{00000000-0005-0000-0000-000046220000}"/>
    <cellStyle name="20% - Accent6 2 2 2 2 7" xfId="2242" xr:uid="{00000000-0005-0000-0000-000047220000}"/>
    <cellStyle name="20% - Accent6 2 2 2 2 7 2" xfId="14504" xr:uid="{00000000-0005-0000-0000-000048220000}"/>
    <cellStyle name="20% - Accent6 2 2 2 2 7 2 2" xfId="28053" xr:uid="{00000000-0005-0000-0000-000049220000}"/>
    <cellStyle name="20% - Accent6 2 2 2 2 7 3" xfId="19566" xr:uid="{00000000-0005-0000-0000-00004A220000}"/>
    <cellStyle name="20% - Accent6 2 2 2 2 8" xfId="2243" xr:uid="{00000000-0005-0000-0000-00004B220000}"/>
    <cellStyle name="20% - Accent6 2 2 2 2 8 2" xfId="14974" xr:uid="{00000000-0005-0000-0000-00004C220000}"/>
    <cellStyle name="20% - Accent6 2 2 2 2 8 2 2" xfId="28523" xr:uid="{00000000-0005-0000-0000-00004D220000}"/>
    <cellStyle name="20% - Accent6 2 2 2 2 8 3" xfId="19567" xr:uid="{00000000-0005-0000-0000-00004E220000}"/>
    <cellStyle name="20% - Accent6 2 2 2 2 9" xfId="2244" xr:uid="{00000000-0005-0000-0000-00004F220000}"/>
    <cellStyle name="20% - Accent6 2 2 2 2 9 2" xfId="16390" xr:uid="{00000000-0005-0000-0000-000050220000}"/>
    <cellStyle name="20% - Accent6 2 2 2 2 9 2 2" xfId="29797" xr:uid="{00000000-0005-0000-0000-000051220000}"/>
    <cellStyle name="20% - Accent6 2 2 2 2 9 3" xfId="19568" xr:uid="{00000000-0005-0000-0000-000052220000}"/>
    <cellStyle name="20% - Accent6 2 2 2 3" xfId="2245" xr:uid="{00000000-0005-0000-0000-000053220000}"/>
    <cellStyle name="20% - Accent6 2 2 2 3 2" xfId="2246" xr:uid="{00000000-0005-0000-0000-000054220000}"/>
    <cellStyle name="20% - Accent6 2 2 2 3 2 2" xfId="10869" xr:uid="{00000000-0005-0000-0000-000055220000}"/>
    <cellStyle name="20% - Accent6 2 2 2 3 2 2 2" xfId="24811" xr:uid="{00000000-0005-0000-0000-000056220000}"/>
    <cellStyle name="20% - Accent6 2 2 2 3 2 3" xfId="19570" xr:uid="{00000000-0005-0000-0000-000057220000}"/>
    <cellStyle name="20% - Accent6 2 2 2 3 3" xfId="2247" xr:uid="{00000000-0005-0000-0000-000058220000}"/>
    <cellStyle name="20% - Accent6 2 2 2 3 3 2" xfId="12448" xr:uid="{00000000-0005-0000-0000-000059220000}"/>
    <cellStyle name="20% - Accent6 2 2 2 3 3 2 2" xfId="26160" xr:uid="{00000000-0005-0000-0000-00005A220000}"/>
    <cellStyle name="20% - Accent6 2 2 2 3 3 3" xfId="19571" xr:uid="{00000000-0005-0000-0000-00005B220000}"/>
    <cellStyle name="20% - Accent6 2 2 2 3 4" xfId="2248" xr:uid="{00000000-0005-0000-0000-00005C220000}"/>
    <cellStyle name="20% - Accent6 2 2 2 3 4 2" xfId="14977" xr:uid="{00000000-0005-0000-0000-00005D220000}"/>
    <cellStyle name="20% - Accent6 2 2 2 3 4 2 2" xfId="28526" xr:uid="{00000000-0005-0000-0000-00005E220000}"/>
    <cellStyle name="20% - Accent6 2 2 2 3 4 3" xfId="19572" xr:uid="{00000000-0005-0000-0000-00005F220000}"/>
    <cellStyle name="20% - Accent6 2 2 2 3 5" xfId="2249" xr:uid="{00000000-0005-0000-0000-000060220000}"/>
    <cellStyle name="20% - Accent6 2 2 2 3 5 2" xfId="16682" xr:uid="{00000000-0005-0000-0000-000061220000}"/>
    <cellStyle name="20% - Accent6 2 2 2 3 5 2 2" xfId="30089" xr:uid="{00000000-0005-0000-0000-000062220000}"/>
    <cellStyle name="20% - Accent6 2 2 2 3 5 3" xfId="19573" xr:uid="{00000000-0005-0000-0000-000063220000}"/>
    <cellStyle name="20% - Accent6 2 2 2 3 6" xfId="9143" xr:uid="{00000000-0005-0000-0000-000064220000}"/>
    <cellStyle name="20% - Accent6 2 2 2 3 6 2" xfId="23618" xr:uid="{00000000-0005-0000-0000-000065220000}"/>
    <cellStyle name="20% - Accent6 2 2 2 3 7" xfId="19569" xr:uid="{00000000-0005-0000-0000-000066220000}"/>
    <cellStyle name="20% - Accent6 2 2 2 4" xfId="2250" xr:uid="{00000000-0005-0000-0000-000067220000}"/>
    <cellStyle name="20% - Accent6 2 2 2 4 2" xfId="2251" xr:uid="{00000000-0005-0000-0000-000068220000}"/>
    <cellStyle name="20% - Accent6 2 2 2 4 2 2" xfId="14978" xr:uid="{00000000-0005-0000-0000-000069220000}"/>
    <cellStyle name="20% - Accent6 2 2 2 4 2 2 2" xfId="28527" xr:uid="{00000000-0005-0000-0000-00006A220000}"/>
    <cellStyle name="20% - Accent6 2 2 2 4 2 3" xfId="19575" xr:uid="{00000000-0005-0000-0000-00006B220000}"/>
    <cellStyle name="20% - Accent6 2 2 2 4 3" xfId="10866" xr:uid="{00000000-0005-0000-0000-00006C220000}"/>
    <cellStyle name="20% - Accent6 2 2 2 4 3 2" xfId="24808" xr:uid="{00000000-0005-0000-0000-00006D220000}"/>
    <cellStyle name="20% - Accent6 2 2 2 4 4" xfId="19574" xr:uid="{00000000-0005-0000-0000-00006E220000}"/>
    <cellStyle name="20% - Accent6 2 2 2 5" xfId="2252" xr:uid="{00000000-0005-0000-0000-00006F220000}"/>
    <cellStyle name="20% - Accent6 2 2 2 5 2" xfId="12059" xr:uid="{00000000-0005-0000-0000-000070220000}"/>
    <cellStyle name="20% - Accent6 2 2 2 5 2 2" xfId="25774" xr:uid="{00000000-0005-0000-0000-000071220000}"/>
    <cellStyle name="20% - Accent6 2 2 2 5 3" xfId="19576" xr:uid="{00000000-0005-0000-0000-000072220000}"/>
    <cellStyle name="20% - Accent6 2 2 2 6" xfId="2253" xr:uid="{00000000-0005-0000-0000-000073220000}"/>
    <cellStyle name="20% - Accent6 2 2 2 6 2" xfId="12451" xr:uid="{00000000-0005-0000-0000-000074220000}"/>
    <cellStyle name="20% - Accent6 2 2 2 6 2 2" xfId="26163" xr:uid="{00000000-0005-0000-0000-000075220000}"/>
    <cellStyle name="20% - Accent6 2 2 2 6 3" xfId="19577" xr:uid="{00000000-0005-0000-0000-000076220000}"/>
    <cellStyle name="20% - Accent6 2 2 2 7" xfId="2254" xr:uid="{00000000-0005-0000-0000-000077220000}"/>
    <cellStyle name="20% - Accent6 2 2 2 7 2" xfId="13634" xr:uid="{00000000-0005-0000-0000-000078220000}"/>
    <cellStyle name="20% - Accent6 2 2 2 7 2 2" xfId="27183" xr:uid="{00000000-0005-0000-0000-000079220000}"/>
    <cellStyle name="20% - Accent6 2 2 2 7 3" xfId="19578" xr:uid="{00000000-0005-0000-0000-00007A220000}"/>
    <cellStyle name="20% - Accent6 2 2 2 8" xfId="2255" xr:uid="{00000000-0005-0000-0000-00007B220000}"/>
    <cellStyle name="20% - Accent6 2 2 2 8 2" xfId="14215" xr:uid="{00000000-0005-0000-0000-00007C220000}"/>
    <cellStyle name="20% - Accent6 2 2 2 8 2 2" xfId="27764" xr:uid="{00000000-0005-0000-0000-00007D220000}"/>
    <cellStyle name="20% - Accent6 2 2 2 8 3" xfId="19579" xr:uid="{00000000-0005-0000-0000-00007E220000}"/>
    <cellStyle name="20% - Accent6 2 2 2 9" xfId="2256" xr:uid="{00000000-0005-0000-0000-00007F220000}"/>
    <cellStyle name="20% - Accent6 2 2 2 9 2" xfId="14973" xr:uid="{00000000-0005-0000-0000-000080220000}"/>
    <cellStyle name="20% - Accent6 2 2 2 9 2 2" xfId="28522" xr:uid="{00000000-0005-0000-0000-000081220000}"/>
    <cellStyle name="20% - Accent6 2 2 2 9 3" xfId="19580" xr:uid="{00000000-0005-0000-0000-000082220000}"/>
    <cellStyle name="20% - Accent6 2 2 3" xfId="2257" xr:uid="{00000000-0005-0000-0000-000083220000}"/>
    <cellStyle name="20% - Accent6 2 2 3 10" xfId="9144" xr:uid="{00000000-0005-0000-0000-000084220000}"/>
    <cellStyle name="20% - Accent6 2 2 3 10 2" xfId="23619" xr:uid="{00000000-0005-0000-0000-000085220000}"/>
    <cellStyle name="20% - Accent6 2 2 3 11" xfId="19581" xr:uid="{00000000-0005-0000-0000-000086220000}"/>
    <cellStyle name="20% - Accent6 2 2 3 2" xfId="2258" xr:uid="{00000000-0005-0000-0000-000087220000}"/>
    <cellStyle name="20% - Accent6 2 2 3 2 2" xfId="2259" xr:uid="{00000000-0005-0000-0000-000088220000}"/>
    <cellStyle name="20% - Accent6 2 2 3 2 2 2" xfId="10871" xr:uid="{00000000-0005-0000-0000-000089220000}"/>
    <cellStyle name="20% - Accent6 2 2 3 2 2 2 2" xfId="24813" xr:uid="{00000000-0005-0000-0000-00008A220000}"/>
    <cellStyle name="20% - Accent6 2 2 3 2 2 3" xfId="19583" xr:uid="{00000000-0005-0000-0000-00008B220000}"/>
    <cellStyle name="20% - Accent6 2 2 3 2 3" xfId="2260" xr:uid="{00000000-0005-0000-0000-00008C220000}"/>
    <cellStyle name="20% - Accent6 2 2 3 2 3 2" xfId="11957" xr:uid="{00000000-0005-0000-0000-00008D220000}"/>
    <cellStyle name="20% - Accent6 2 2 3 2 3 2 2" xfId="25672" xr:uid="{00000000-0005-0000-0000-00008E220000}"/>
    <cellStyle name="20% - Accent6 2 2 3 2 3 3" xfId="19584" xr:uid="{00000000-0005-0000-0000-00008F220000}"/>
    <cellStyle name="20% - Accent6 2 2 3 2 4" xfId="2261" xr:uid="{00000000-0005-0000-0000-000090220000}"/>
    <cellStyle name="20% - Accent6 2 2 3 2 4 2" xfId="14980" xr:uid="{00000000-0005-0000-0000-000091220000}"/>
    <cellStyle name="20% - Accent6 2 2 3 2 4 2 2" xfId="28529" xr:uid="{00000000-0005-0000-0000-000092220000}"/>
    <cellStyle name="20% - Accent6 2 2 3 2 4 3" xfId="19585" xr:uid="{00000000-0005-0000-0000-000093220000}"/>
    <cellStyle name="20% - Accent6 2 2 3 2 5" xfId="2262" xr:uid="{00000000-0005-0000-0000-000094220000}"/>
    <cellStyle name="20% - Accent6 2 2 3 2 5 2" xfId="16828" xr:uid="{00000000-0005-0000-0000-000095220000}"/>
    <cellStyle name="20% - Accent6 2 2 3 2 5 2 2" xfId="30235" xr:uid="{00000000-0005-0000-0000-000096220000}"/>
    <cellStyle name="20% - Accent6 2 2 3 2 5 3" xfId="19586" xr:uid="{00000000-0005-0000-0000-000097220000}"/>
    <cellStyle name="20% - Accent6 2 2 3 2 6" xfId="9145" xr:uid="{00000000-0005-0000-0000-000098220000}"/>
    <cellStyle name="20% - Accent6 2 2 3 2 6 2" xfId="23620" xr:uid="{00000000-0005-0000-0000-000099220000}"/>
    <cellStyle name="20% - Accent6 2 2 3 2 7" xfId="19582" xr:uid="{00000000-0005-0000-0000-00009A220000}"/>
    <cellStyle name="20% - Accent6 2 2 3 3" xfId="2263" xr:uid="{00000000-0005-0000-0000-00009B220000}"/>
    <cellStyle name="20% - Accent6 2 2 3 3 2" xfId="2264" xr:uid="{00000000-0005-0000-0000-00009C220000}"/>
    <cellStyle name="20% - Accent6 2 2 3 3 2 2" xfId="14981" xr:uid="{00000000-0005-0000-0000-00009D220000}"/>
    <cellStyle name="20% - Accent6 2 2 3 3 2 2 2" xfId="28530" xr:uid="{00000000-0005-0000-0000-00009E220000}"/>
    <cellStyle name="20% - Accent6 2 2 3 3 2 3" xfId="19588" xr:uid="{00000000-0005-0000-0000-00009F220000}"/>
    <cellStyle name="20% - Accent6 2 2 3 3 3" xfId="10870" xr:uid="{00000000-0005-0000-0000-0000A0220000}"/>
    <cellStyle name="20% - Accent6 2 2 3 3 3 2" xfId="24812" xr:uid="{00000000-0005-0000-0000-0000A1220000}"/>
    <cellStyle name="20% - Accent6 2 2 3 3 4" xfId="19587" xr:uid="{00000000-0005-0000-0000-0000A2220000}"/>
    <cellStyle name="20% - Accent6 2 2 3 4" xfId="2265" xr:uid="{00000000-0005-0000-0000-0000A3220000}"/>
    <cellStyle name="20% - Accent6 2 2 3 4 2" xfId="12216" xr:uid="{00000000-0005-0000-0000-0000A4220000}"/>
    <cellStyle name="20% - Accent6 2 2 3 4 2 2" xfId="25928" xr:uid="{00000000-0005-0000-0000-0000A5220000}"/>
    <cellStyle name="20% - Accent6 2 2 3 4 3" xfId="19589" xr:uid="{00000000-0005-0000-0000-0000A6220000}"/>
    <cellStyle name="20% - Accent6 2 2 3 5" xfId="2266" xr:uid="{00000000-0005-0000-0000-0000A7220000}"/>
    <cellStyle name="20% - Accent6 2 2 3 5 2" xfId="12614" xr:uid="{00000000-0005-0000-0000-0000A8220000}"/>
    <cellStyle name="20% - Accent6 2 2 3 5 2 2" xfId="26326" xr:uid="{00000000-0005-0000-0000-0000A9220000}"/>
    <cellStyle name="20% - Accent6 2 2 3 5 3" xfId="19590" xr:uid="{00000000-0005-0000-0000-0000AA220000}"/>
    <cellStyle name="20% - Accent6 2 2 3 6" xfId="2267" xr:uid="{00000000-0005-0000-0000-0000AB220000}"/>
    <cellStyle name="20% - Accent6 2 2 3 6 2" xfId="13780" xr:uid="{00000000-0005-0000-0000-0000AC220000}"/>
    <cellStyle name="20% - Accent6 2 2 3 6 2 2" xfId="27329" xr:uid="{00000000-0005-0000-0000-0000AD220000}"/>
    <cellStyle name="20% - Accent6 2 2 3 6 3" xfId="19591" xr:uid="{00000000-0005-0000-0000-0000AE220000}"/>
    <cellStyle name="20% - Accent6 2 2 3 7" xfId="2268" xr:uid="{00000000-0005-0000-0000-0000AF220000}"/>
    <cellStyle name="20% - Accent6 2 2 3 7 2" xfId="14361" xr:uid="{00000000-0005-0000-0000-0000B0220000}"/>
    <cellStyle name="20% - Accent6 2 2 3 7 2 2" xfId="27910" xr:uid="{00000000-0005-0000-0000-0000B1220000}"/>
    <cellStyle name="20% - Accent6 2 2 3 7 3" xfId="19592" xr:uid="{00000000-0005-0000-0000-0000B2220000}"/>
    <cellStyle name="20% - Accent6 2 2 3 8" xfId="2269" xr:uid="{00000000-0005-0000-0000-0000B3220000}"/>
    <cellStyle name="20% - Accent6 2 2 3 8 2" xfId="14979" xr:uid="{00000000-0005-0000-0000-0000B4220000}"/>
    <cellStyle name="20% - Accent6 2 2 3 8 2 2" xfId="28528" xr:uid="{00000000-0005-0000-0000-0000B5220000}"/>
    <cellStyle name="20% - Accent6 2 2 3 8 3" xfId="19593" xr:uid="{00000000-0005-0000-0000-0000B6220000}"/>
    <cellStyle name="20% - Accent6 2 2 3 9" xfId="2270" xr:uid="{00000000-0005-0000-0000-0000B7220000}"/>
    <cellStyle name="20% - Accent6 2 2 3 9 2" xfId="16247" xr:uid="{00000000-0005-0000-0000-0000B8220000}"/>
    <cellStyle name="20% - Accent6 2 2 3 9 2 2" xfId="29654" xr:uid="{00000000-0005-0000-0000-0000B9220000}"/>
    <cellStyle name="20% - Accent6 2 2 3 9 3" xfId="19594" xr:uid="{00000000-0005-0000-0000-0000BA220000}"/>
    <cellStyle name="20% - Accent6 2 2 4" xfId="2271" xr:uid="{00000000-0005-0000-0000-0000BB220000}"/>
    <cellStyle name="20% - Accent6 2 2 4 2" xfId="2272" xr:uid="{00000000-0005-0000-0000-0000BC220000}"/>
    <cellStyle name="20% - Accent6 2 2 4 2 2" xfId="10872" xr:uid="{00000000-0005-0000-0000-0000BD220000}"/>
    <cellStyle name="20% - Accent6 2 2 4 2 2 2" xfId="24814" xr:uid="{00000000-0005-0000-0000-0000BE220000}"/>
    <cellStyle name="20% - Accent6 2 2 4 2 3" xfId="19596" xr:uid="{00000000-0005-0000-0000-0000BF220000}"/>
    <cellStyle name="20% - Accent6 2 2 4 3" xfId="2273" xr:uid="{00000000-0005-0000-0000-0000C0220000}"/>
    <cellStyle name="20% - Accent6 2 2 4 3 2" xfId="12551" xr:uid="{00000000-0005-0000-0000-0000C1220000}"/>
    <cellStyle name="20% - Accent6 2 2 4 3 2 2" xfId="26263" xr:uid="{00000000-0005-0000-0000-0000C2220000}"/>
    <cellStyle name="20% - Accent6 2 2 4 3 3" xfId="19597" xr:uid="{00000000-0005-0000-0000-0000C3220000}"/>
    <cellStyle name="20% - Accent6 2 2 4 4" xfId="2274" xr:uid="{00000000-0005-0000-0000-0000C4220000}"/>
    <cellStyle name="20% - Accent6 2 2 4 4 2" xfId="14982" xr:uid="{00000000-0005-0000-0000-0000C5220000}"/>
    <cellStyle name="20% - Accent6 2 2 4 4 2 2" xfId="28531" xr:uid="{00000000-0005-0000-0000-0000C6220000}"/>
    <cellStyle name="20% - Accent6 2 2 4 4 3" xfId="19598" xr:uid="{00000000-0005-0000-0000-0000C7220000}"/>
    <cellStyle name="20% - Accent6 2 2 4 5" xfId="2275" xr:uid="{00000000-0005-0000-0000-0000C8220000}"/>
    <cellStyle name="20% - Accent6 2 2 4 5 2" xfId="17175" xr:uid="{00000000-0005-0000-0000-0000C9220000}"/>
    <cellStyle name="20% - Accent6 2 2 4 5 2 2" xfId="30534" xr:uid="{00000000-0005-0000-0000-0000CA220000}"/>
    <cellStyle name="20% - Accent6 2 2 4 5 3" xfId="19599" xr:uid="{00000000-0005-0000-0000-0000CB220000}"/>
    <cellStyle name="20% - Accent6 2 2 4 6" xfId="9146" xr:uid="{00000000-0005-0000-0000-0000CC220000}"/>
    <cellStyle name="20% - Accent6 2 2 4 6 2" xfId="23621" xr:uid="{00000000-0005-0000-0000-0000CD220000}"/>
    <cellStyle name="20% - Accent6 2 2 4 7" xfId="19595" xr:uid="{00000000-0005-0000-0000-0000CE220000}"/>
    <cellStyle name="20% - Accent6 2 2 5" xfId="2276" xr:uid="{00000000-0005-0000-0000-0000CF220000}"/>
    <cellStyle name="20% - Accent6 2 2 5 2" xfId="2277" xr:uid="{00000000-0005-0000-0000-0000D0220000}"/>
    <cellStyle name="20% - Accent6 2 2 5 2 2" xfId="14983" xr:uid="{00000000-0005-0000-0000-0000D1220000}"/>
    <cellStyle name="20% - Accent6 2 2 5 2 2 2" xfId="28532" xr:uid="{00000000-0005-0000-0000-0000D2220000}"/>
    <cellStyle name="20% - Accent6 2 2 5 2 3" xfId="19601" xr:uid="{00000000-0005-0000-0000-0000D3220000}"/>
    <cellStyle name="20% - Accent6 2 2 5 3" xfId="2278" xr:uid="{00000000-0005-0000-0000-0000D4220000}"/>
    <cellStyle name="20% - Accent6 2 2 5 3 2" xfId="17264" xr:uid="{00000000-0005-0000-0000-0000D5220000}"/>
    <cellStyle name="20% - Accent6 2 2 5 3 2 2" xfId="30623" xr:uid="{00000000-0005-0000-0000-0000D6220000}"/>
    <cellStyle name="20% - Accent6 2 2 5 3 3" xfId="19602" xr:uid="{00000000-0005-0000-0000-0000D7220000}"/>
    <cellStyle name="20% - Accent6 2 2 5 4" xfId="10865" xr:uid="{00000000-0005-0000-0000-0000D8220000}"/>
    <cellStyle name="20% - Accent6 2 2 5 4 2" xfId="24807" xr:uid="{00000000-0005-0000-0000-0000D9220000}"/>
    <cellStyle name="20% - Accent6 2 2 5 5" xfId="19600" xr:uid="{00000000-0005-0000-0000-0000DA220000}"/>
    <cellStyle name="20% - Accent6 2 2 6" xfId="2279" xr:uid="{00000000-0005-0000-0000-0000DB220000}"/>
    <cellStyle name="20% - Accent6 2 2 6 2" xfId="2280" xr:uid="{00000000-0005-0000-0000-0000DC220000}"/>
    <cellStyle name="20% - Accent6 2 2 6 2 2" xfId="16539" xr:uid="{00000000-0005-0000-0000-0000DD220000}"/>
    <cellStyle name="20% - Accent6 2 2 6 2 2 2" xfId="29946" xr:uid="{00000000-0005-0000-0000-0000DE220000}"/>
    <cellStyle name="20% - Accent6 2 2 6 2 3" xfId="19604" xr:uid="{00000000-0005-0000-0000-0000DF220000}"/>
    <cellStyle name="20% - Accent6 2 2 6 3" xfId="11914" xr:uid="{00000000-0005-0000-0000-0000E0220000}"/>
    <cellStyle name="20% - Accent6 2 2 6 3 2" xfId="25629" xr:uid="{00000000-0005-0000-0000-0000E1220000}"/>
    <cellStyle name="20% - Accent6 2 2 6 4" xfId="19603" xr:uid="{00000000-0005-0000-0000-0000E2220000}"/>
    <cellStyle name="20% - Accent6 2 2 7" xfId="2281" xr:uid="{00000000-0005-0000-0000-0000E3220000}"/>
    <cellStyle name="20% - Accent6 2 2 7 2" xfId="12810" xr:uid="{00000000-0005-0000-0000-0000E4220000}"/>
    <cellStyle name="20% - Accent6 2 2 7 2 2" xfId="26522" xr:uid="{00000000-0005-0000-0000-0000E5220000}"/>
    <cellStyle name="20% - Accent6 2 2 7 3" xfId="19605" xr:uid="{00000000-0005-0000-0000-0000E6220000}"/>
    <cellStyle name="20% - Accent6 2 2 8" xfId="2282" xr:uid="{00000000-0005-0000-0000-0000E7220000}"/>
    <cellStyle name="20% - Accent6 2 2 8 2" xfId="13491" xr:uid="{00000000-0005-0000-0000-0000E8220000}"/>
    <cellStyle name="20% - Accent6 2 2 8 2 2" xfId="27040" xr:uid="{00000000-0005-0000-0000-0000E9220000}"/>
    <cellStyle name="20% - Accent6 2 2 8 3" xfId="19606" xr:uid="{00000000-0005-0000-0000-0000EA220000}"/>
    <cellStyle name="20% - Accent6 2 2 9" xfId="2283" xr:uid="{00000000-0005-0000-0000-0000EB220000}"/>
    <cellStyle name="20% - Accent6 2 2 9 2" xfId="14072" xr:uid="{00000000-0005-0000-0000-0000EC220000}"/>
    <cellStyle name="20% - Accent6 2 2 9 2 2" xfId="27621" xr:uid="{00000000-0005-0000-0000-0000ED220000}"/>
    <cellStyle name="20% - Accent6 2 2 9 3" xfId="19607" xr:uid="{00000000-0005-0000-0000-0000EE220000}"/>
    <cellStyle name="20% - Accent6 2 3" xfId="2284" xr:uid="{00000000-0005-0000-0000-0000EF220000}"/>
    <cellStyle name="20% - Accent6 2 3 10" xfId="2285" xr:uid="{00000000-0005-0000-0000-0000F0220000}"/>
    <cellStyle name="20% - Accent6 2 3 10 2" xfId="16055" xr:uid="{00000000-0005-0000-0000-0000F1220000}"/>
    <cellStyle name="20% - Accent6 2 3 10 2 2" xfId="29462" xr:uid="{00000000-0005-0000-0000-0000F2220000}"/>
    <cellStyle name="20% - Accent6 2 3 10 3" xfId="19609" xr:uid="{00000000-0005-0000-0000-0000F3220000}"/>
    <cellStyle name="20% - Accent6 2 3 11" xfId="9147" xr:uid="{00000000-0005-0000-0000-0000F4220000}"/>
    <cellStyle name="20% - Accent6 2 3 11 2" xfId="23622" xr:uid="{00000000-0005-0000-0000-0000F5220000}"/>
    <cellStyle name="20% - Accent6 2 3 12" xfId="19608" xr:uid="{00000000-0005-0000-0000-0000F6220000}"/>
    <cellStyle name="20% - Accent6 2 3 2" xfId="2286" xr:uid="{00000000-0005-0000-0000-0000F7220000}"/>
    <cellStyle name="20% - Accent6 2 3 2 10" xfId="9148" xr:uid="{00000000-0005-0000-0000-0000F8220000}"/>
    <cellStyle name="20% - Accent6 2 3 2 10 2" xfId="23623" xr:uid="{00000000-0005-0000-0000-0000F9220000}"/>
    <cellStyle name="20% - Accent6 2 3 2 11" xfId="19610" xr:uid="{00000000-0005-0000-0000-0000FA220000}"/>
    <cellStyle name="20% - Accent6 2 3 2 2" xfId="2287" xr:uid="{00000000-0005-0000-0000-0000FB220000}"/>
    <cellStyle name="20% - Accent6 2 3 2 2 2" xfId="2288" xr:uid="{00000000-0005-0000-0000-0000FC220000}"/>
    <cellStyle name="20% - Accent6 2 3 2 2 2 2" xfId="10875" xr:uid="{00000000-0005-0000-0000-0000FD220000}"/>
    <cellStyle name="20% - Accent6 2 3 2 2 2 2 2" xfId="24817" xr:uid="{00000000-0005-0000-0000-0000FE220000}"/>
    <cellStyle name="20% - Accent6 2 3 2 2 2 3" xfId="19612" xr:uid="{00000000-0005-0000-0000-0000FF220000}"/>
    <cellStyle name="20% - Accent6 2 3 2 2 3" xfId="2289" xr:uid="{00000000-0005-0000-0000-000000230000}"/>
    <cellStyle name="20% - Accent6 2 3 2 2 3 2" xfId="12768" xr:uid="{00000000-0005-0000-0000-000001230000}"/>
    <cellStyle name="20% - Accent6 2 3 2 2 3 2 2" xfId="26480" xr:uid="{00000000-0005-0000-0000-000002230000}"/>
    <cellStyle name="20% - Accent6 2 3 2 2 3 3" xfId="19613" xr:uid="{00000000-0005-0000-0000-000003230000}"/>
    <cellStyle name="20% - Accent6 2 3 2 2 4" xfId="2290" xr:uid="{00000000-0005-0000-0000-000004230000}"/>
    <cellStyle name="20% - Accent6 2 3 2 2 4 2" xfId="14986" xr:uid="{00000000-0005-0000-0000-000005230000}"/>
    <cellStyle name="20% - Accent6 2 3 2 2 4 2 2" xfId="28535" xr:uid="{00000000-0005-0000-0000-000006230000}"/>
    <cellStyle name="20% - Accent6 2 3 2 2 4 3" xfId="19614" xr:uid="{00000000-0005-0000-0000-000007230000}"/>
    <cellStyle name="20% - Accent6 2 3 2 2 5" xfId="2291" xr:uid="{00000000-0005-0000-0000-000008230000}"/>
    <cellStyle name="20% - Accent6 2 3 2 2 5 2" xfId="16925" xr:uid="{00000000-0005-0000-0000-000009230000}"/>
    <cellStyle name="20% - Accent6 2 3 2 2 5 2 2" xfId="30332" xr:uid="{00000000-0005-0000-0000-00000A230000}"/>
    <cellStyle name="20% - Accent6 2 3 2 2 5 3" xfId="19615" xr:uid="{00000000-0005-0000-0000-00000B230000}"/>
    <cellStyle name="20% - Accent6 2 3 2 2 6" xfId="9149" xr:uid="{00000000-0005-0000-0000-00000C230000}"/>
    <cellStyle name="20% - Accent6 2 3 2 2 6 2" xfId="23624" xr:uid="{00000000-0005-0000-0000-00000D230000}"/>
    <cellStyle name="20% - Accent6 2 3 2 2 7" xfId="19611" xr:uid="{00000000-0005-0000-0000-00000E230000}"/>
    <cellStyle name="20% - Accent6 2 3 2 3" xfId="2292" xr:uid="{00000000-0005-0000-0000-00000F230000}"/>
    <cellStyle name="20% - Accent6 2 3 2 3 2" xfId="2293" xr:uid="{00000000-0005-0000-0000-000010230000}"/>
    <cellStyle name="20% - Accent6 2 3 2 3 2 2" xfId="14987" xr:uid="{00000000-0005-0000-0000-000011230000}"/>
    <cellStyle name="20% - Accent6 2 3 2 3 2 2 2" xfId="28536" xr:uid="{00000000-0005-0000-0000-000012230000}"/>
    <cellStyle name="20% - Accent6 2 3 2 3 2 3" xfId="19617" xr:uid="{00000000-0005-0000-0000-000013230000}"/>
    <cellStyle name="20% - Accent6 2 3 2 3 3" xfId="10874" xr:uid="{00000000-0005-0000-0000-000014230000}"/>
    <cellStyle name="20% - Accent6 2 3 2 3 3 2" xfId="24816" xr:uid="{00000000-0005-0000-0000-000015230000}"/>
    <cellStyle name="20% - Accent6 2 3 2 3 4" xfId="19616" xr:uid="{00000000-0005-0000-0000-000016230000}"/>
    <cellStyle name="20% - Accent6 2 3 2 4" xfId="2294" xr:uid="{00000000-0005-0000-0000-000017230000}"/>
    <cellStyle name="20% - Accent6 2 3 2 4 2" xfId="12313" xr:uid="{00000000-0005-0000-0000-000018230000}"/>
    <cellStyle name="20% - Accent6 2 3 2 4 2 2" xfId="26025" xr:uid="{00000000-0005-0000-0000-000019230000}"/>
    <cellStyle name="20% - Accent6 2 3 2 4 3" xfId="19618" xr:uid="{00000000-0005-0000-0000-00001A230000}"/>
    <cellStyle name="20% - Accent6 2 3 2 5" xfId="2295" xr:uid="{00000000-0005-0000-0000-00001B230000}"/>
    <cellStyle name="20% - Accent6 2 3 2 5 2" xfId="12767" xr:uid="{00000000-0005-0000-0000-00001C230000}"/>
    <cellStyle name="20% - Accent6 2 3 2 5 2 2" xfId="26479" xr:uid="{00000000-0005-0000-0000-00001D230000}"/>
    <cellStyle name="20% - Accent6 2 3 2 5 3" xfId="19619" xr:uid="{00000000-0005-0000-0000-00001E230000}"/>
    <cellStyle name="20% - Accent6 2 3 2 6" xfId="2296" xr:uid="{00000000-0005-0000-0000-00001F230000}"/>
    <cellStyle name="20% - Accent6 2 3 2 6 2" xfId="13877" xr:uid="{00000000-0005-0000-0000-000020230000}"/>
    <cellStyle name="20% - Accent6 2 3 2 6 2 2" xfId="27426" xr:uid="{00000000-0005-0000-0000-000021230000}"/>
    <cellStyle name="20% - Accent6 2 3 2 6 3" xfId="19620" xr:uid="{00000000-0005-0000-0000-000022230000}"/>
    <cellStyle name="20% - Accent6 2 3 2 7" xfId="2297" xr:uid="{00000000-0005-0000-0000-000023230000}"/>
    <cellStyle name="20% - Accent6 2 3 2 7 2" xfId="14458" xr:uid="{00000000-0005-0000-0000-000024230000}"/>
    <cellStyle name="20% - Accent6 2 3 2 7 2 2" xfId="28007" xr:uid="{00000000-0005-0000-0000-000025230000}"/>
    <cellStyle name="20% - Accent6 2 3 2 7 3" xfId="19621" xr:uid="{00000000-0005-0000-0000-000026230000}"/>
    <cellStyle name="20% - Accent6 2 3 2 8" xfId="2298" xr:uid="{00000000-0005-0000-0000-000027230000}"/>
    <cellStyle name="20% - Accent6 2 3 2 8 2" xfId="14985" xr:uid="{00000000-0005-0000-0000-000028230000}"/>
    <cellStyle name="20% - Accent6 2 3 2 8 2 2" xfId="28534" xr:uid="{00000000-0005-0000-0000-000029230000}"/>
    <cellStyle name="20% - Accent6 2 3 2 8 3" xfId="19622" xr:uid="{00000000-0005-0000-0000-00002A230000}"/>
    <cellStyle name="20% - Accent6 2 3 2 9" xfId="2299" xr:uid="{00000000-0005-0000-0000-00002B230000}"/>
    <cellStyle name="20% - Accent6 2 3 2 9 2" xfId="16344" xr:uid="{00000000-0005-0000-0000-00002C230000}"/>
    <cellStyle name="20% - Accent6 2 3 2 9 2 2" xfId="29751" xr:uid="{00000000-0005-0000-0000-00002D230000}"/>
    <cellStyle name="20% - Accent6 2 3 2 9 3" xfId="19623" xr:uid="{00000000-0005-0000-0000-00002E230000}"/>
    <cellStyle name="20% - Accent6 2 3 3" xfId="2300" xr:uid="{00000000-0005-0000-0000-00002F230000}"/>
    <cellStyle name="20% - Accent6 2 3 3 2" xfId="2301" xr:uid="{00000000-0005-0000-0000-000030230000}"/>
    <cellStyle name="20% - Accent6 2 3 3 2 2" xfId="10876" xr:uid="{00000000-0005-0000-0000-000031230000}"/>
    <cellStyle name="20% - Accent6 2 3 3 2 2 2" xfId="24818" xr:uid="{00000000-0005-0000-0000-000032230000}"/>
    <cellStyle name="20% - Accent6 2 3 3 2 3" xfId="19625" xr:uid="{00000000-0005-0000-0000-000033230000}"/>
    <cellStyle name="20% - Accent6 2 3 3 3" xfId="2302" xr:uid="{00000000-0005-0000-0000-000034230000}"/>
    <cellStyle name="20% - Accent6 2 3 3 3 2" xfId="12455" xr:uid="{00000000-0005-0000-0000-000035230000}"/>
    <cellStyle name="20% - Accent6 2 3 3 3 2 2" xfId="26167" xr:uid="{00000000-0005-0000-0000-000036230000}"/>
    <cellStyle name="20% - Accent6 2 3 3 3 3" xfId="19626" xr:uid="{00000000-0005-0000-0000-000037230000}"/>
    <cellStyle name="20% - Accent6 2 3 3 4" xfId="2303" xr:uid="{00000000-0005-0000-0000-000038230000}"/>
    <cellStyle name="20% - Accent6 2 3 3 4 2" xfId="14988" xr:uid="{00000000-0005-0000-0000-000039230000}"/>
    <cellStyle name="20% - Accent6 2 3 3 4 2 2" xfId="28537" xr:uid="{00000000-0005-0000-0000-00003A230000}"/>
    <cellStyle name="20% - Accent6 2 3 3 4 3" xfId="19627" xr:uid="{00000000-0005-0000-0000-00003B230000}"/>
    <cellStyle name="20% - Accent6 2 3 3 5" xfId="2304" xr:uid="{00000000-0005-0000-0000-00003C230000}"/>
    <cellStyle name="20% - Accent6 2 3 3 5 2" xfId="16636" xr:uid="{00000000-0005-0000-0000-00003D230000}"/>
    <cellStyle name="20% - Accent6 2 3 3 5 2 2" xfId="30043" xr:uid="{00000000-0005-0000-0000-00003E230000}"/>
    <cellStyle name="20% - Accent6 2 3 3 5 3" xfId="19628" xr:uid="{00000000-0005-0000-0000-00003F230000}"/>
    <cellStyle name="20% - Accent6 2 3 3 6" xfId="9150" xr:uid="{00000000-0005-0000-0000-000040230000}"/>
    <cellStyle name="20% - Accent6 2 3 3 6 2" xfId="23625" xr:uid="{00000000-0005-0000-0000-000041230000}"/>
    <cellStyle name="20% - Accent6 2 3 3 7" xfId="19624" xr:uid="{00000000-0005-0000-0000-000042230000}"/>
    <cellStyle name="20% - Accent6 2 3 4" xfId="2305" xr:uid="{00000000-0005-0000-0000-000043230000}"/>
    <cellStyle name="20% - Accent6 2 3 4 2" xfId="2306" xr:uid="{00000000-0005-0000-0000-000044230000}"/>
    <cellStyle name="20% - Accent6 2 3 4 2 2" xfId="14989" xr:uid="{00000000-0005-0000-0000-000045230000}"/>
    <cellStyle name="20% - Accent6 2 3 4 2 2 2" xfId="28538" xr:uid="{00000000-0005-0000-0000-000046230000}"/>
    <cellStyle name="20% - Accent6 2 3 4 2 3" xfId="19630" xr:uid="{00000000-0005-0000-0000-000047230000}"/>
    <cellStyle name="20% - Accent6 2 3 4 3" xfId="10873" xr:uid="{00000000-0005-0000-0000-000048230000}"/>
    <cellStyle name="20% - Accent6 2 3 4 3 2" xfId="24815" xr:uid="{00000000-0005-0000-0000-000049230000}"/>
    <cellStyle name="20% - Accent6 2 3 4 4" xfId="19629" xr:uid="{00000000-0005-0000-0000-00004A230000}"/>
    <cellStyle name="20% - Accent6 2 3 5" xfId="2307" xr:uid="{00000000-0005-0000-0000-00004B230000}"/>
    <cellStyle name="20% - Accent6 2 3 5 2" xfId="12013" xr:uid="{00000000-0005-0000-0000-00004C230000}"/>
    <cellStyle name="20% - Accent6 2 3 5 2 2" xfId="25728" xr:uid="{00000000-0005-0000-0000-00004D230000}"/>
    <cellStyle name="20% - Accent6 2 3 5 3" xfId="19631" xr:uid="{00000000-0005-0000-0000-00004E230000}"/>
    <cellStyle name="20% - Accent6 2 3 6" xfId="2308" xr:uid="{00000000-0005-0000-0000-00004F230000}"/>
    <cellStyle name="20% - Accent6 2 3 6 2" xfId="11774" xr:uid="{00000000-0005-0000-0000-000050230000}"/>
    <cellStyle name="20% - Accent6 2 3 6 2 2" xfId="25489" xr:uid="{00000000-0005-0000-0000-000051230000}"/>
    <cellStyle name="20% - Accent6 2 3 6 3" xfId="19632" xr:uid="{00000000-0005-0000-0000-000052230000}"/>
    <cellStyle name="20% - Accent6 2 3 7" xfId="2309" xr:uid="{00000000-0005-0000-0000-000053230000}"/>
    <cellStyle name="20% - Accent6 2 3 7 2" xfId="13588" xr:uid="{00000000-0005-0000-0000-000054230000}"/>
    <cellStyle name="20% - Accent6 2 3 7 2 2" xfId="27137" xr:uid="{00000000-0005-0000-0000-000055230000}"/>
    <cellStyle name="20% - Accent6 2 3 7 3" xfId="19633" xr:uid="{00000000-0005-0000-0000-000056230000}"/>
    <cellStyle name="20% - Accent6 2 3 8" xfId="2310" xr:uid="{00000000-0005-0000-0000-000057230000}"/>
    <cellStyle name="20% - Accent6 2 3 8 2" xfId="14169" xr:uid="{00000000-0005-0000-0000-000058230000}"/>
    <cellStyle name="20% - Accent6 2 3 8 2 2" xfId="27718" xr:uid="{00000000-0005-0000-0000-000059230000}"/>
    <cellStyle name="20% - Accent6 2 3 8 3" xfId="19634" xr:uid="{00000000-0005-0000-0000-00005A230000}"/>
    <cellStyle name="20% - Accent6 2 3 9" xfId="2311" xr:uid="{00000000-0005-0000-0000-00005B230000}"/>
    <cellStyle name="20% - Accent6 2 3 9 2" xfId="14984" xr:uid="{00000000-0005-0000-0000-00005C230000}"/>
    <cellStyle name="20% - Accent6 2 3 9 2 2" xfId="28533" xr:uid="{00000000-0005-0000-0000-00005D230000}"/>
    <cellStyle name="20% - Accent6 2 3 9 3" xfId="19635" xr:uid="{00000000-0005-0000-0000-00005E230000}"/>
    <cellStyle name="20% - Accent6 2 4" xfId="2312" xr:uid="{00000000-0005-0000-0000-00005F230000}"/>
    <cellStyle name="20% - Accent6 2 4 10" xfId="9151" xr:uid="{00000000-0005-0000-0000-000060230000}"/>
    <cellStyle name="20% - Accent6 2 4 10 2" xfId="23626" xr:uid="{00000000-0005-0000-0000-000061230000}"/>
    <cellStyle name="20% - Accent6 2 4 11" xfId="19636" xr:uid="{00000000-0005-0000-0000-000062230000}"/>
    <cellStyle name="20% - Accent6 2 4 2" xfId="2313" xr:uid="{00000000-0005-0000-0000-000063230000}"/>
    <cellStyle name="20% - Accent6 2 4 2 2" xfId="2314" xr:uid="{00000000-0005-0000-0000-000064230000}"/>
    <cellStyle name="20% - Accent6 2 4 2 2 2" xfId="10878" xr:uid="{00000000-0005-0000-0000-000065230000}"/>
    <cellStyle name="20% - Accent6 2 4 2 2 2 2" xfId="24820" xr:uid="{00000000-0005-0000-0000-000066230000}"/>
    <cellStyle name="20% - Accent6 2 4 2 2 3" xfId="19638" xr:uid="{00000000-0005-0000-0000-000067230000}"/>
    <cellStyle name="20% - Accent6 2 4 2 3" xfId="2315" xr:uid="{00000000-0005-0000-0000-000068230000}"/>
    <cellStyle name="20% - Accent6 2 4 2 3 2" xfId="12581" xr:uid="{00000000-0005-0000-0000-000069230000}"/>
    <cellStyle name="20% - Accent6 2 4 2 3 2 2" xfId="26293" xr:uid="{00000000-0005-0000-0000-00006A230000}"/>
    <cellStyle name="20% - Accent6 2 4 2 3 3" xfId="19639" xr:uid="{00000000-0005-0000-0000-00006B230000}"/>
    <cellStyle name="20% - Accent6 2 4 2 4" xfId="2316" xr:uid="{00000000-0005-0000-0000-00006C230000}"/>
    <cellStyle name="20% - Accent6 2 4 2 4 2" xfId="14991" xr:uid="{00000000-0005-0000-0000-00006D230000}"/>
    <cellStyle name="20% - Accent6 2 4 2 4 2 2" xfId="28540" xr:uid="{00000000-0005-0000-0000-00006E230000}"/>
    <cellStyle name="20% - Accent6 2 4 2 4 3" xfId="19640" xr:uid="{00000000-0005-0000-0000-00006F230000}"/>
    <cellStyle name="20% - Accent6 2 4 2 5" xfId="2317" xr:uid="{00000000-0005-0000-0000-000070230000}"/>
    <cellStyle name="20% - Accent6 2 4 2 5 2" xfId="16782" xr:uid="{00000000-0005-0000-0000-000071230000}"/>
    <cellStyle name="20% - Accent6 2 4 2 5 2 2" xfId="30189" xr:uid="{00000000-0005-0000-0000-000072230000}"/>
    <cellStyle name="20% - Accent6 2 4 2 5 3" xfId="19641" xr:uid="{00000000-0005-0000-0000-000073230000}"/>
    <cellStyle name="20% - Accent6 2 4 2 6" xfId="9152" xr:uid="{00000000-0005-0000-0000-000074230000}"/>
    <cellStyle name="20% - Accent6 2 4 2 6 2" xfId="23627" xr:uid="{00000000-0005-0000-0000-000075230000}"/>
    <cellStyle name="20% - Accent6 2 4 2 7" xfId="19637" xr:uid="{00000000-0005-0000-0000-000076230000}"/>
    <cellStyle name="20% - Accent6 2 4 3" xfId="2318" xr:uid="{00000000-0005-0000-0000-000077230000}"/>
    <cellStyle name="20% - Accent6 2 4 3 2" xfId="2319" xr:uid="{00000000-0005-0000-0000-000078230000}"/>
    <cellStyle name="20% - Accent6 2 4 3 2 2" xfId="14992" xr:uid="{00000000-0005-0000-0000-000079230000}"/>
    <cellStyle name="20% - Accent6 2 4 3 2 2 2" xfId="28541" xr:uid="{00000000-0005-0000-0000-00007A230000}"/>
    <cellStyle name="20% - Accent6 2 4 3 2 3" xfId="19643" xr:uid="{00000000-0005-0000-0000-00007B230000}"/>
    <cellStyle name="20% - Accent6 2 4 3 3" xfId="10877" xr:uid="{00000000-0005-0000-0000-00007C230000}"/>
    <cellStyle name="20% - Accent6 2 4 3 3 2" xfId="24819" xr:uid="{00000000-0005-0000-0000-00007D230000}"/>
    <cellStyle name="20% - Accent6 2 4 3 4" xfId="19642" xr:uid="{00000000-0005-0000-0000-00007E230000}"/>
    <cellStyle name="20% - Accent6 2 4 4" xfId="2320" xr:uid="{00000000-0005-0000-0000-00007F230000}"/>
    <cellStyle name="20% - Accent6 2 4 4 2" xfId="12170" xr:uid="{00000000-0005-0000-0000-000080230000}"/>
    <cellStyle name="20% - Accent6 2 4 4 2 2" xfId="25882" xr:uid="{00000000-0005-0000-0000-000081230000}"/>
    <cellStyle name="20% - Accent6 2 4 4 3" xfId="19644" xr:uid="{00000000-0005-0000-0000-000082230000}"/>
    <cellStyle name="20% - Accent6 2 4 5" xfId="2321" xr:uid="{00000000-0005-0000-0000-000083230000}"/>
    <cellStyle name="20% - Accent6 2 4 5 2" xfId="11768" xr:uid="{00000000-0005-0000-0000-000084230000}"/>
    <cellStyle name="20% - Accent6 2 4 5 2 2" xfId="25483" xr:uid="{00000000-0005-0000-0000-000085230000}"/>
    <cellStyle name="20% - Accent6 2 4 5 3" xfId="19645" xr:uid="{00000000-0005-0000-0000-000086230000}"/>
    <cellStyle name="20% - Accent6 2 4 6" xfId="2322" xr:uid="{00000000-0005-0000-0000-000087230000}"/>
    <cellStyle name="20% - Accent6 2 4 6 2" xfId="13734" xr:uid="{00000000-0005-0000-0000-000088230000}"/>
    <cellStyle name="20% - Accent6 2 4 6 2 2" xfId="27283" xr:uid="{00000000-0005-0000-0000-000089230000}"/>
    <cellStyle name="20% - Accent6 2 4 6 3" xfId="19646" xr:uid="{00000000-0005-0000-0000-00008A230000}"/>
    <cellStyle name="20% - Accent6 2 4 7" xfId="2323" xr:uid="{00000000-0005-0000-0000-00008B230000}"/>
    <cellStyle name="20% - Accent6 2 4 7 2" xfId="14315" xr:uid="{00000000-0005-0000-0000-00008C230000}"/>
    <cellStyle name="20% - Accent6 2 4 7 2 2" xfId="27864" xr:uid="{00000000-0005-0000-0000-00008D230000}"/>
    <cellStyle name="20% - Accent6 2 4 7 3" xfId="19647" xr:uid="{00000000-0005-0000-0000-00008E230000}"/>
    <cellStyle name="20% - Accent6 2 4 8" xfId="2324" xr:uid="{00000000-0005-0000-0000-00008F230000}"/>
    <cellStyle name="20% - Accent6 2 4 8 2" xfId="14990" xr:uid="{00000000-0005-0000-0000-000090230000}"/>
    <cellStyle name="20% - Accent6 2 4 8 2 2" xfId="28539" xr:uid="{00000000-0005-0000-0000-000091230000}"/>
    <cellStyle name="20% - Accent6 2 4 8 3" xfId="19648" xr:uid="{00000000-0005-0000-0000-000092230000}"/>
    <cellStyle name="20% - Accent6 2 4 9" xfId="2325" xr:uid="{00000000-0005-0000-0000-000093230000}"/>
    <cellStyle name="20% - Accent6 2 4 9 2" xfId="16201" xr:uid="{00000000-0005-0000-0000-000094230000}"/>
    <cellStyle name="20% - Accent6 2 4 9 2 2" xfId="29608" xr:uid="{00000000-0005-0000-0000-000095230000}"/>
    <cellStyle name="20% - Accent6 2 4 9 3" xfId="19649" xr:uid="{00000000-0005-0000-0000-000096230000}"/>
    <cellStyle name="20% - Accent6 2 5" xfId="2326" xr:uid="{00000000-0005-0000-0000-000097230000}"/>
    <cellStyle name="20% - Accent6 2 5 2" xfId="2327" xr:uid="{00000000-0005-0000-0000-000098230000}"/>
    <cellStyle name="20% - Accent6 2 5 2 2" xfId="2328" xr:uid="{00000000-0005-0000-0000-000099230000}"/>
    <cellStyle name="20% - Accent6 2 5 2 2 2" xfId="10880" xr:uid="{00000000-0005-0000-0000-00009A230000}"/>
    <cellStyle name="20% - Accent6 2 5 2 2 2 2" xfId="24822" xr:uid="{00000000-0005-0000-0000-00009B230000}"/>
    <cellStyle name="20% - Accent6 2 5 2 2 3" xfId="19652" xr:uid="{00000000-0005-0000-0000-00009C230000}"/>
    <cellStyle name="20% - Accent6 2 5 2 3" xfId="2329" xr:uid="{00000000-0005-0000-0000-00009D230000}"/>
    <cellStyle name="20% - Accent6 2 5 2 3 2" xfId="12518" xr:uid="{00000000-0005-0000-0000-00009E230000}"/>
    <cellStyle name="20% - Accent6 2 5 2 3 2 2" xfId="26230" xr:uid="{00000000-0005-0000-0000-00009F230000}"/>
    <cellStyle name="20% - Accent6 2 5 2 3 3" xfId="19653" xr:uid="{00000000-0005-0000-0000-0000A0230000}"/>
    <cellStyle name="20% - Accent6 2 5 2 4" xfId="2330" xr:uid="{00000000-0005-0000-0000-0000A1230000}"/>
    <cellStyle name="20% - Accent6 2 5 2 4 2" xfId="14994" xr:uid="{00000000-0005-0000-0000-0000A2230000}"/>
    <cellStyle name="20% - Accent6 2 5 2 4 2 2" xfId="28543" xr:uid="{00000000-0005-0000-0000-0000A3230000}"/>
    <cellStyle name="20% - Accent6 2 5 2 4 3" xfId="19654" xr:uid="{00000000-0005-0000-0000-0000A4230000}"/>
    <cellStyle name="20% - Accent6 2 5 2 5" xfId="9154" xr:uid="{00000000-0005-0000-0000-0000A5230000}"/>
    <cellStyle name="20% - Accent6 2 5 2 5 2" xfId="23629" xr:uid="{00000000-0005-0000-0000-0000A6230000}"/>
    <cellStyle name="20% - Accent6 2 5 2 6" xfId="19651" xr:uid="{00000000-0005-0000-0000-0000A7230000}"/>
    <cellStyle name="20% - Accent6 2 5 3" xfId="2331" xr:uid="{00000000-0005-0000-0000-0000A8230000}"/>
    <cellStyle name="20% - Accent6 2 5 3 2" xfId="10879" xr:uid="{00000000-0005-0000-0000-0000A9230000}"/>
    <cellStyle name="20% - Accent6 2 5 3 2 2" xfId="24821" xr:uid="{00000000-0005-0000-0000-0000AA230000}"/>
    <cellStyle name="20% - Accent6 2 5 3 3" xfId="19655" xr:uid="{00000000-0005-0000-0000-0000AB230000}"/>
    <cellStyle name="20% - Accent6 2 5 4" xfId="2332" xr:uid="{00000000-0005-0000-0000-0000AC230000}"/>
    <cellStyle name="20% - Accent6 2 5 4 2" xfId="12576" xr:uid="{00000000-0005-0000-0000-0000AD230000}"/>
    <cellStyle name="20% - Accent6 2 5 4 2 2" xfId="26288" xr:uid="{00000000-0005-0000-0000-0000AE230000}"/>
    <cellStyle name="20% - Accent6 2 5 4 3" xfId="19656" xr:uid="{00000000-0005-0000-0000-0000AF230000}"/>
    <cellStyle name="20% - Accent6 2 5 5" xfId="2333" xr:uid="{00000000-0005-0000-0000-0000B0230000}"/>
    <cellStyle name="20% - Accent6 2 5 5 2" xfId="14993" xr:uid="{00000000-0005-0000-0000-0000B1230000}"/>
    <cellStyle name="20% - Accent6 2 5 5 2 2" xfId="28542" xr:uid="{00000000-0005-0000-0000-0000B2230000}"/>
    <cellStyle name="20% - Accent6 2 5 5 3" xfId="19657" xr:uid="{00000000-0005-0000-0000-0000B3230000}"/>
    <cellStyle name="20% - Accent6 2 5 6" xfId="2334" xr:uid="{00000000-0005-0000-0000-0000B4230000}"/>
    <cellStyle name="20% - Accent6 2 5 6 2" xfId="17012" xr:uid="{00000000-0005-0000-0000-0000B5230000}"/>
    <cellStyle name="20% - Accent6 2 5 6 2 2" xfId="30419" xr:uid="{00000000-0005-0000-0000-0000B6230000}"/>
    <cellStyle name="20% - Accent6 2 5 6 3" xfId="19658" xr:uid="{00000000-0005-0000-0000-0000B7230000}"/>
    <cellStyle name="20% - Accent6 2 5 7" xfId="9153" xr:uid="{00000000-0005-0000-0000-0000B8230000}"/>
    <cellStyle name="20% - Accent6 2 5 7 2" xfId="23628" xr:uid="{00000000-0005-0000-0000-0000B9230000}"/>
    <cellStyle name="20% - Accent6 2 5 8" xfId="19650" xr:uid="{00000000-0005-0000-0000-0000BA230000}"/>
    <cellStyle name="20% - Accent6 2 6" xfId="2335" xr:uid="{00000000-0005-0000-0000-0000BB230000}"/>
    <cellStyle name="20% - Accent6 2 6 2" xfId="2336" xr:uid="{00000000-0005-0000-0000-0000BC230000}"/>
    <cellStyle name="20% - Accent6 2 6 2 2" xfId="10881" xr:uid="{00000000-0005-0000-0000-0000BD230000}"/>
    <cellStyle name="20% - Accent6 2 6 2 2 2" xfId="24823" xr:uid="{00000000-0005-0000-0000-0000BE230000}"/>
    <cellStyle name="20% - Accent6 2 6 2 3" xfId="19660" xr:uid="{00000000-0005-0000-0000-0000BF230000}"/>
    <cellStyle name="20% - Accent6 2 6 3" xfId="2337" xr:uid="{00000000-0005-0000-0000-0000C0230000}"/>
    <cellStyle name="20% - Accent6 2 6 3 2" xfId="12610" xr:uid="{00000000-0005-0000-0000-0000C1230000}"/>
    <cellStyle name="20% - Accent6 2 6 3 2 2" xfId="26322" xr:uid="{00000000-0005-0000-0000-0000C2230000}"/>
    <cellStyle name="20% - Accent6 2 6 3 3" xfId="19661" xr:uid="{00000000-0005-0000-0000-0000C3230000}"/>
    <cellStyle name="20% - Accent6 2 6 4" xfId="2338" xr:uid="{00000000-0005-0000-0000-0000C4230000}"/>
    <cellStyle name="20% - Accent6 2 6 4 2" xfId="14995" xr:uid="{00000000-0005-0000-0000-0000C5230000}"/>
    <cellStyle name="20% - Accent6 2 6 4 2 2" xfId="28544" xr:uid="{00000000-0005-0000-0000-0000C6230000}"/>
    <cellStyle name="20% - Accent6 2 6 4 3" xfId="19662" xr:uid="{00000000-0005-0000-0000-0000C7230000}"/>
    <cellStyle name="20% - Accent6 2 6 5" xfId="2339" xr:uid="{00000000-0005-0000-0000-0000C8230000}"/>
    <cellStyle name="20% - Accent6 2 6 5 2" xfId="17129" xr:uid="{00000000-0005-0000-0000-0000C9230000}"/>
    <cellStyle name="20% - Accent6 2 6 5 2 2" xfId="30488" xr:uid="{00000000-0005-0000-0000-0000CA230000}"/>
    <cellStyle name="20% - Accent6 2 6 5 3" xfId="19663" xr:uid="{00000000-0005-0000-0000-0000CB230000}"/>
    <cellStyle name="20% - Accent6 2 6 6" xfId="9155" xr:uid="{00000000-0005-0000-0000-0000CC230000}"/>
    <cellStyle name="20% - Accent6 2 6 6 2" xfId="23630" xr:uid="{00000000-0005-0000-0000-0000CD230000}"/>
    <cellStyle name="20% - Accent6 2 6 7" xfId="19659" xr:uid="{00000000-0005-0000-0000-0000CE230000}"/>
    <cellStyle name="20% - Accent6 2 7" xfId="2340" xr:uid="{00000000-0005-0000-0000-0000CF230000}"/>
    <cellStyle name="20% - Accent6 2 7 2" xfId="2341" xr:uid="{00000000-0005-0000-0000-0000D0230000}"/>
    <cellStyle name="20% - Accent6 2 7 2 2" xfId="10882" xr:uid="{00000000-0005-0000-0000-0000D1230000}"/>
    <cellStyle name="20% - Accent6 2 7 2 2 2" xfId="24824" xr:uid="{00000000-0005-0000-0000-0000D2230000}"/>
    <cellStyle name="20% - Accent6 2 7 2 3" xfId="19665" xr:uid="{00000000-0005-0000-0000-0000D3230000}"/>
    <cellStyle name="20% - Accent6 2 7 3" xfId="2342" xr:uid="{00000000-0005-0000-0000-0000D4230000}"/>
    <cellStyle name="20% - Accent6 2 7 3 2" xfId="12651" xr:uid="{00000000-0005-0000-0000-0000D5230000}"/>
    <cellStyle name="20% - Accent6 2 7 3 2 2" xfId="26363" xr:uid="{00000000-0005-0000-0000-0000D6230000}"/>
    <cellStyle name="20% - Accent6 2 7 3 3" xfId="19666" xr:uid="{00000000-0005-0000-0000-0000D7230000}"/>
    <cellStyle name="20% - Accent6 2 7 4" xfId="2343" xr:uid="{00000000-0005-0000-0000-0000D8230000}"/>
    <cellStyle name="20% - Accent6 2 7 4 2" xfId="14996" xr:uid="{00000000-0005-0000-0000-0000D9230000}"/>
    <cellStyle name="20% - Accent6 2 7 4 2 2" xfId="28545" xr:uid="{00000000-0005-0000-0000-0000DA230000}"/>
    <cellStyle name="20% - Accent6 2 7 4 3" xfId="19667" xr:uid="{00000000-0005-0000-0000-0000DB230000}"/>
    <cellStyle name="20% - Accent6 2 7 5" xfId="2344" xr:uid="{00000000-0005-0000-0000-0000DC230000}"/>
    <cellStyle name="20% - Accent6 2 7 5 2" xfId="17218" xr:uid="{00000000-0005-0000-0000-0000DD230000}"/>
    <cellStyle name="20% - Accent6 2 7 5 2 2" xfId="30577" xr:uid="{00000000-0005-0000-0000-0000DE230000}"/>
    <cellStyle name="20% - Accent6 2 7 5 3" xfId="19668" xr:uid="{00000000-0005-0000-0000-0000DF230000}"/>
    <cellStyle name="20% - Accent6 2 7 6" xfId="9156" xr:uid="{00000000-0005-0000-0000-0000E0230000}"/>
    <cellStyle name="20% - Accent6 2 7 6 2" xfId="23631" xr:uid="{00000000-0005-0000-0000-0000E1230000}"/>
    <cellStyle name="20% - Accent6 2 7 7" xfId="19664" xr:uid="{00000000-0005-0000-0000-0000E2230000}"/>
    <cellStyle name="20% - Accent6 2 8" xfId="2345" xr:uid="{00000000-0005-0000-0000-0000E3230000}"/>
    <cellStyle name="20% - Accent6 2 8 2" xfId="2346" xr:uid="{00000000-0005-0000-0000-0000E4230000}"/>
    <cellStyle name="20% - Accent6 2 8 2 2" xfId="12438" xr:uid="{00000000-0005-0000-0000-0000E5230000}"/>
    <cellStyle name="20% - Accent6 2 8 2 2 2" xfId="26150" xr:uid="{00000000-0005-0000-0000-0000E6230000}"/>
    <cellStyle name="20% - Accent6 2 8 2 3" xfId="19670" xr:uid="{00000000-0005-0000-0000-0000E7230000}"/>
    <cellStyle name="20% - Accent6 2 8 3" xfId="2347" xr:uid="{00000000-0005-0000-0000-0000E8230000}"/>
    <cellStyle name="20% - Accent6 2 8 3 2" xfId="14997" xr:uid="{00000000-0005-0000-0000-0000E9230000}"/>
    <cellStyle name="20% - Accent6 2 8 3 2 2" xfId="28546" xr:uid="{00000000-0005-0000-0000-0000EA230000}"/>
    <cellStyle name="20% - Accent6 2 8 3 3" xfId="19671" xr:uid="{00000000-0005-0000-0000-0000EB230000}"/>
    <cellStyle name="20% - Accent6 2 8 4" xfId="2348" xr:uid="{00000000-0005-0000-0000-0000EC230000}"/>
    <cellStyle name="20% - Accent6 2 8 4 2" xfId="16493" xr:uid="{00000000-0005-0000-0000-0000ED230000}"/>
    <cellStyle name="20% - Accent6 2 8 4 2 2" xfId="29900" xr:uid="{00000000-0005-0000-0000-0000EE230000}"/>
    <cellStyle name="20% - Accent6 2 8 4 3" xfId="19672" xr:uid="{00000000-0005-0000-0000-0000EF230000}"/>
    <cellStyle name="20% - Accent6 2 8 5" xfId="10533" xr:uid="{00000000-0005-0000-0000-0000F0230000}"/>
    <cellStyle name="20% - Accent6 2 8 5 2" xfId="24475" xr:uid="{00000000-0005-0000-0000-0000F1230000}"/>
    <cellStyle name="20% - Accent6 2 8 6" xfId="19669" xr:uid="{00000000-0005-0000-0000-0000F2230000}"/>
    <cellStyle name="20% - Accent6 2 9" xfId="2349" xr:uid="{00000000-0005-0000-0000-0000F3230000}"/>
    <cellStyle name="20% - Accent6 2 9 2" xfId="2350" xr:uid="{00000000-0005-0000-0000-0000F4230000}"/>
    <cellStyle name="20% - Accent6 2 9 2 2" xfId="12658" xr:uid="{00000000-0005-0000-0000-0000F5230000}"/>
    <cellStyle name="20% - Accent6 2 9 2 2 2" xfId="26370" xr:uid="{00000000-0005-0000-0000-0000F6230000}"/>
    <cellStyle name="20% - Accent6 2 9 2 3" xfId="19674" xr:uid="{00000000-0005-0000-0000-0000F7230000}"/>
    <cellStyle name="20% - Accent6 2 9 3" xfId="2351" xr:uid="{00000000-0005-0000-0000-0000F8230000}"/>
    <cellStyle name="20% - Accent6 2 9 3 2" xfId="14998" xr:uid="{00000000-0005-0000-0000-0000F9230000}"/>
    <cellStyle name="20% - Accent6 2 9 3 2 2" xfId="28547" xr:uid="{00000000-0005-0000-0000-0000FA230000}"/>
    <cellStyle name="20% - Accent6 2 9 3 3" xfId="19675" xr:uid="{00000000-0005-0000-0000-0000FB230000}"/>
    <cellStyle name="20% - Accent6 2 9 4" xfId="10864" xr:uid="{00000000-0005-0000-0000-0000FC230000}"/>
    <cellStyle name="20% - Accent6 2 9 4 2" xfId="24806" xr:uid="{00000000-0005-0000-0000-0000FD230000}"/>
    <cellStyle name="20% - Accent6 2 9 5" xfId="19673" xr:uid="{00000000-0005-0000-0000-0000FE230000}"/>
    <cellStyle name="20% - Accent6 20" xfId="2352" xr:uid="{00000000-0005-0000-0000-0000FF230000}"/>
    <cellStyle name="20% - Accent6 20 2" xfId="2353" xr:uid="{00000000-0005-0000-0000-000000240000}"/>
    <cellStyle name="20% - Accent6 20 2 2" xfId="12426" xr:uid="{00000000-0005-0000-0000-000001240000}"/>
    <cellStyle name="20% - Accent6 20 2 2 2" xfId="26138" xr:uid="{00000000-0005-0000-0000-000002240000}"/>
    <cellStyle name="20% - Accent6 20 2 3" xfId="19677" xr:uid="{00000000-0005-0000-0000-000003240000}"/>
    <cellStyle name="20% - Accent6 20 3" xfId="2354" xr:uid="{00000000-0005-0000-0000-000004240000}"/>
    <cellStyle name="20% - Accent6 20 3 2" xfId="14999" xr:uid="{00000000-0005-0000-0000-000005240000}"/>
    <cellStyle name="20% - Accent6 20 3 2 2" xfId="28548" xr:uid="{00000000-0005-0000-0000-000006240000}"/>
    <cellStyle name="20% - Accent6 20 3 3" xfId="19678" xr:uid="{00000000-0005-0000-0000-000007240000}"/>
    <cellStyle name="20% - Accent6 20 4" xfId="10508" xr:uid="{00000000-0005-0000-0000-000008240000}"/>
    <cellStyle name="20% - Accent6 20 4 2" xfId="24456" xr:uid="{00000000-0005-0000-0000-000009240000}"/>
    <cellStyle name="20% - Accent6 20 5" xfId="19676" xr:uid="{00000000-0005-0000-0000-00000A240000}"/>
    <cellStyle name="20% - Accent6 21" xfId="2355" xr:uid="{00000000-0005-0000-0000-00000B240000}"/>
    <cellStyle name="20% - Accent6 21 2" xfId="2356" xr:uid="{00000000-0005-0000-0000-00000C240000}"/>
    <cellStyle name="20% - Accent6 21 2 2" xfId="12745" xr:uid="{00000000-0005-0000-0000-00000D240000}"/>
    <cellStyle name="20% - Accent6 21 2 2 2" xfId="26457" xr:uid="{00000000-0005-0000-0000-00000E240000}"/>
    <cellStyle name="20% - Accent6 21 2 3" xfId="19680" xr:uid="{00000000-0005-0000-0000-00000F240000}"/>
    <cellStyle name="20% - Accent6 21 3" xfId="2357" xr:uid="{00000000-0005-0000-0000-000010240000}"/>
    <cellStyle name="20% - Accent6 21 3 2" xfId="15000" xr:uid="{00000000-0005-0000-0000-000011240000}"/>
    <cellStyle name="20% - Accent6 21 3 2 2" xfId="28549" xr:uid="{00000000-0005-0000-0000-000012240000}"/>
    <cellStyle name="20% - Accent6 21 3 3" xfId="19681" xr:uid="{00000000-0005-0000-0000-000013240000}"/>
    <cellStyle name="20% - Accent6 21 4" xfId="10853" xr:uid="{00000000-0005-0000-0000-000014240000}"/>
    <cellStyle name="20% - Accent6 21 4 2" xfId="24795" xr:uid="{00000000-0005-0000-0000-000015240000}"/>
    <cellStyle name="20% - Accent6 21 5" xfId="19679" xr:uid="{00000000-0005-0000-0000-000016240000}"/>
    <cellStyle name="20% - Accent6 22" xfId="2358" xr:uid="{00000000-0005-0000-0000-000017240000}"/>
    <cellStyle name="20% - Accent6 22 2" xfId="11744" xr:uid="{00000000-0005-0000-0000-000018240000}"/>
    <cellStyle name="20% - Accent6 22 2 2" xfId="25459" xr:uid="{00000000-0005-0000-0000-000019240000}"/>
    <cellStyle name="20% - Accent6 22 3" xfId="19682" xr:uid="{00000000-0005-0000-0000-00001A240000}"/>
    <cellStyle name="20% - Accent6 23" xfId="2359" xr:uid="{00000000-0005-0000-0000-00001B240000}"/>
    <cellStyle name="20% - Accent6 23 2" xfId="12476" xr:uid="{00000000-0005-0000-0000-00001C240000}"/>
    <cellStyle name="20% - Accent6 23 2 2" xfId="26188" xr:uid="{00000000-0005-0000-0000-00001D240000}"/>
    <cellStyle name="20% - Accent6 23 3" xfId="19683" xr:uid="{00000000-0005-0000-0000-00001E240000}"/>
    <cellStyle name="20% - Accent6 24" xfId="2360" xr:uid="{00000000-0005-0000-0000-00001F240000}"/>
    <cellStyle name="20% - Accent6 24 2" xfId="13383" xr:uid="{00000000-0005-0000-0000-000020240000}"/>
    <cellStyle name="20% - Accent6 24 2 2" xfId="26932" xr:uid="{00000000-0005-0000-0000-000021240000}"/>
    <cellStyle name="20% - Accent6 24 3" xfId="19684" xr:uid="{00000000-0005-0000-0000-000022240000}"/>
    <cellStyle name="20% - Accent6 25" xfId="2361" xr:uid="{00000000-0005-0000-0000-000023240000}"/>
    <cellStyle name="20% - Accent6 25 2" xfId="13964" xr:uid="{00000000-0005-0000-0000-000024240000}"/>
    <cellStyle name="20% - Accent6 25 2 2" xfId="27513" xr:uid="{00000000-0005-0000-0000-000025240000}"/>
    <cellStyle name="20% - Accent6 25 3" xfId="19685" xr:uid="{00000000-0005-0000-0000-000026240000}"/>
    <cellStyle name="20% - Accent6 26" xfId="2362" xr:uid="{00000000-0005-0000-0000-000027240000}"/>
    <cellStyle name="20% - Accent6 26 2" xfId="14957" xr:uid="{00000000-0005-0000-0000-000028240000}"/>
    <cellStyle name="20% - Accent6 26 2 2" xfId="28506" xr:uid="{00000000-0005-0000-0000-000029240000}"/>
    <cellStyle name="20% - Accent6 26 3" xfId="19686" xr:uid="{00000000-0005-0000-0000-00002A240000}"/>
    <cellStyle name="20% - Accent6 27" xfId="2363" xr:uid="{00000000-0005-0000-0000-00002B240000}"/>
    <cellStyle name="20% - Accent6 27 2" xfId="15841" xr:uid="{00000000-0005-0000-0000-00002C240000}"/>
    <cellStyle name="20% - Accent6 27 2 2" xfId="29248" xr:uid="{00000000-0005-0000-0000-00002D240000}"/>
    <cellStyle name="20% - Accent6 27 3" xfId="19687" xr:uid="{00000000-0005-0000-0000-00002E240000}"/>
    <cellStyle name="20% - Accent6 28" xfId="2364" xr:uid="{00000000-0005-0000-0000-00002F240000}"/>
    <cellStyle name="20% - Accent6 28 2" xfId="15850" xr:uid="{00000000-0005-0000-0000-000030240000}"/>
    <cellStyle name="20% - Accent6 28 2 2" xfId="29257" xr:uid="{00000000-0005-0000-0000-000031240000}"/>
    <cellStyle name="20% - Accent6 28 3" xfId="19688" xr:uid="{00000000-0005-0000-0000-000032240000}"/>
    <cellStyle name="20% - Accent6 29" xfId="2365" xr:uid="{00000000-0005-0000-0000-000033240000}"/>
    <cellStyle name="20% - Accent6 29 2" xfId="9127" xr:uid="{00000000-0005-0000-0000-000034240000}"/>
    <cellStyle name="20% - Accent6 29 2 2" xfId="23602" xr:uid="{00000000-0005-0000-0000-000035240000}"/>
    <cellStyle name="20% - Accent6 29 3" xfId="19689" xr:uid="{00000000-0005-0000-0000-000036240000}"/>
    <cellStyle name="20% - Accent6 3" xfId="2366" xr:uid="{00000000-0005-0000-0000-000037240000}"/>
    <cellStyle name="20% - Accent6 3 10" xfId="2367" xr:uid="{00000000-0005-0000-0000-000038240000}"/>
    <cellStyle name="20% - Accent6 3 10 2" xfId="14049" xr:uid="{00000000-0005-0000-0000-000039240000}"/>
    <cellStyle name="20% - Accent6 3 10 2 2" xfId="27598" xr:uid="{00000000-0005-0000-0000-00003A240000}"/>
    <cellStyle name="20% - Accent6 3 10 3" xfId="19691" xr:uid="{00000000-0005-0000-0000-00003B240000}"/>
    <cellStyle name="20% - Accent6 3 11" xfId="2368" xr:uid="{00000000-0005-0000-0000-00003C240000}"/>
    <cellStyle name="20% - Accent6 3 11 2" xfId="15001" xr:uid="{00000000-0005-0000-0000-00003D240000}"/>
    <cellStyle name="20% - Accent6 3 11 2 2" xfId="28550" xr:uid="{00000000-0005-0000-0000-00003E240000}"/>
    <cellStyle name="20% - Accent6 3 11 3" xfId="19692" xr:uid="{00000000-0005-0000-0000-00003F240000}"/>
    <cellStyle name="20% - Accent6 3 12" xfId="2369" xr:uid="{00000000-0005-0000-0000-000040240000}"/>
    <cellStyle name="20% - Accent6 3 12 2" xfId="15935" xr:uid="{00000000-0005-0000-0000-000041240000}"/>
    <cellStyle name="20% - Accent6 3 12 2 2" xfId="29342" xr:uid="{00000000-0005-0000-0000-000042240000}"/>
    <cellStyle name="20% - Accent6 3 12 3" xfId="19693" xr:uid="{00000000-0005-0000-0000-000043240000}"/>
    <cellStyle name="20% - Accent6 3 13" xfId="9157" xr:uid="{00000000-0005-0000-0000-000044240000}"/>
    <cellStyle name="20% - Accent6 3 13 2" xfId="23632" xr:uid="{00000000-0005-0000-0000-000045240000}"/>
    <cellStyle name="20% - Accent6 3 14" xfId="19690" xr:uid="{00000000-0005-0000-0000-000046240000}"/>
    <cellStyle name="20% - Accent6 3 2" xfId="2370" xr:uid="{00000000-0005-0000-0000-000047240000}"/>
    <cellStyle name="20% - Accent6 3 2 10" xfId="2371" xr:uid="{00000000-0005-0000-0000-000048240000}"/>
    <cellStyle name="20% - Accent6 3 2 10 2" xfId="16078" xr:uid="{00000000-0005-0000-0000-000049240000}"/>
    <cellStyle name="20% - Accent6 3 2 10 2 2" xfId="29485" xr:uid="{00000000-0005-0000-0000-00004A240000}"/>
    <cellStyle name="20% - Accent6 3 2 10 3" xfId="19695" xr:uid="{00000000-0005-0000-0000-00004B240000}"/>
    <cellStyle name="20% - Accent6 3 2 11" xfId="9158" xr:uid="{00000000-0005-0000-0000-00004C240000}"/>
    <cellStyle name="20% - Accent6 3 2 11 2" xfId="23633" xr:uid="{00000000-0005-0000-0000-00004D240000}"/>
    <cellStyle name="20% - Accent6 3 2 12" xfId="19694" xr:uid="{00000000-0005-0000-0000-00004E240000}"/>
    <cellStyle name="20% - Accent6 3 2 2" xfId="2372" xr:uid="{00000000-0005-0000-0000-00004F240000}"/>
    <cellStyle name="20% - Accent6 3 2 2 10" xfId="9159" xr:uid="{00000000-0005-0000-0000-000050240000}"/>
    <cellStyle name="20% - Accent6 3 2 2 10 2" xfId="23634" xr:uid="{00000000-0005-0000-0000-000051240000}"/>
    <cellStyle name="20% - Accent6 3 2 2 11" xfId="19696" xr:uid="{00000000-0005-0000-0000-000052240000}"/>
    <cellStyle name="20% - Accent6 3 2 2 2" xfId="2373" xr:uid="{00000000-0005-0000-0000-000053240000}"/>
    <cellStyle name="20% - Accent6 3 2 2 2 2" xfId="2374" xr:uid="{00000000-0005-0000-0000-000054240000}"/>
    <cellStyle name="20% - Accent6 3 2 2 2 2 2" xfId="10886" xr:uid="{00000000-0005-0000-0000-000055240000}"/>
    <cellStyle name="20% - Accent6 3 2 2 2 2 2 2" xfId="24828" xr:uid="{00000000-0005-0000-0000-000056240000}"/>
    <cellStyle name="20% - Accent6 3 2 2 2 2 3" xfId="19698" xr:uid="{00000000-0005-0000-0000-000057240000}"/>
    <cellStyle name="20% - Accent6 3 2 2 2 3" xfId="2375" xr:uid="{00000000-0005-0000-0000-000058240000}"/>
    <cellStyle name="20% - Accent6 3 2 2 2 3 2" xfId="12508" xr:uid="{00000000-0005-0000-0000-000059240000}"/>
    <cellStyle name="20% - Accent6 3 2 2 2 3 2 2" xfId="26220" xr:uid="{00000000-0005-0000-0000-00005A240000}"/>
    <cellStyle name="20% - Accent6 3 2 2 2 3 3" xfId="19699" xr:uid="{00000000-0005-0000-0000-00005B240000}"/>
    <cellStyle name="20% - Accent6 3 2 2 2 4" xfId="2376" xr:uid="{00000000-0005-0000-0000-00005C240000}"/>
    <cellStyle name="20% - Accent6 3 2 2 2 4 2" xfId="15004" xr:uid="{00000000-0005-0000-0000-00005D240000}"/>
    <cellStyle name="20% - Accent6 3 2 2 2 4 2 2" xfId="28553" xr:uid="{00000000-0005-0000-0000-00005E240000}"/>
    <cellStyle name="20% - Accent6 3 2 2 2 4 3" xfId="19700" xr:uid="{00000000-0005-0000-0000-00005F240000}"/>
    <cellStyle name="20% - Accent6 3 2 2 2 5" xfId="2377" xr:uid="{00000000-0005-0000-0000-000060240000}"/>
    <cellStyle name="20% - Accent6 3 2 2 2 5 2" xfId="16948" xr:uid="{00000000-0005-0000-0000-000061240000}"/>
    <cellStyle name="20% - Accent6 3 2 2 2 5 2 2" xfId="30355" xr:uid="{00000000-0005-0000-0000-000062240000}"/>
    <cellStyle name="20% - Accent6 3 2 2 2 5 3" xfId="19701" xr:uid="{00000000-0005-0000-0000-000063240000}"/>
    <cellStyle name="20% - Accent6 3 2 2 2 6" xfId="9160" xr:uid="{00000000-0005-0000-0000-000064240000}"/>
    <cellStyle name="20% - Accent6 3 2 2 2 6 2" xfId="23635" xr:uid="{00000000-0005-0000-0000-000065240000}"/>
    <cellStyle name="20% - Accent6 3 2 2 2 7" xfId="19697" xr:uid="{00000000-0005-0000-0000-000066240000}"/>
    <cellStyle name="20% - Accent6 3 2 2 3" xfId="2378" xr:uid="{00000000-0005-0000-0000-000067240000}"/>
    <cellStyle name="20% - Accent6 3 2 2 3 2" xfId="2379" xr:uid="{00000000-0005-0000-0000-000068240000}"/>
    <cellStyle name="20% - Accent6 3 2 2 3 2 2" xfId="15005" xr:uid="{00000000-0005-0000-0000-000069240000}"/>
    <cellStyle name="20% - Accent6 3 2 2 3 2 2 2" xfId="28554" xr:uid="{00000000-0005-0000-0000-00006A240000}"/>
    <cellStyle name="20% - Accent6 3 2 2 3 2 3" xfId="19703" xr:uid="{00000000-0005-0000-0000-00006B240000}"/>
    <cellStyle name="20% - Accent6 3 2 2 3 3" xfId="10885" xr:uid="{00000000-0005-0000-0000-00006C240000}"/>
    <cellStyle name="20% - Accent6 3 2 2 3 3 2" xfId="24827" xr:uid="{00000000-0005-0000-0000-00006D240000}"/>
    <cellStyle name="20% - Accent6 3 2 2 3 4" xfId="19702" xr:uid="{00000000-0005-0000-0000-00006E240000}"/>
    <cellStyle name="20% - Accent6 3 2 2 4" xfId="2380" xr:uid="{00000000-0005-0000-0000-00006F240000}"/>
    <cellStyle name="20% - Accent6 3 2 2 4 2" xfId="12336" xr:uid="{00000000-0005-0000-0000-000070240000}"/>
    <cellStyle name="20% - Accent6 3 2 2 4 2 2" xfId="26048" xr:uid="{00000000-0005-0000-0000-000071240000}"/>
    <cellStyle name="20% - Accent6 3 2 2 4 3" xfId="19704" xr:uid="{00000000-0005-0000-0000-000072240000}"/>
    <cellStyle name="20% - Accent6 3 2 2 5" xfId="2381" xr:uid="{00000000-0005-0000-0000-000073240000}"/>
    <cellStyle name="20% - Accent6 3 2 2 5 2" xfId="11847" xr:uid="{00000000-0005-0000-0000-000074240000}"/>
    <cellStyle name="20% - Accent6 3 2 2 5 2 2" xfId="25562" xr:uid="{00000000-0005-0000-0000-000075240000}"/>
    <cellStyle name="20% - Accent6 3 2 2 5 3" xfId="19705" xr:uid="{00000000-0005-0000-0000-000076240000}"/>
    <cellStyle name="20% - Accent6 3 2 2 6" xfId="2382" xr:uid="{00000000-0005-0000-0000-000077240000}"/>
    <cellStyle name="20% - Accent6 3 2 2 6 2" xfId="13900" xr:uid="{00000000-0005-0000-0000-000078240000}"/>
    <cellStyle name="20% - Accent6 3 2 2 6 2 2" xfId="27449" xr:uid="{00000000-0005-0000-0000-000079240000}"/>
    <cellStyle name="20% - Accent6 3 2 2 6 3" xfId="19706" xr:uid="{00000000-0005-0000-0000-00007A240000}"/>
    <cellStyle name="20% - Accent6 3 2 2 7" xfId="2383" xr:uid="{00000000-0005-0000-0000-00007B240000}"/>
    <cellStyle name="20% - Accent6 3 2 2 7 2" xfId="14481" xr:uid="{00000000-0005-0000-0000-00007C240000}"/>
    <cellStyle name="20% - Accent6 3 2 2 7 2 2" xfId="28030" xr:uid="{00000000-0005-0000-0000-00007D240000}"/>
    <cellStyle name="20% - Accent6 3 2 2 7 3" xfId="19707" xr:uid="{00000000-0005-0000-0000-00007E240000}"/>
    <cellStyle name="20% - Accent6 3 2 2 8" xfId="2384" xr:uid="{00000000-0005-0000-0000-00007F240000}"/>
    <cellStyle name="20% - Accent6 3 2 2 8 2" xfId="15003" xr:uid="{00000000-0005-0000-0000-000080240000}"/>
    <cellStyle name="20% - Accent6 3 2 2 8 2 2" xfId="28552" xr:uid="{00000000-0005-0000-0000-000081240000}"/>
    <cellStyle name="20% - Accent6 3 2 2 8 3" xfId="19708" xr:uid="{00000000-0005-0000-0000-000082240000}"/>
    <cellStyle name="20% - Accent6 3 2 2 9" xfId="2385" xr:uid="{00000000-0005-0000-0000-000083240000}"/>
    <cellStyle name="20% - Accent6 3 2 2 9 2" xfId="16367" xr:uid="{00000000-0005-0000-0000-000084240000}"/>
    <cellStyle name="20% - Accent6 3 2 2 9 2 2" xfId="29774" xr:uid="{00000000-0005-0000-0000-000085240000}"/>
    <cellStyle name="20% - Accent6 3 2 2 9 3" xfId="19709" xr:uid="{00000000-0005-0000-0000-000086240000}"/>
    <cellStyle name="20% - Accent6 3 2 3" xfId="2386" xr:uid="{00000000-0005-0000-0000-000087240000}"/>
    <cellStyle name="20% - Accent6 3 2 3 2" xfId="2387" xr:uid="{00000000-0005-0000-0000-000088240000}"/>
    <cellStyle name="20% - Accent6 3 2 3 2 2" xfId="10887" xr:uid="{00000000-0005-0000-0000-000089240000}"/>
    <cellStyle name="20% - Accent6 3 2 3 2 2 2" xfId="24829" xr:uid="{00000000-0005-0000-0000-00008A240000}"/>
    <cellStyle name="20% - Accent6 3 2 3 2 3" xfId="19711" xr:uid="{00000000-0005-0000-0000-00008B240000}"/>
    <cellStyle name="20% - Accent6 3 2 3 3" xfId="2388" xr:uid="{00000000-0005-0000-0000-00008C240000}"/>
    <cellStyle name="20% - Accent6 3 2 3 3 2" xfId="11785" xr:uid="{00000000-0005-0000-0000-00008D240000}"/>
    <cellStyle name="20% - Accent6 3 2 3 3 2 2" xfId="25500" xr:uid="{00000000-0005-0000-0000-00008E240000}"/>
    <cellStyle name="20% - Accent6 3 2 3 3 3" xfId="19712" xr:uid="{00000000-0005-0000-0000-00008F240000}"/>
    <cellStyle name="20% - Accent6 3 2 3 4" xfId="2389" xr:uid="{00000000-0005-0000-0000-000090240000}"/>
    <cellStyle name="20% - Accent6 3 2 3 4 2" xfId="15006" xr:uid="{00000000-0005-0000-0000-000091240000}"/>
    <cellStyle name="20% - Accent6 3 2 3 4 2 2" xfId="28555" xr:uid="{00000000-0005-0000-0000-000092240000}"/>
    <cellStyle name="20% - Accent6 3 2 3 4 3" xfId="19713" xr:uid="{00000000-0005-0000-0000-000093240000}"/>
    <cellStyle name="20% - Accent6 3 2 3 5" xfId="2390" xr:uid="{00000000-0005-0000-0000-000094240000}"/>
    <cellStyle name="20% - Accent6 3 2 3 5 2" xfId="16659" xr:uid="{00000000-0005-0000-0000-000095240000}"/>
    <cellStyle name="20% - Accent6 3 2 3 5 2 2" xfId="30066" xr:uid="{00000000-0005-0000-0000-000096240000}"/>
    <cellStyle name="20% - Accent6 3 2 3 5 3" xfId="19714" xr:uid="{00000000-0005-0000-0000-000097240000}"/>
    <cellStyle name="20% - Accent6 3 2 3 6" xfId="9161" xr:uid="{00000000-0005-0000-0000-000098240000}"/>
    <cellStyle name="20% - Accent6 3 2 3 6 2" xfId="23636" xr:uid="{00000000-0005-0000-0000-000099240000}"/>
    <cellStyle name="20% - Accent6 3 2 3 7" xfId="19710" xr:uid="{00000000-0005-0000-0000-00009A240000}"/>
    <cellStyle name="20% - Accent6 3 2 4" xfId="2391" xr:uid="{00000000-0005-0000-0000-00009B240000}"/>
    <cellStyle name="20% - Accent6 3 2 4 2" xfId="2392" xr:uid="{00000000-0005-0000-0000-00009C240000}"/>
    <cellStyle name="20% - Accent6 3 2 4 2 2" xfId="15007" xr:uid="{00000000-0005-0000-0000-00009D240000}"/>
    <cellStyle name="20% - Accent6 3 2 4 2 2 2" xfId="28556" xr:uid="{00000000-0005-0000-0000-00009E240000}"/>
    <cellStyle name="20% - Accent6 3 2 4 2 3" xfId="19716" xr:uid="{00000000-0005-0000-0000-00009F240000}"/>
    <cellStyle name="20% - Accent6 3 2 4 3" xfId="10884" xr:uid="{00000000-0005-0000-0000-0000A0240000}"/>
    <cellStyle name="20% - Accent6 3 2 4 3 2" xfId="24826" xr:uid="{00000000-0005-0000-0000-0000A1240000}"/>
    <cellStyle name="20% - Accent6 3 2 4 4" xfId="19715" xr:uid="{00000000-0005-0000-0000-0000A2240000}"/>
    <cellStyle name="20% - Accent6 3 2 5" xfId="2393" xr:uid="{00000000-0005-0000-0000-0000A3240000}"/>
    <cellStyle name="20% - Accent6 3 2 5 2" xfId="12036" xr:uid="{00000000-0005-0000-0000-0000A4240000}"/>
    <cellStyle name="20% - Accent6 3 2 5 2 2" xfId="25751" xr:uid="{00000000-0005-0000-0000-0000A5240000}"/>
    <cellStyle name="20% - Accent6 3 2 5 3" xfId="19717" xr:uid="{00000000-0005-0000-0000-0000A6240000}"/>
    <cellStyle name="20% - Accent6 3 2 6" xfId="2394" xr:uid="{00000000-0005-0000-0000-0000A7240000}"/>
    <cellStyle name="20% - Accent6 3 2 6 2" xfId="11780" xr:uid="{00000000-0005-0000-0000-0000A8240000}"/>
    <cellStyle name="20% - Accent6 3 2 6 2 2" xfId="25495" xr:uid="{00000000-0005-0000-0000-0000A9240000}"/>
    <cellStyle name="20% - Accent6 3 2 6 3" xfId="19718" xr:uid="{00000000-0005-0000-0000-0000AA240000}"/>
    <cellStyle name="20% - Accent6 3 2 7" xfId="2395" xr:uid="{00000000-0005-0000-0000-0000AB240000}"/>
    <cellStyle name="20% - Accent6 3 2 7 2" xfId="13611" xr:uid="{00000000-0005-0000-0000-0000AC240000}"/>
    <cellStyle name="20% - Accent6 3 2 7 2 2" xfId="27160" xr:uid="{00000000-0005-0000-0000-0000AD240000}"/>
    <cellStyle name="20% - Accent6 3 2 7 3" xfId="19719" xr:uid="{00000000-0005-0000-0000-0000AE240000}"/>
    <cellStyle name="20% - Accent6 3 2 8" xfId="2396" xr:uid="{00000000-0005-0000-0000-0000AF240000}"/>
    <cellStyle name="20% - Accent6 3 2 8 2" xfId="14192" xr:uid="{00000000-0005-0000-0000-0000B0240000}"/>
    <cellStyle name="20% - Accent6 3 2 8 2 2" xfId="27741" xr:uid="{00000000-0005-0000-0000-0000B1240000}"/>
    <cellStyle name="20% - Accent6 3 2 8 3" xfId="19720" xr:uid="{00000000-0005-0000-0000-0000B2240000}"/>
    <cellStyle name="20% - Accent6 3 2 9" xfId="2397" xr:uid="{00000000-0005-0000-0000-0000B3240000}"/>
    <cellStyle name="20% - Accent6 3 2 9 2" xfId="15002" xr:uid="{00000000-0005-0000-0000-0000B4240000}"/>
    <cellStyle name="20% - Accent6 3 2 9 2 2" xfId="28551" xr:uid="{00000000-0005-0000-0000-0000B5240000}"/>
    <cellStyle name="20% - Accent6 3 2 9 3" xfId="19721" xr:uid="{00000000-0005-0000-0000-0000B6240000}"/>
    <cellStyle name="20% - Accent6 3 3" xfId="2398" xr:uid="{00000000-0005-0000-0000-0000B7240000}"/>
    <cellStyle name="20% - Accent6 3 3 10" xfId="9162" xr:uid="{00000000-0005-0000-0000-0000B8240000}"/>
    <cellStyle name="20% - Accent6 3 3 10 2" xfId="23637" xr:uid="{00000000-0005-0000-0000-0000B9240000}"/>
    <cellStyle name="20% - Accent6 3 3 11" xfId="19722" xr:uid="{00000000-0005-0000-0000-0000BA240000}"/>
    <cellStyle name="20% - Accent6 3 3 2" xfId="2399" xr:uid="{00000000-0005-0000-0000-0000BB240000}"/>
    <cellStyle name="20% - Accent6 3 3 2 2" xfId="2400" xr:uid="{00000000-0005-0000-0000-0000BC240000}"/>
    <cellStyle name="20% - Accent6 3 3 2 2 2" xfId="10889" xr:uid="{00000000-0005-0000-0000-0000BD240000}"/>
    <cellStyle name="20% - Accent6 3 3 2 2 2 2" xfId="24831" xr:uid="{00000000-0005-0000-0000-0000BE240000}"/>
    <cellStyle name="20% - Accent6 3 3 2 2 3" xfId="19724" xr:uid="{00000000-0005-0000-0000-0000BF240000}"/>
    <cellStyle name="20% - Accent6 3 3 2 3" xfId="2401" xr:uid="{00000000-0005-0000-0000-0000C0240000}"/>
    <cellStyle name="20% - Accent6 3 3 2 3 2" xfId="12467" xr:uid="{00000000-0005-0000-0000-0000C1240000}"/>
    <cellStyle name="20% - Accent6 3 3 2 3 2 2" xfId="26179" xr:uid="{00000000-0005-0000-0000-0000C2240000}"/>
    <cellStyle name="20% - Accent6 3 3 2 3 3" xfId="19725" xr:uid="{00000000-0005-0000-0000-0000C3240000}"/>
    <cellStyle name="20% - Accent6 3 3 2 4" xfId="2402" xr:uid="{00000000-0005-0000-0000-0000C4240000}"/>
    <cellStyle name="20% - Accent6 3 3 2 4 2" xfId="15009" xr:uid="{00000000-0005-0000-0000-0000C5240000}"/>
    <cellStyle name="20% - Accent6 3 3 2 4 2 2" xfId="28558" xr:uid="{00000000-0005-0000-0000-0000C6240000}"/>
    <cellStyle name="20% - Accent6 3 3 2 4 3" xfId="19726" xr:uid="{00000000-0005-0000-0000-0000C7240000}"/>
    <cellStyle name="20% - Accent6 3 3 2 5" xfId="2403" xr:uid="{00000000-0005-0000-0000-0000C8240000}"/>
    <cellStyle name="20% - Accent6 3 3 2 5 2" xfId="16805" xr:uid="{00000000-0005-0000-0000-0000C9240000}"/>
    <cellStyle name="20% - Accent6 3 3 2 5 2 2" xfId="30212" xr:uid="{00000000-0005-0000-0000-0000CA240000}"/>
    <cellStyle name="20% - Accent6 3 3 2 5 3" xfId="19727" xr:uid="{00000000-0005-0000-0000-0000CB240000}"/>
    <cellStyle name="20% - Accent6 3 3 2 6" xfId="9163" xr:uid="{00000000-0005-0000-0000-0000CC240000}"/>
    <cellStyle name="20% - Accent6 3 3 2 6 2" xfId="23638" xr:uid="{00000000-0005-0000-0000-0000CD240000}"/>
    <cellStyle name="20% - Accent6 3 3 2 7" xfId="19723" xr:uid="{00000000-0005-0000-0000-0000CE240000}"/>
    <cellStyle name="20% - Accent6 3 3 3" xfId="2404" xr:uid="{00000000-0005-0000-0000-0000CF240000}"/>
    <cellStyle name="20% - Accent6 3 3 3 2" xfId="2405" xr:uid="{00000000-0005-0000-0000-0000D0240000}"/>
    <cellStyle name="20% - Accent6 3 3 3 2 2" xfId="15010" xr:uid="{00000000-0005-0000-0000-0000D1240000}"/>
    <cellStyle name="20% - Accent6 3 3 3 2 2 2" xfId="28559" xr:uid="{00000000-0005-0000-0000-0000D2240000}"/>
    <cellStyle name="20% - Accent6 3 3 3 2 3" xfId="19729" xr:uid="{00000000-0005-0000-0000-0000D3240000}"/>
    <cellStyle name="20% - Accent6 3 3 3 3" xfId="10888" xr:uid="{00000000-0005-0000-0000-0000D4240000}"/>
    <cellStyle name="20% - Accent6 3 3 3 3 2" xfId="24830" xr:uid="{00000000-0005-0000-0000-0000D5240000}"/>
    <cellStyle name="20% - Accent6 3 3 3 4" xfId="19728" xr:uid="{00000000-0005-0000-0000-0000D6240000}"/>
    <cellStyle name="20% - Accent6 3 3 4" xfId="2406" xr:uid="{00000000-0005-0000-0000-0000D7240000}"/>
    <cellStyle name="20% - Accent6 3 3 4 2" xfId="12193" xr:uid="{00000000-0005-0000-0000-0000D8240000}"/>
    <cellStyle name="20% - Accent6 3 3 4 2 2" xfId="25905" xr:uid="{00000000-0005-0000-0000-0000D9240000}"/>
    <cellStyle name="20% - Accent6 3 3 4 3" xfId="19730" xr:uid="{00000000-0005-0000-0000-0000DA240000}"/>
    <cellStyle name="20% - Accent6 3 3 5" xfId="2407" xr:uid="{00000000-0005-0000-0000-0000DB240000}"/>
    <cellStyle name="20% - Accent6 3 3 5 2" xfId="12722" xr:uid="{00000000-0005-0000-0000-0000DC240000}"/>
    <cellStyle name="20% - Accent6 3 3 5 2 2" xfId="26434" xr:uid="{00000000-0005-0000-0000-0000DD240000}"/>
    <cellStyle name="20% - Accent6 3 3 5 3" xfId="19731" xr:uid="{00000000-0005-0000-0000-0000DE240000}"/>
    <cellStyle name="20% - Accent6 3 3 6" xfId="2408" xr:uid="{00000000-0005-0000-0000-0000DF240000}"/>
    <cellStyle name="20% - Accent6 3 3 6 2" xfId="13757" xr:uid="{00000000-0005-0000-0000-0000E0240000}"/>
    <cellStyle name="20% - Accent6 3 3 6 2 2" xfId="27306" xr:uid="{00000000-0005-0000-0000-0000E1240000}"/>
    <cellStyle name="20% - Accent6 3 3 6 3" xfId="19732" xr:uid="{00000000-0005-0000-0000-0000E2240000}"/>
    <cellStyle name="20% - Accent6 3 3 7" xfId="2409" xr:uid="{00000000-0005-0000-0000-0000E3240000}"/>
    <cellStyle name="20% - Accent6 3 3 7 2" xfId="14338" xr:uid="{00000000-0005-0000-0000-0000E4240000}"/>
    <cellStyle name="20% - Accent6 3 3 7 2 2" xfId="27887" xr:uid="{00000000-0005-0000-0000-0000E5240000}"/>
    <cellStyle name="20% - Accent6 3 3 7 3" xfId="19733" xr:uid="{00000000-0005-0000-0000-0000E6240000}"/>
    <cellStyle name="20% - Accent6 3 3 8" xfId="2410" xr:uid="{00000000-0005-0000-0000-0000E7240000}"/>
    <cellStyle name="20% - Accent6 3 3 8 2" xfId="15008" xr:uid="{00000000-0005-0000-0000-0000E8240000}"/>
    <cellStyle name="20% - Accent6 3 3 8 2 2" xfId="28557" xr:uid="{00000000-0005-0000-0000-0000E9240000}"/>
    <cellStyle name="20% - Accent6 3 3 8 3" xfId="19734" xr:uid="{00000000-0005-0000-0000-0000EA240000}"/>
    <cellStyle name="20% - Accent6 3 3 9" xfId="2411" xr:uid="{00000000-0005-0000-0000-0000EB240000}"/>
    <cellStyle name="20% - Accent6 3 3 9 2" xfId="16224" xr:uid="{00000000-0005-0000-0000-0000EC240000}"/>
    <cellStyle name="20% - Accent6 3 3 9 2 2" xfId="29631" xr:uid="{00000000-0005-0000-0000-0000ED240000}"/>
    <cellStyle name="20% - Accent6 3 3 9 3" xfId="19735" xr:uid="{00000000-0005-0000-0000-0000EE240000}"/>
    <cellStyle name="20% - Accent6 3 4" xfId="2412" xr:uid="{00000000-0005-0000-0000-0000EF240000}"/>
    <cellStyle name="20% - Accent6 3 4 2" xfId="2413" xr:uid="{00000000-0005-0000-0000-0000F0240000}"/>
    <cellStyle name="20% - Accent6 3 4 2 2" xfId="10890" xr:uid="{00000000-0005-0000-0000-0000F1240000}"/>
    <cellStyle name="20% - Accent6 3 4 2 2 2" xfId="24832" xr:uid="{00000000-0005-0000-0000-0000F2240000}"/>
    <cellStyle name="20% - Accent6 3 4 2 3" xfId="19737" xr:uid="{00000000-0005-0000-0000-0000F3240000}"/>
    <cellStyle name="20% - Accent6 3 4 3" xfId="2414" xr:uid="{00000000-0005-0000-0000-0000F4240000}"/>
    <cellStyle name="20% - Accent6 3 4 3 2" xfId="11837" xr:uid="{00000000-0005-0000-0000-0000F5240000}"/>
    <cellStyle name="20% - Accent6 3 4 3 2 2" xfId="25552" xr:uid="{00000000-0005-0000-0000-0000F6240000}"/>
    <cellStyle name="20% - Accent6 3 4 3 3" xfId="19738" xr:uid="{00000000-0005-0000-0000-0000F7240000}"/>
    <cellStyle name="20% - Accent6 3 4 4" xfId="2415" xr:uid="{00000000-0005-0000-0000-0000F8240000}"/>
    <cellStyle name="20% - Accent6 3 4 4 2" xfId="15011" xr:uid="{00000000-0005-0000-0000-0000F9240000}"/>
    <cellStyle name="20% - Accent6 3 4 4 2 2" xfId="28560" xr:uid="{00000000-0005-0000-0000-0000FA240000}"/>
    <cellStyle name="20% - Accent6 3 4 4 3" xfId="19739" xr:uid="{00000000-0005-0000-0000-0000FB240000}"/>
    <cellStyle name="20% - Accent6 3 4 5" xfId="2416" xr:uid="{00000000-0005-0000-0000-0000FC240000}"/>
    <cellStyle name="20% - Accent6 3 4 5 2" xfId="17152" xr:uid="{00000000-0005-0000-0000-0000FD240000}"/>
    <cellStyle name="20% - Accent6 3 4 5 2 2" xfId="30511" xr:uid="{00000000-0005-0000-0000-0000FE240000}"/>
    <cellStyle name="20% - Accent6 3 4 5 3" xfId="19740" xr:uid="{00000000-0005-0000-0000-0000FF240000}"/>
    <cellStyle name="20% - Accent6 3 4 6" xfId="9164" xr:uid="{00000000-0005-0000-0000-000000250000}"/>
    <cellStyle name="20% - Accent6 3 4 6 2" xfId="23639" xr:uid="{00000000-0005-0000-0000-000001250000}"/>
    <cellStyle name="20% - Accent6 3 4 7" xfId="19736" xr:uid="{00000000-0005-0000-0000-000002250000}"/>
    <cellStyle name="20% - Accent6 3 5" xfId="2417" xr:uid="{00000000-0005-0000-0000-000003250000}"/>
    <cellStyle name="20% - Accent6 3 5 2" xfId="2418" xr:uid="{00000000-0005-0000-0000-000004250000}"/>
    <cellStyle name="20% - Accent6 3 5 2 2" xfId="10891" xr:uid="{00000000-0005-0000-0000-000005250000}"/>
    <cellStyle name="20% - Accent6 3 5 2 2 2" xfId="24833" xr:uid="{00000000-0005-0000-0000-000006250000}"/>
    <cellStyle name="20% - Accent6 3 5 2 3" xfId="19742" xr:uid="{00000000-0005-0000-0000-000007250000}"/>
    <cellStyle name="20% - Accent6 3 5 3" xfId="2419" xr:uid="{00000000-0005-0000-0000-000008250000}"/>
    <cellStyle name="20% - Accent6 3 5 3 2" xfId="12504" xr:uid="{00000000-0005-0000-0000-000009250000}"/>
    <cellStyle name="20% - Accent6 3 5 3 2 2" xfId="26216" xr:uid="{00000000-0005-0000-0000-00000A250000}"/>
    <cellStyle name="20% - Accent6 3 5 3 3" xfId="19743" xr:uid="{00000000-0005-0000-0000-00000B250000}"/>
    <cellStyle name="20% - Accent6 3 5 4" xfId="2420" xr:uid="{00000000-0005-0000-0000-00000C250000}"/>
    <cellStyle name="20% - Accent6 3 5 4 2" xfId="15012" xr:uid="{00000000-0005-0000-0000-00000D250000}"/>
    <cellStyle name="20% - Accent6 3 5 4 2 2" xfId="28561" xr:uid="{00000000-0005-0000-0000-00000E250000}"/>
    <cellStyle name="20% - Accent6 3 5 4 3" xfId="19744" xr:uid="{00000000-0005-0000-0000-00000F250000}"/>
    <cellStyle name="20% - Accent6 3 5 5" xfId="2421" xr:uid="{00000000-0005-0000-0000-000010250000}"/>
    <cellStyle name="20% - Accent6 3 5 5 2" xfId="17241" xr:uid="{00000000-0005-0000-0000-000011250000}"/>
    <cellStyle name="20% - Accent6 3 5 5 2 2" xfId="30600" xr:uid="{00000000-0005-0000-0000-000012250000}"/>
    <cellStyle name="20% - Accent6 3 5 5 3" xfId="19745" xr:uid="{00000000-0005-0000-0000-000013250000}"/>
    <cellStyle name="20% - Accent6 3 5 6" xfId="9165" xr:uid="{00000000-0005-0000-0000-000014250000}"/>
    <cellStyle name="20% - Accent6 3 5 6 2" xfId="23640" xr:uid="{00000000-0005-0000-0000-000015250000}"/>
    <cellStyle name="20% - Accent6 3 5 7" xfId="19741" xr:uid="{00000000-0005-0000-0000-000016250000}"/>
    <cellStyle name="20% - Accent6 3 6" xfId="2422" xr:uid="{00000000-0005-0000-0000-000017250000}"/>
    <cellStyle name="20% - Accent6 3 6 2" xfId="2423" xr:uid="{00000000-0005-0000-0000-000018250000}"/>
    <cellStyle name="20% - Accent6 3 6 2 2" xfId="15013" xr:uid="{00000000-0005-0000-0000-000019250000}"/>
    <cellStyle name="20% - Accent6 3 6 2 2 2" xfId="28562" xr:uid="{00000000-0005-0000-0000-00001A250000}"/>
    <cellStyle name="20% - Accent6 3 6 2 3" xfId="19747" xr:uid="{00000000-0005-0000-0000-00001B250000}"/>
    <cellStyle name="20% - Accent6 3 6 3" xfId="2424" xr:uid="{00000000-0005-0000-0000-00001C250000}"/>
    <cellStyle name="20% - Accent6 3 6 3 2" xfId="16516" xr:uid="{00000000-0005-0000-0000-00001D250000}"/>
    <cellStyle name="20% - Accent6 3 6 3 2 2" xfId="29923" xr:uid="{00000000-0005-0000-0000-00001E250000}"/>
    <cellStyle name="20% - Accent6 3 6 3 3" xfId="19748" xr:uid="{00000000-0005-0000-0000-00001F250000}"/>
    <cellStyle name="20% - Accent6 3 6 4" xfId="10883" xr:uid="{00000000-0005-0000-0000-000020250000}"/>
    <cellStyle name="20% - Accent6 3 6 4 2" xfId="24825" xr:uid="{00000000-0005-0000-0000-000021250000}"/>
    <cellStyle name="20% - Accent6 3 6 5" xfId="19746" xr:uid="{00000000-0005-0000-0000-000022250000}"/>
    <cellStyle name="20% - Accent6 3 7" xfId="2425" xr:uid="{00000000-0005-0000-0000-000023250000}"/>
    <cellStyle name="20% - Accent6 3 7 2" xfId="11888" xr:uid="{00000000-0005-0000-0000-000024250000}"/>
    <cellStyle name="20% - Accent6 3 7 2 2" xfId="25603" xr:uid="{00000000-0005-0000-0000-000025250000}"/>
    <cellStyle name="20% - Accent6 3 7 3" xfId="19749" xr:uid="{00000000-0005-0000-0000-000026250000}"/>
    <cellStyle name="20% - Accent6 3 8" xfId="2426" xr:uid="{00000000-0005-0000-0000-000027250000}"/>
    <cellStyle name="20% - Accent6 3 8 2" xfId="12783" xr:uid="{00000000-0005-0000-0000-000028250000}"/>
    <cellStyle name="20% - Accent6 3 8 2 2" xfId="26495" xr:uid="{00000000-0005-0000-0000-000029250000}"/>
    <cellStyle name="20% - Accent6 3 8 3" xfId="19750" xr:uid="{00000000-0005-0000-0000-00002A250000}"/>
    <cellStyle name="20% - Accent6 3 9" xfId="2427" xr:uid="{00000000-0005-0000-0000-00002B250000}"/>
    <cellStyle name="20% - Accent6 3 9 2" xfId="13468" xr:uid="{00000000-0005-0000-0000-00002C250000}"/>
    <cellStyle name="20% - Accent6 3 9 2 2" xfId="27017" xr:uid="{00000000-0005-0000-0000-00002D250000}"/>
    <cellStyle name="20% - Accent6 3 9 3" xfId="19751" xr:uid="{00000000-0005-0000-0000-00002E250000}"/>
    <cellStyle name="20% - Accent6 30" xfId="23263" xr:uid="{00000000-0005-0000-0000-00002F250000}"/>
    <cellStyle name="20% - Accent6 4" xfId="2428" xr:uid="{00000000-0005-0000-0000-000030250000}"/>
    <cellStyle name="20% - Accent6 4 10" xfId="2429" xr:uid="{00000000-0005-0000-0000-000031250000}"/>
    <cellStyle name="20% - Accent6 4 10 2" xfId="15014" xr:uid="{00000000-0005-0000-0000-000032250000}"/>
    <cellStyle name="20% - Accent6 4 10 2 2" xfId="28563" xr:uid="{00000000-0005-0000-0000-000033250000}"/>
    <cellStyle name="20% - Accent6 4 10 3" xfId="19753" xr:uid="{00000000-0005-0000-0000-000034250000}"/>
    <cellStyle name="20% - Accent6 4 11" xfId="2430" xr:uid="{00000000-0005-0000-0000-000035250000}"/>
    <cellStyle name="20% - Accent6 4 11 2" xfId="15884" xr:uid="{00000000-0005-0000-0000-000036250000}"/>
    <cellStyle name="20% - Accent6 4 11 2 2" xfId="29291" xr:uid="{00000000-0005-0000-0000-000037250000}"/>
    <cellStyle name="20% - Accent6 4 11 3" xfId="19754" xr:uid="{00000000-0005-0000-0000-000038250000}"/>
    <cellStyle name="20% - Accent6 4 12" xfId="9166" xr:uid="{00000000-0005-0000-0000-000039250000}"/>
    <cellStyle name="20% - Accent6 4 12 2" xfId="23641" xr:uid="{00000000-0005-0000-0000-00003A250000}"/>
    <cellStyle name="20% - Accent6 4 13" xfId="19752" xr:uid="{00000000-0005-0000-0000-00003B250000}"/>
    <cellStyle name="20% - Accent6 4 2" xfId="2431" xr:uid="{00000000-0005-0000-0000-00003C250000}"/>
    <cellStyle name="20% - Accent6 4 2 10" xfId="2432" xr:uid="{00000000-0005-0000-0000-00003D250000}"/>
    <cellStyle name="20% - Accent6 4 2 10 2" xfId="16027" xr:uid="{00000000-0005-0000-0000-00003E250000}"/>
    <cellStyle name="20% - Accent6 4 2 10 2 2" xfId="29434" xr:uid="{00000000-0005-0000-0000-00003F250000}"/>
    <cellStyle name="20% - Accent6 4 2 10 3" xfId="19756" xr:uid="{00000000-0005-0000-0000-000040250000}"/>
    <cellStyle name="20% - Accent6 4 2 11" xfId="9167" xr:uid="{00000000-0005-0000-0000-000041250000}"/>
    <cellStyle name="20% - Accent6 4 2 11 2" xfId="23642" xr:uid="{00000000-0005-0000-0000-000042250000}"/>
    <cellStyle name="20% - Accent6 4 2 12" xfId="19755" xr:uid="{00000000-0005-0000-0000-000043250000}"/>
    <cellStyle name="20% - Accent6 4 2 2" xfId="2433" xr:uid="{00000000-0005-0000-0000-000044250000}"/>
    <cellStyle name="20% - Accent6 4 2 2 10" xfId="9168" xr:uid="{00000000-0005-0000-0000-000045250000}"/>
    <cellStyle name="20% - Accent6 4 2 2 10 2" xfId="23643" xr:uid="{00000000-0005-0000-0000-000046250000}"/>
    <cellStyle name="20% - Accent6 4 2 2 11" xfId="19757" xr:uid="{00000000-0005-0000-0000-000047250000}"/>
    <cellStyle name="20% - Accent6 4 2 2 2" xfId="2434" xr:uid="{00000000-0005-0000-0000-000048250000}"/>
    <cellStyle name="20% - Accent6 4 2 2 2 2" xfId="2435" xr:uid="{00000000-0005-0000-0000-000049250000}"/>
    <cellStyle name="20% - Accent6 4 2 2 2 2 2" xfId="10895" xr:uid="{00000000-0005-0000-0000-00004A250000}"/>
    <cellStyle name="20% - Accent6 4 2 2 2 2 2 2" xfId="24837" xr:uid="{00000000-0005-0000-0000-00004B250000}"/>
    <cellStyle name="20% - Accent6 4 2 2 2 2 3" xfId="19759" xr:uid="{00000000-0005-0000-0000-00004C250000}"/>
    <cellStyle name="20% - Accent6 4 2 2 2 3" xfId="2436" xr:uid="{00000000-0005-0000-0000-00004D250000}"/>
    <cellStyle name="20% - Accent6 4 2 2 2 3 2" xfId="12497" xr:uid="{00000000-0005-0000-0000-00004E250000}"/>
    <cellStyle name="20% - Accent6 4 2 2 2 3 2 2" xfId="26209" xr:uid="{00000000-0005-0000-0000-00004F250000}"/>
    <cellStyle name="20% - Accent6 4 2 2 2 3 3" xfId="19760" xr:uid="{00000000-0005-0000-0000-000050250000}"/>
    <cellStyle name="20% - Accent6 4 2 2 2 4" xfId="2437" xr:uid="{00000000-0005-0000-0000-000051250000}"/>
    <cellStyle name="20% - Accent6 4 2 2 2 4 2" xfId="15017" xr:uid="{00000000-0005-0000-0000-000052250000}"/>
    <cellStyle name="20% - Accent6 4 2 2 2 4 2 2" xfId="28566" xr:uid="{00000000-0005-0000-0000-000053250000}"/>
    <cellStyle name="20% - Accent6 4 2 2 2 4 3" xfId="19761" xr:uid="{00000000-0005-0000-0000-000054250000}"/>
    <cellStyle name="20% - Accent6 4 2 2 2 5" xfId="2438" xr:uid="{00000000-0005-0000-0000-000055250000}"/>
    <cellStyle name="20% - Accent6 4 2 2 2 5 2" xfId="16897" xr:uid="{00000000-0005-0000-0000-000056250000}"/>
    <cellStyle name="20% - Accent6 4 2 2 2 5 2 2" xfId="30304" xr:uid="{00000000-0005-0000-0000-000057250000}"/>
    <cellStyle name="20% - Accent6 4 2 2 2 5 3" xfId="19762" xr:uid="{00000000-0005-0000-0000-000058250000}"/>
    <cellStyle name="20% - Accent6 4 2 2 2 6" xfId="9169" xr:uid="{00000000-0005-0000-0000-000059250000}"/>
    <cellStyle name="20% - Accent6 4 2 2 2 6 2" xfId="23644" xr:uid="{00000000-0005-0000-0000-00005A250000}"/>
    <cellStyle name="20% - Accent6 4 2 2 2 7" xfId="19758" xr:uid="{00000000-0005-0000-0000-00005B250000}"/>
    <cellStyle name="20% - Accent6 4 2 2 3" xfId="2439" xr:uid="{00000000-0005-0000-0000-00005C250000}"/>
    <cellStyle name="20% - Accent6 4 2 2 3 2" xfId="2440" xr:uid="{00000000-0005-0000-0000-00005D250000}"/>
    <cellStyle name="20% - Accent6 4 2 2 3 2 2" xfId="15018" xr:uid="{00000000-0005-0000-0000-00005E250000}"/>
    <cellStyle name="20% - Accent6 4 2 2 3 2 2 2" xfId="28567" xr:uid="{00000000-0005-0000-0000-00005F250000}"/>
    <cellStyle name="20% - Accent6 4 2 2 3 2 3" xfId="19764" xr:uid="{00000000-0005-0000-0000-000060250000}"/>
    <cellStyle name="20% - Accent6 4 2 2 3 3" xfId="10894" xr:uid="{00000000-0005-0000-0000-000061250000}"/>
    <cellStyle name="20% - Accent6 4 2 2 3 3 2" xfId="24836" xr:uid="{00000000-0005-0000-0000-000062250000}"/>
    <cellStyle name="20% - Accent6 4 2 2 3 4" xfId="19763" xr:uid="{00000000-0005-0000-0000-000063250000}"/>
    <cellStyle name="20% - Accent6 4 2 2 4" xfId="2441" xr:uid="{00000000-0005-0000-0000-000064250000}"/>
    <cellStyle name="20% - Accent6 4 2 2 4 2" xfId="12285" xr:uid="{00000000-0005-0000-0000-000065250000}"/>
    <cellStyle name="20% - Accent6 4 2 2 4 2 2" xfId="25997" xr:uid="{00000000-0005-0000-0000-000066250000}"/>
    <cellStyle name="20% - Accent6 4 2 2 4 3" xfId="19765" xr:uid="{00000000-0005-0000-0000-000067250000}"/>
    <cellStyle name="20% - Accent6 4 2 2 5" xfId="2442" xr:uid="{00000000-0005-0000-0000-000068250000}"/>
    <cellStyle name="20% - Accent6 4 2 2 5 2" xfId="12474" xr:uid="{00000000-0005-0000-0000-000069250000}"/>
    <cellStyle name="20% - Accent6 4 2 2 5 2 2" xfId="26186" xr:uid="{00000000-0005-0000-0000-00006A250000}"/>
    <cellStyle name="20% - Accent6 4 2 2 5 3" xfId="19766" xr:uid="{00000000-0005-0000-0000-00006B250000}"/>
    <cellStyle name="20% - Accent6 4 2 2 6" xfId="2443" xr:uid="{00000000-0005-0000-0000-00006C250000}"/>
    <cellStyle name="20% - Accent6 4 2 2 6 2" xfId="13849" xr:uid="{00000000-0005-0000-0000-00006D250000}"/>
    <cellStyle name="20% - Accent6 4 2 2 6 2 2" xfId="27398" xr:uid="{00000000-0005-0000-0000-00006E250000}"/>
    <cellStyle name="20% - Accent6 4 2 2 6 3" xfId="19767" xr:uid="{00000000-0005-0000-0000-00006F250000}"/>
    <cellStyle name="20% - Accent6 4 2 2 7" xfId="2444" xr:uid="{00000000-0005-0000-0000-000070250000}"/>
    <cellStyle name="20% - Accent6 4 2 2 7 2" xfId="14430" xr:uid="{00000000-0005-0000-0000-000071250000}"/>
    <cellStyle name="20% - Accent6 4 2 2 7 2 2" xfId="27979" xr:uid="{00000000-0005-0000-0000-000072250000}"/>
    <cellStyle name="20% - Accent6 4 2 2 7 3" xfId="19768" xr:uid="{00000000-0005-0000-0000-000073250000}"/>
    <cellStyle name="20% - Accent6 4 2 2 8" xfId="2445" xr:uid="{00000000-0005-0000-0000-000074250000}"/>
    <cellStyle name="20% - Accent6 4 2 2 8 2" xfId="15016" xr:uid="{00000000-0005-0000-0000-000075250000}"/>
    <cellStyle name="20% - Accent6 4 2 2 8 2 2" xfId="28565" xr:uid="{00000000-0005-0000-0000-000076250000}"/>
    <cellStyle name="20% - Accent6 4 2 2 8 3" xfId="19769" xr:uid="{00000000-0005-0000-0000-000077250000}"/>
    <cellStyle name="20% - Accent6 4 2 2 9" xfId="2446" xr:uid="{00000000-0005-0000-0000-000078250000}"/>
    <cellStyle name="20% - Accent6 4 2 2 9 2" xfId="16316" xr:uid="{00000000-0005-0000-0000-000079250000}"/>
    <cellStyle name="20% - Accent6 4 2 2 9 2 2" xfId="29723" xr:uid="{00000000-0005-0000-0000-00007A250000}"/>
    <cellStyle name="20% - Accent6 4 2 2 9 3" xfId="19770" xr:uid="{00000000-0005-0000-0000-00007B250000}"/>
    <cellStyle name="20% - Accent6 4 2 3" xfId="2447" xr:uid="{00000000-0005-0000-0000-00007C250000}"/>
    <cellStyle name="20% - Accent6 4 2 3 2" xfId="2448" xr:uid="{00000000-0005-0000-0000-00007D250000}"/>
    <cellStyle name="20% - Accent6 4 2 3 2 2" xfId="10896" xr:uid="{00000000-0005-0000-0000-00007E250000}"/>
    <cellStyle name="20% - Accent6 4 2 3 2 2 2" xfId="24838" xr:uid="{00000000-0005-0000-0000-00007F250000}"/>
    <cellStyle name="20% - Accent6 4 2 3 2 3" xfId="19772" xr:uid="{00000000-0005-0000-0000-000080250000}"/>
    <cellStyle name="20% - Accent6 4 2 3 3" xfId="2449" xr:uid="{00000000-0005-0000-0000-000081250000}"/>
    <cellStyle name="20% - Accent6 4 2 3 3 2" xfId="12769" xr:uid="{00000000-0005-0000-0000-000082250000}"/>
    <cellStyle name="20% - Accent6 4 2 3 3 2 2" xfId="26481" xr:uid="{00000000-0005-0000-0000-000083250000}"/>
    <cellStyle name="20% - Accent6 4 2 3 3 3" xfId="19773" xr:uid="{00000000-0005-0000-0000-000084250000}"/>
    <cellStyle name="20% - Accent6 4 2 3 4" xfId="2450" xr:uid="{00000000-0005-0000-0000-000085250000}"/>
    <cellStyle name="20% - Accent6 4 2 3 4 2" xfId="15019" xr:uid="{00000000-0005-0000-0000-000086250000}"/>
    <cellStyle name="20% - Accent6 4 2 3 4 2 2" xfId="28568" xr:uid="{00000000-0005-0000-0000-000087250000}"/>
    <cellStyle name="20% - Accent6 4 2 3 4 3" xfId="19774" xr:uid="{00000000-0005-0000-0000-000088250000}"/>
    <cellStyle name="20% - Accent6 4 2 3 5" xfId="2451" xr:uid="{00000000-0005-0000-0000-000089250000}"/>
    <cellStyle name="20% - Accent6 4 2 3 5 2" xfId="16608" xr:uid="{00000000-0005-0000-0000-00008A250000}"/>
    <cellStyle name="20% - Accent6 4 2 3 5 2 2" xfId="30015" xr:uid="{00000000-0005-0000-0000-00008B250000}"/>
    <cellStyle name="20% - Accent6 4 2 3 5 3" xfId="19775" xr:uid="{00000000-0005-0000-0000-00008C250000}"/>
    <cellStyle name="20% - Accent6 4 2 3 6" xfId="9170" xr:uid="{00000000-0005-0000-0000-00008D250000}"/>
    <cellStyle name="20% - Accent6 4 2 3 6 2" xfId="23645" xr:uid="{00000000-0005-0000-0000-00008E250000}"/>
    <cellStyle name="20% - Accent6 4 2 3 7" xfId="19771" xr:uid="{00000000-0005-0000-0000-00008F250000}"/>
    <cellStyle name="20% - Accent6 4 2 4" xfId="2452" xr:uid="{00000000-0005-0000-0000-000090250000}"/>
    <cellStyle name="20% - Accent6 4 2 4 2" xfId="2453" xr:uid="{00000000-0005-0000-0000-000091250000}"/>
    <cellStyle name="20% - Accent6 4 2 4 2 2" xfId="15020" xr:uid="{00000000-0005-0000-0000-000092250000}"/>
    <cellStyle name="20% - Accent6 4 2 4 2 2 2" xfId="28569" xr:uid="{00000000-0005-0000-0000-000093250000}"/>
    <cellStyle name="20% - Accent6 4 2 4 2 3" xfId="19777" xr:uid="{00000000-0005-0000-0000-000094250000}"/>
    <cellStyle name="20% - Accent6 4 2 4 3" xfId="10893" xr:uid="{00000000-0005-0000-0000-000095250000}"/>
    <cellStyle name="20% - Accent6 4 2 4 3 2" xfId="24835" xr:uid="{00000000-0005-0000-0000-000096250000}"/>
    <cellStyle name="20% - Accent6 4 2 4 4" xfId="19776" xr:uid="{00000000-0005-0000-0000-000097250000}"/>
    <cellStyle name="20% - Accent6 4 2 5" xfId="2454" xr:uid="{00000000-0005-0000-0000-000098250000}"/>
    <cellStyle name="20% - Accent6 4 2 5 2" xfId="11985" xr:uid="{00000000-0005-0000-0000-000099250000}"/>
    <cellStyle name="20% - Accent6 4 2 5 2 2" xfId="25700" xr:uid="{00000000-0005-0000-0000-00009A250000}"/>
    <cellStyle name="20% - Accent6 4 2 5 3" xfId="19778" xr:uid="{00000000-0005-0000-0000-00009B250000}"/>
    <cellStyle name="20% - Accent6 4 2 6" xfId="2455" xr:uid="{00000000-0005-0000-0000-00009C250000}"/>
    <cellStyle name="20% - Accent6 4 2 6 2" xfId="11872" xr:uid="{00000000-0005-0000-0000-00009D250000}"/>
    <cellStyle name="20% - Accent6 4 2 6 2 2" xfId="25587" xr:uid="{00000000-0005-0000-0000-00009E250000}"/>
    <cellStyle name="20% - Accent6 4 2 6 3" xfId="19779" xr:uid="{00000000-0005-0000-0000-00009F250000}"/>
    <cellStyle name="20% - Accent6 4 2 7" xfId="2456" xr:uid="{00000000-0005-0000-0000-0000A0250000}"/>
    <cellStyle name="20% - Accent6 4 2 7 2" xfId="13560" xr:uid="{00000000-0005-0000-0000-0000A1250000}"/>
    <cellStyle name="20% - Accent6 4 2 7 2 2" xfId="27109" xr:uid="{00000000-0005-0000-0000-0000A2250000}"/>
    <cellStyle name="20% - Accent6 4 2 7 3" xfId="19780" xr:uid="{00000000-0005-0000-0000-0000A3250000}"/>
    <cellStyle name="20% - Accent6 4 2 8" xfId="2457" xr:uid="{00000000-0005-0000-0000-0000A4250000}"/>
    <cellStyle name="20% - Accent6 4 2 8 2" xfId="14141" xr:uid="{00000000-0005-0000-0000-0000A5250000}"/>
    <cellStyle name="20% - Accent6 4 2 8 2 2" xfId="27690" xr:uid="{00000000-0005-0000-0000-0000A6250000}"/>
    <cellStyle name="20% - Accent6 4 2 8 3" xfId="19781" xr:uid="{00000000-0005-0000-0000-0000A7250000}"/>
    <cellStyle name="20% - Accent6 4 2 9" xfId="2458" xr:uid="{00000000-0005-0000-0000-0000A8250000}"/>
    <cellStyle name="20% - Accent6 4 2 9 2" xfId="15015" xr:uid="{00000000-0005-0000-0000-0000A9250000}"/>
    <cellStyle name="20% - Accent6 4 2 9 2 2" xfId="28564" xr:uid="{00000000-0005-0000-0000-0000AA250000}"/>
    <cellStyle name="20% - Accent6 4 2 9 3" xfId="19782" xr:uid="{00000000-0005-0000-0000-0000AB250000}"/>
    <cellStyle name="20% - Accent6 4 3" xfId="2459" xr:uid="{00000000-0005-0000-0000-0000AC250000}"/>
    <cellStyle name="20% - Accent6 4 3 10" xfId="9171" xr:uid="{00000000-0005-0000-0000-0000AD250000}"/>
    <cellStyle name="20% - Accent6 4 3 10 2" xfId="23646" xr:uid="{00000000-0005-0000-0000-0000AE250000}"/>
    <cellStyle name="20% - Accent6 4 3 11" xfId="19783" xr:uid="{00000000-0005-0000-0000-0000AF250000}"/>
    <cellStyle name="20% - Accent6 4 3 2" xfId="2460" xr:uid="{00000000-0005-0000-0000-0000B0250000}"/>
    <cellStyle name="20% - Accent6 4 3 2 2" xfId="2461" xr:uid="{00000000-0005-0000-0000-0000B1250000}"/>
    <cellStyle name="20% - Accent6 4 3 2 2 2" xfId="10898" xr:uid="{00000000-0005-0000-0000-0000B2250000}"/>
    <cellStyle name="20% - Accent6 4 3 2 2 2 2" xfId="24840" xr:uid="{00000000-0005-0000-0000-0000B3250000}"/>
    <cellStyle name="20% - Accent6 4 3 2 2 3" xfId="19785" xr:uid="{00000000-0005-0000-0000-0000B4250000}"/>
    <cellStyle name="20% - Accent6 4 3 2 3" xfId="2462" xr:uid="{00000000-0005-0000-0000-0000B5250000}"/>
    <cellStyle name="20% - Accent6 4 3 2 3 2" xfId="12653" xr:uid="{00000000-0005-0000-0000-0000B6250000}"/>
    <cellStyle name="20% - Accent6 4 3 2 3 2 2" xfId="26365" xr:uid="{00000000-0005-0000-0000-0000B7250000}"/>
    <cellStyle name="20% - Accent6 4 3 2 3 3" xfId="19786" xr:uid="{00000000-0005-0000-0000-0000B8250000}"/>
    <cellStyle name="20% - Accent6 4 3 2 4" xfId="2463" xr:uid="{00000000-0005-0000-0000-0000B9250000}"/>
    <cellStyle name="20% - Accent6 4 3 2 4 2" xfId="15022" xr:uid="{00000000-0005-0000-0000-0000BA250000}"/>
    <cellStyle name="20% - Accent6 4 3 2 4 2 2" xfId="28571" xr:uid="{00000000-0005-0000-0000-0000BB250000}"/>
    <cellStyle name="20% - Accent6 4 3 2 4 3" xfId="19787" xr:uid="{00000000-0005-0000-0000-0000BC250000}"/>
    <cellStyle name="20% - Accent6 4 3 2 5" xfId="2464" xr:uid="{00000000-0005-0000-0000-0000BD250000}"/>
    <cellStyle name="20% - Accent6 4 3 2 5 2" xfId="16757" xr:uid="{00000000-0005-0000-0000-0000BE250000}"/>
    <cellStyle name="20% - Accent6 4 3 2 5 2 2" xfId="30164" xr:uid="{00000000-0005-0000-0000-0000BF250000}"/>
    <cellStyle name="20% - Accent6 4 3 2 5 3" xfId="19788" xr:uid="{00000000-0005-0000-0000-0000C0250000}"/>
    <cellStyle name="20% - Accent6 4 3 2 6" xfId="9172" xr:uid="{00000000-0005-0000-0000-0000C1250000}"/>
    <cellStyle name="20% - Accent6 4 3 2 6 2" xfId="23647" xr:uid="{00000000-0005-0000-0000-0000C2250000}"/>
    <cellStyle name="20% - Accent6 4 3 2 7" xfId="19784" xr:uid="{00000000-0005-0000-0000-0000C3250000}"/>
    <cellStyle name="20% - Accent6 4 3 3" xfId="2465" xr:uid="{00000000-0005-0000-0000-0000C4250000}"/>
    <cellStyle name="20% - Accent6 4 3 3 2" xfId="2466" xr:uid="{00000000-0005-0000-0000-0000C5250000}"/>
    <cellStyle name="20% - Accent6 4 3 3 2 2" xfId="15023" xr:uid="{00000000-0005-0000-0000-0000C6250000}"/>
    <cellStyle name="20% - Accent6 4 3 3 2 2 2" xfId="28572" xr:uid="{00000000-0005-0000-0000-0000C7250000}"/>
    <cellStyle name="20% - Accent6 4 3 3 2 3" xfId="19790" xr:uid="{00000000-0005-0000-0000-0000C8250000}"/>
    <cellStyle name="20% - Accent6 4 3 3 3" xfId="10897" xr:uid="{00000000-0005-0000-0000-0000C9250000}"/>
    <cellStyle name="20% - Accent6 4 3 3 3 2" xfId="24839" xr:uid="{00000000-0005-0000-0000-0000CA250000}"/>
    <cellStyle name="20% - Accent6 4 3 3 4" xfId="19789" xr:uid="{00000000-0005-0000-0000-0000CB250000}"/>
    <cellStyle name="20% - Accent6 4 3 4" xfId="2467" xr:uid="{00000000-0005-0000-0000-0000CC250000}"/>
    <cellStyle name="20% - Accent6 4 3 4 2" xfId="12145" xr:uid="{00000000-0005-0000-0000-0000CD250000}"/>
    <cellStyle name="20% - Accent6 4 3 4 2 2" xfId="25857" xr:uid="{00000000-0005-0000-0000-0000CE250000}"/>
    <cellStyle name="20% - Accent6 4 3 4 3" xfId="19791" xr:uid="{00000000-0005-0000-0000-0000CF250000}"/>
    <cellStyle name="20% - Accent6 4 3 5" xfId="2468" xr:uid="{00000000-0005-0000-0000-0000D0250000}"/>
    <cellStyle name="20% - Accent6 4 3 5 2" xfId="11773" xr:uid="{00000000-0005-0000-0000-0000D1250000}"/>
    <cellStyle name="20% - Accent6 4 3 5 2 2" xfId="25488" xr:uid="{00000000-0005-0000-0000-0000D2250000}"/>
    <cellStyle name="20% - Accent6 4 3 5 3" xfId="19792" xr:uid="{00000000-0005-0000-0000-0000D3250000}"/>
    <cellStyle name="20% - Accent6 4 3 6" xfId="2469" xr:uid="{00000000-0005-0000-0000-0000D4250000}"/>
    <cellStyle name="20% - Accent6 4 3 6 2" xfId="13709" xr:uid="{00000000-0005-0000-0000-0000D5250000}"/>
    <cellStyle name="20% - Accent6 4 3 6 2 2" xfId="27258" xr:uid="{00000000-0005-0000-0000-0000D6250000}"/>
    <cellStyle name="20% - Accent6 4 3 6 3" xfId="19793" xr:uid="{00000000-0005-0000-0000-0000D7250000}"/>
    <cellStyle name="20% - Accent6 4 3 7" xfId="2470" xr:uid="{00000000-0005-0000-0000-0000D8250000}"/>
    <cellStyle name="20% - Accent6 4 3 7 2" xfId="14290" xr:uid="{00000000-0005-0000-0000-0000D9250000}"/>
    <cellStyle name="20% - Accent6 4 3 7 2 2" xfId="27839" xr:uid="{00000000-0005-0000-0000-0000DA250000}"/>
    <cellStyle name="20% - Accent6 4 3 7 3" xfId="19794" xr:uid="{00000000-0005-0000-0000-0000DB250000}"/>
    <cellStyle name="20% - Accent6 4 3 8" xfId="2471" xr:uid="{00000000-0005-0000-0000-0000DC250000}"/>
    <cellStyle name="20% - Accent6 4 3 8 2" xfId="15021" xr:uid="{00000000-0005-0000-0000-0000DD250000}"/>
    <cellStyle name="20% - Accent6 4 3 8 2 2" xfId="28570" xr:uid="{00000000-0005-0000-0000-0000DE250000}"/>
    <cellStyle name="20% - Accent6 4 3 8 3" xfId="19795" xr:uid="{00000000-0005-0000-0000-0000DF250000}"/>
    <cellStyle name="20% - Accent6 4 3 9" xfId="2472" xr:uid="{00000000-0005-0000-0000-0000E0250000}"/>
    <cellStyle name="20% - Accent6 4 3 9 2" xfId="16176" xr:uid="{00000000-0005-0000-0000-0000E1250000}"/>
    <cellStyle name="20% - Accent6 4 3 9 2 2" xfId="29583" xr:uid="{00000000-0005-0000-0000-0000E2250000}"/>
    <cellStyle name="20% - Accent6 4 3 9 3" xfId="19796" xr:uid="{00000000-0005-0000-0000-0000E3250000}"/>
    <cellStyle name="20% - Accent6 4 4" xfId="2473" xr:uid="{00000000-0005-0000-0000-0000E4250000}"/>
    <cellStyle name="20% - Accent6 4 4 2" xfId="2474" xr:uid="{00000000-0005-0000-0000-0000E5250000}"/>
    <cellStyle name="20% - Accent6 4 4 2 2" xfId="10899" xr:uid="{00000000-0005-0000-0000-0000E6250000}"/>
    <cellStyle name="20% - Accent6 4 4 2 2 2" xfId="24841" xr:uid="{00000000-0005-0000-0000-0000E7250000}"/>
    <cellStyle name="20% - Accent6 4 4 2 3" xfId="19798" xr:uid="{00000000-0005-0000-0000-0000E8250000}"/>
    <cellStyle name="20% - Accent6 4 4 3" xfId="2475" xr:uid="{00000000-0005-0000-0000-0000E9250000}"/>
    <cellStyle name="20% - Accent6 4 4 3 2" xfId="12654" xr:uid="{00000000-0005-0000-0000-0000EA250000}"/>
    <cellStyle name="20% - Accent6 4 4 3 2 2" xfId="26366" xr:uid="{00000000-0005-0000-0000-0000EB250000}"/>
    <cellStyle name="20% - Accent6 4 4 3 3" xfId="19799" xr:uid="{00000000-0005-0000-0000-0000EC250000}"/>
    <cellStyle name="20% - Accent6 4 4 4" xfId="2476" xr:uid="{00000000-0005-0000-0000-0000ED250000}"/>
    <cellStyle name="20% - Accent6 4 4 4 2" xfId="15024" xr:uid="{00000000-0005-0000-0000-0000EE250000}"/>
    <cellStyle name="20% - Accent6 4 4 4 2 2" xfId="28573" xr:uid="{00000000-0005-0000-0000-0000EF250000}"/>
    <cellStyle name="20% - Accent6 4 4 4 3" xfId="19800" xr:uid="{00000000-0005-0000-0000-0000F0250000}"/>
    <cellStyle name="20% - Accent6 4 4 5" xfId="2477" xr:uid="{00000000-0005-0000-0000-0000F1250000}"/>
    <cellStyle name="20% - Accent6 4 4 5 2" xfId="16465" xr:uid="{00000000-0005-0000-0000-0000F2250000}"/>
    <cellStyle name="20% - Accent6 4 4 5 2 2" xfId="29872" xr:uid="{00000000-0005-0000-0000-0000F3250000}"/>
    <cellStyle name="20% - Accent6 4 4 5 3" xfId="19801" xr:uid="{00000000-0005-0000-0000-0000F4250000}"/>
    <cellStyle name="20% - Accent6 4 4 6" xfId="9173" xr:uid="{00000000-0005-0000-0000-0000F5250000}"/>
    <cellStyle name="20% - Accent6 4 4 6 2" xfId="23648" xr:uid="{00000000-0005-0000-0000-0000F6250000}"/>
    <cellStyle name="20% - Accent6 4 4 7" xfId="19797" xr:uid="{00000000-0005-0000-0000-0000F7250000}"/>
    <cellStyle name="20% - Accent6 4 5" xfId="2478" xr:uid="{00000000-0005-0000-0000-0000F8250000}"/>
    <cellStyle name="20% - Accent6 4 5 2" xfId="2479" xr:uid="{00000000-0005-0000-0000-0000F9250000}"/>
    <cellStyle name="20% - Accent6 4 5 2 2" xfId="15025" xr:uid="{00000000-0005-0000-0000-0000FA250000}"/>
    <cellStyle name="20% - Accent6 4 5 2 2 2" xfId="28574" xr:uid="{00000000-0005-0000-0000-0000FB250000}"/>
    <cellStyle name="20% - Accent6 4 5 2 3" xfId="19803" xr:uid="{00000000-0005-0000-0000-0000FC250000}"/>
    <cellStyle name="20% - Accent6 4 5 3" xfId="10892" xr:uid="{00000000-0005-0000-0000-0000FD250000}"/>
    <cellStyle name="20% - Accent6 4 5 3 2" xfId="24834" xr:uid="{00000000-0005-0000-0000-0000FE250000}"/>
    <cellStyle name="20% - Accent6 4 5 4" xfId="19802" xr:uid="{00000000-0005-0000-0000-0000FF250000}"/>
    <cellStyle name="20% - Accent6 4 6" xfId="2480" xr:uid="{00000000-0005-0000-0000-000000260000}"/>
    <cellStyle name="20% - Accent6 4 6 2" xfId="11816" xr:uid="{00000000-0005-0000-0000-000001260000}"/>
    <cellStyle name="20% - Accent6 4 6 2 2" xfId="25531" xr:uid="{00000000-0005-0000-0000-000002260000}"/>
    <cellStyle name="20% - Accent6 4 6 3" xfId="19804" xr:uid="{00000000-0005-0000-0000-000003260000}"/>
    <cellStyle name="20% - Accent6 4 7" xfId="2481" xr:uid="{00000000-0005-0000-0000-000004260000}"/>
    <cellStyle name="20% - Accent6 4 7 2" xfId="12685" xr:uid="{00000000-0005-0000-0000-000005260000}"/>
    <cellStyle name="20% - Accent6 4 7 2 2" xfId="26397" xr:uid="{00000000-0005-0000-0000-000006260000}"/>
    <cellStyle name="20% - Accent6 4 7 3" xfId="19805" xr:uid="{00000000-0005-0000-0000-000007260000}"/>
    <cellStyle name="20% - Accent6 4 8" xfId="2482" xr:uid="{00000000-0005-0000-0000-000008260000}"/>
    <cellStyle name="20% - Accent6 4 8 2" xfId="13417" xr:uid="{00000000-0005-0000-0000-000009260000}"/>
    <cellStyle name="20% - Accent6 4 8 2 2" xfId="26966" xr:uid="{00000000-0005-0000-0000-00000A260000}"/>
    <cellStyle name="20% - Accent6 4 8 3" xfId="19806" xr:uid="{00000000-0005-0000-0000-00000B260000}"/>
    <cellStyle name="20% - Accent6 4 9" xfId="2483" xr:uid="{00000000-0005-0000-0000-00000C260000}"/>
    <cellStyle name="20% - Accent6 4 9 2" xfId="13998" xr:uid="{00000000-0005-0000-0000-00000D260000}"/>
    <cellStyle name="20% - Accent6 4 9 2 2" xfId="27547" xr:uid="{00000000-0005-0000-0000-00000E260000}"/>
    <cellStyle name="20% - Accent6 4 9 3" xfId="19807" xr:uid="{00000000-0005-0000-0000-00000F260000}"/>
    <cellStyle name="20% - Accent6 5" xfId="2484" xr:uid="{00000000-0005-0000-0000-000010260000}"/>
    <cellStyle name="20% - Accent6 5 10" xfId="2485" xr:uid="{00000000-0005-0000-0000-000011260000}"/>
    <cellStyle name="20% - Accent6 5 10 2" xfId="15026" xr:uid="{00000000-0005-0000-0000-000012260000}"/>
    <cellStyle name="20% - Accent6 5 10 2 2" xfId="28575" xr:uid="{00000000-0005-0000-0000-000013260000}"/>
    <cellStyle name="20% - Accent6 5 10 3" xfId="19809" xr:uid="{00000000-0005-0000-0000-000014260000}"/>
    <cellStyle name="20% - Accent6 5 11" xfId="2486" xr:uid="{00000000-0005-0000-0000-000015260000}"/>
    <cellStyle name="20% - Accent6 5 11 2" xfId="15867" xr:uid="{00000000-0005-0000-0000-000016260000}"/>
    <cellStyle name="20% - Accent6 5 11 2 2" xfId="29274" xr:uid="{00000000-0005-0000-0000-000017260000}"/>
    <cellStyle name="20% - Accent6 5 11 3" xfId="19810" xr:uid="{00000000-0005-0000-0000-000018260000}"/>
    <cellStyle name="20% - Accent6 5 12" xfId="9174" xr:uid="{00000000-0005-0000-0000-000019260000}"/>
    <cellStyle name="20% - Accent6 5 12 2" xfId="23649" xr:uid="{00000000-0005-0000-0000-00001A260000}"/>
    <cellStyle name="20% - Accent6 5 13" xfId="19808" xr:uid="{00000000-0005-0000-0000-00001B260000}"/>
    <cellStyle name="20% - Accent6 5 2" xfId="2487" xr:uid="{00000000-0005-0000-0000-00001C260000}"/>
    <cellStyle name="20% - Accent6 5 2 10" xfId="2488" xr:uid="{00000000-0005-0000-0000-00001D260000}"/>
    <cellStyle name="20% - Accent6 5 2 10 2" xfId="16010" xr:uid="{00000000-0005-0000-0000-00001E260000}"/>
    <cellStyle name="20% - Accent6 5 2 10 2 2" xfId="29417" xr:uid="{00000000-0005-0000-0000-00001F260000}"/>
    <cellStyle name="20% - Accent6 5 2 10 3" xfId="19812" xr:uid="{00000000-0005-0000-0000-000020260000}"/>
    <cellStyle name="20% - Accent6 5 2 11" xfId="9175" xr:uid="{00000000-0005-0000-0000-000021260000}"/>
    <cellStyle name="20% - Accent6 5 2 11 2" xfId="23650" xr:uid="{00000000-0005-0000-0000-000022260000}"/>
    <cellStyle name="20% - Accent6 5 2 12" xfId="19811" xr:uid="{00000000-0005-0000-0000-000023260000}"/>
    <cellStyle name="20% - Accent6 5 2 2" xfId="2489" xr:uid="{00000000-0005-0000-0000-000024260000}"/>
    <cellStyle name="20% - Accent6 5 2 2 10" xfId="9176" xr:uid="{00000000-0005-0000-0000-000025260000}"/>
    <cellStyle name="20% - Accent6 5 2 2 10 2" xfId="23651" xr:uid="{00000000-0005-0000-0000-000026260000}"/>
    <cellStyle name="20% - Accent6 5 2 2 11" xfId="19813" xr:uid="{00000000-0005-0000-0000-000027260000}"/>
    <cellStyle name="20% - Accent6 5 2 2 2" xfId="2490" xr:uid="{00000000-0005-0000-0000-000028260000}"/>
    <cellStyle name="20% - Accent6 5 2 2 2 2" xfId="2491" xr:uid="{00000000-0005-0000-0000-000029260000}"/>
    <cellStyle name="20% - Accent6 5 2 2 2 2 2" xfId="10903" xr:uid="{00000000-0005-0000-0000-00002A260000}"/>
    <cellStyle name="20% - Accent6 5 2 2 2 2 2 2" xfId="24845" xr:uid="{00000000-0005-0000-0000-00002B260000}"/>
    <cellStyle name="20% - Accent6 5 2 2 2 2 3" xfId="19815" xr:uid="{00000000-0005-0000-0000-00002C260000}"/>
    <cellStyle name="20% - Accent6 5 2 2 2 3" xfId="2492" xr:uid="{00000000-0005-0000-0000-00002D260000}"/>
    <cellStyle name="20% - Accent6 5 2 2 2 3 2" xfId="12794" xr:uid="{00000000-0005-0000-0000-00002E260000}"/>
    <cellStyle name="20% - Accent6 5 2 2 2 3 2 2" xfId="26506" xr:uid="{00000000-0005-0000-0000-00002F260000}"/>
    <cellStyle name="20% - Accent6 5 2 2 2 3 3" xfId="19816" xr:uid="{00000000-0005-0000-0000-000030260000}"/>
    <cellStyle name="20% - Accent6 5 2 2 2 4" xfId="2493" xr:uid="{00000000-0005-0000-0000-000031260000}"/>
    <cellStyle name="20% - Accent6 5 2 2 2 4 2" xfId="15029" xr:uid="{00000000-0005-0000-0000-000032260000}"/>
    <cellStyle name="20% - Accent6 5 2 2 2 4 2 2" xfId="28578" xr:uid="{00000000-0005-0000-0000-000033260000}"/>
    <cellStyle name="20% - Accent6 5 2 2 2 4 3" xfId="19817" xr:uid="{00000000-0005-0000-0000-000034260000}"/>
    <cellStyle name="20% - Accent6 5 2 2 2 5" xfId="2494" xr:uid="{00000000-0005-0000-0000-000035260000}"/>
    <cellStyle name="20% - Accent6 5 2 2 2 5 2" xfId="16880" xr:uid="{00000000-0005-0000-0000-000036260000}"/>
    <cellStyle name="20% - Accent6 5 2 2 2 5 2 2" xfId="30287" xr:uid="{00000000-0005-0000-0000-000037260000}"/>
    <cellStyle name="20% - Accent6 5 2 2 2 5 3" xfId="19818" xr:uid="{00000000-0005-0000-0000-000038260000}"/>
    <cellStyle name="20% - Accent6 5 2 2 2 6" xfId="9177" xr:uid="{00000000-0005-0000-0000-000039260000}"/>
    <cellStyle name="20% - Accent6 5 2 2 2 6 2" xfId="23652" xr:uid="{00000000-0005-0000-0000-00003A260000}"/>
    <cellStyle name="20% - Accent6 5 2 2 2 7" xfId="19814" xr:uid="{00000000-0005-0000-0000-00003B260000}"/>
    <cellStyle name="20% - Accent6 5 2 2 3" xfId="2495" xr:uid="{00000000-0005-0000-0000-00003C260000}"/>
    <cellStyle name="20% - Accent6 5 2 2 3 2" xfId="2496" xr:uid="{00000000-0005-0000-0000-00003D260000}"/>
    <cellStyle name="20% - Accent6 5 2 2 3 2 2" xfId="15030" xr:uid="{00000000-0005-0000-0000-00003E260000}"/>
    <cellStyle name="20% - Accent6 5 2 2 3 2 2 2" xfId="28579" xr:uid="{00000000-0005-0000-0000-00003F260000}"/>
    <cellStyle name="20% - Accent6 5 2 2 3 2 3" xfId="19820" xr:uid="{00000000-0005-0000-0000-000040260000}"/>
    <cellStyle name="20% - Accent6 5 2 2 3 3" xfId="10902" xr:uid="{00000000-0005-0000-0000-000041260000}"/>
    <cellStyle name="20% - Accent6 5 2 2 3 3 2" xfId="24844" xr:uid="{00000000-0005-0000-0000-000042260000}"/>
    <cellStyle name="20% - Accent6 5 2 2 3 4" xfId="19819" xr:uid="{00000000-0005-0000-0000-000043260000}"/>
    <cellStyle name="20% - Accent6 5 2 2 4" xfId="2497" xr:uid="{00000000-0005-0000-0000-000044260000}"/>
    <cellStyle name="20% - Accent6 5 2 2 4 2" xfId="12268" xr:uid="{00000000-0005-0000-0000-000045260000}"/>
    <cellStyle name="20% - Accent6 5 2 2 4 2 2" xfId="25980" xr:uid="{00000000-0005-0000-0000-000046260000}"/>
    <cellStyle name="20% - Accent6 5 2 2 4 3" xfId="19821" xr:uid="{00000000-0005-0000-0000-000047260000}"/>
    <cellStyle name="20% - Accent6 5 2 2 5" xfId="2498" xr:uid="{00000000-0005-0000-0000-000048260000}"/>
    <cellStyle name="20% - Accent6 5 2 2 5 2" xfId="12798" xr:uid="{00000000-0005-0000-0000-000049260000}"/>
    <cellStyle name="20% - Accent6 5 2 2 5 2 2" xfId="26510" xr:uid="{00000000-0005-0000-0000-00004A260000}"/>
    <cellStyle name="20% - Accent6 5 2 2 5 3" xfId="19822" xr:uid="{00000000-0005-0000-0000-00004B260000}"/>
    <cellStyle name="20% - Accent6 5 2 2 6" xfId="2499" xr:uid="{00000000-0005-0000-0000-00004C260000}"/>
    <cellStyle name="20% - Accent6 5 2 2 6 2" xfId="13832" xr:uid="{00000000-0005-0000-0000-00004D260000}"/>
    <cellStyle name="20% - Accent6 5 2 2 6 2 2" xfId="27381" xr:uid="{00000000-0005-0000-0000-00004E260000}"/>
    <cellStyle name="20% - Accent6 5 2 2 6 3" xfId="19823" xr:uid="{00000000-0005-0000-0000-00004F260000}"/>
    <cellStyle name="20% - Accent6 5 2 2 7" xfId="2500" xr:uid="{00000000-0005-0000-0000-000050260000}"/>
    <cellStyle name="20% - Accent6 5 2 2 7 2" xfId="14413" xr:uid="{00000000-0005-0000-0000-000051260000}"/>
    <cellStyle name="20% - Accent6 5 2 2 7 2 2" xfId="27962" xr:uid="{00000000-0005-0000-0000-000052260000}"/>
    <cellStyle name="20% - Accent6 5 2 2 7 3" xfId="19824" xr:uid="{00000000-0005-0000-0000-000053260000}"/>
    <cellStyle name="20% - Accent6 5 2 2 8" xfId="2501" xr:uid="{00000000-0005-0000-0000-000054260000}"/>
    <cellStyle name="20% - Accent6 5 2 2 8 2" xfId="15028" xr:uid="{00000000-0005-0000-0000-000055260000}"/>
    <cellStyle name="20% - Accent6 5 2 2 8 2 2" xfId="28577" xr:uid="{00000000-0005-0000-0000-000056260000}"/>
    <cellStyle name="20% - Accent6 5 2 2 8 3" xfId="19825" xr:uid="{00000000-0005-0000-0000-000057260000}"/>
    <cellStyle name="20% - Accent6 5 2 2 9" xfId="2502" xr:uid="{00000000-0005-0000-0000-000058260000}"/>
    <cellStyle name="20% - Accent6 5 2 2 9 2" xfId="16299" xr:uid="{00000000-0005-0000-0000-000059260000}"/>
    <cellStyle name="20% - Accent6 5 2 2 9 2 2" xfId="29706" xr:uid="{00000000-0005-0000-0000-00005A260000}"/>
    <cellStyle name="20% - Accent6 5 2 2 9 3" xfId="19826" xr:uid="{00000000-0005-0000-0000-00005B260000}"/>
    <cellStyle name="20% - Accent6 5 2 3" xfId="2503" xr:uid="{00000000-0005-0000-0000-00005C260000}"/>
    <cellStyle name="20% - Accent6 5 2 3 2" xfId="2504" xr:uid="{00000000-0005-0000-0000-00005D260000}"/>
    <cellStyle name="20% - Accent6 5 2 3 2 2" xfId="10904" xr:uid="{00000000-0005-0000-0000-00005E260000}"/>
    <cellStyle name="20% - Accent6 5 2 3 2 2 2" xfId="24846" xr:uid="{00000000-0005-0000-0000-00005F260000}"/>
    <cellStyle name="20% - Accent6 5 2 3 2 3" xfId="19828" xr:uid="{00000000-0005-0000-0000-000060260000}"/>
    <cellStyle name="20% - Accent6 5 2 3 3" xfId="2505" xr:uid="{00000000-0005-0000-0000-000061260000}"/>
    <cellStyle name="20% - Accent6 5 2 3 3 2" xfId="12735" xr:uid="{00000000-0005-0000-0000-000062260000}"/>
    <cellStyle name="20% - Accent6 5 2 3 3 2 2" xfId="26447" xr:uid="{00000000-0005-0000-0000-000063260000}"/>
    <cellStyle name="20% - Accent6 5 2 3 3 3" xfId="19829" xr:uid="{00000000-0005-0000-0000-000064260000}"/>
    <cellStyle name="20% - Accent6 5 2 3 4" xfId="2506" xr:uid="{00000000-0005-0000-0000-000065260000}"/>
    <cellStyle name="20% - Accent6 5 2 3 4 2" xfId="15031" xr:uid="{00000000-0005-0000-0000-000066260000}"/>
    <cellStyle name="20% - Accent6 5 2 3 4 2 2" xfId="28580" xr:uid="{00000000-0005-0000-0000-000067260000}"/>
    <cellStyle name="20% - Accent6 5 2 3 4 3" xfId="19830" xr:uid="{00000000-0005-0000-0000-000068260000}"/>
    <cellStyle name="20% - Accent6 5 2 3 5" xfId="2507" xr:uid="{00000000-0005-0000-0000-000069260000}"/>
    <cellStyle name="20% - Accent6 5 2 3 5 2" xfId="16591" xr:uid="{00000000-0005-0000-0000-00006A260000}"/>
    <cellStyle name="20% - Accent6 5 2 3 5 2 2" xfId="29998" xr:uid="{00000000-0005-0000-0000-00006B260000}"/>
    <cellStyle name="20% - Accent6 5 2 3 5 3" xfId="19831" xr:uid="{00000000-0005-0000-0000-00006C260000}"/>
    <cellStyle name="20% - Accent6 5 2 3 6" xfId="9178" xr:uid="{00000000-0005-0000-0000-00006D260000}"/>
    <cellStyle name="20% - Accent6 5 2 3 6 2" xfId="23653" xr:uid="{00000000-0005-0000-0000-00006E260000}"/>
    <cellStyle name="20% - Accent6 5 2 3 7" xfId="19827" xr:uid="{00000000-0005-0000-0000-00006F260000}"/>
    <cellStyle name="20% - Accent6 5 2 4" xfId="2508" xr:uid="{00000000-0005-0000-0000-000070260000}"/>
    <cellStyle name="20% - Accent6 5 2 4 2" xfId="2509" xr:uid="{00000000-0005-0000-0000-000071260000}"/>
    <cellStyle name="20% - Accent6 5 2 4 2 2" xfId="15032" xr:uid="{00000000-0005-0000-0000-000072260000}"/>
    <cellStyle name="20% - Accent6 5 2 4 2 2 2" xfId="28581" xr:uid="{00000000-0005-0000-0000-000073260000}"/>
    <cellStyle name="20% - Accent6 5 2 4 2 3" xfId="19833" xr:uid="{00000000-0005-0000-0000-000074260000}"/>
    <cellStyle name="20% - Accent6 5 2 4 3" xfId="10901" xr:uid="{00000000-0005-0000-0000-000075260000}"/>
    <cellStyle name="20% - Accent6 5 2 4 3 2" xfId="24843" xr:uid="{00000000-0005-0000-0000-000076260000}"/>
    <cellStyle name="20% - Accent6 5 2 4 4" xfId="19832" xr:uid="{00000000-0005-0000-0000-000077260000}"/>
    <cellStyle name="20% - Accent6 5 2 5" xfId="2510" xr:uid="{00000000-0005-0000-0000-000078260000}"/>
    <cellStyle name="20% - Accent6 5 2 5 2" xfId="11968" xr:uid="{00000000-0005-0000-0000-000079260000}"/>
    <cellStyle name="20% - Accent6 5 2 5 2 2" xfId="25683" xr:uid="{00000000-0005-0000-0000-00007A260000}"/>
    <cellStyle name="20% - Accent6 5 2 5 3" xfId="19834" xr:uid="{00000000-0005-0000-0000-00007B260000}"/>
    <cellStyle name="20% - Accent6 5 2 6" xfId="2511" xr:uid="{00000000-0005-0000-0000-00007C260000}"/>
    <cellStyle name="20% - Accent6 5 2 6 2" xfId="11767" xr:uid="{00000000-0005-0000-0000-00007D260000}"/>
    <cellStyle name="20% - Accent6 5 2 6 2 2" xfId="25482" xr:uid="{00000000-0005-0000-0000-00007E260000}"/>
    <cellStyle name="20% - Accent6 5 2 6 3" xfId="19835" xr:uid="{00000000-0005-0000-0000-00007F260000}"/>
    <cellStyle name="20% - Accent6 5 2 7" xfId="2512" xr:uid="{00000000-0005-0000-0000-000080260000}"/>
    <cellStyle name="20% - Accent6 5 2 7 2" xfId="13543" xr:uid="{00000000-0005-0000-0000-000081260000}"/>
    <cellStyle name="20% - Accent6 5 2 7 2 2" xfId="27092" xr:uid="{00000000-0005-0000-0000-000082260000}"/>
    <cellStyle name="20% - Accent6 5 2 7 3" xfId="19836" xr:uid="{00000000-0005-0000-0000-000083260000}"/>
    <cellStyle name="20% - Accent6 5 2 8" xfId="2513" xr:uid="{00000000-0005-0000-0000-000084260000}"/>
    <cellStyle name="20% - Accent6 5 2 8 2" xfId="14124" xr:uid="{00000000-0005-0000-0000-000085260000}"/>
    <cellStyle name="20% - Accent6 5 2 8 2 2" xfId="27673" xr:uid="{00000000-0005-0000-0000-000086260000}"/>
    <cellStyle name="20% - Accent6 5 2 8 3" xfId="19837" xr:uid="{00000000-0005-0000-0000-000087260000}"/>
    <cellStyle name="20% - Accent6 5 2 9" xfId="2514" xr:uid="{00000000-0005-0000-0000-000088260000}"/>
    <cellStyle name="20% - Accent6 5 2 9 2" xfId="15027" xr:uid="{00000000-0005-0000-0000-000089260000}"/>
    <cellStyle name="20% - Accent6 5 2 9 2 2" xfId="28576" xr:uid="{00000000-0005-0000-0000-00008A260000}"/>
    <cellStyle name="20% - Accent6 5 2 9 3" xfId="19838" xr:uid="{00000000-0005-0000-0000-00008B260000}"/>
    <cellStyle name="20% - Accent6 5 3" xfId="2515" xr:uid="{00000000-0005-0000-0000-00008C260000}"/>
    <cellStyle name="20% - Accent6 5 3 10" xfId="9179" xr:uid="{00000000-0005-0000-0000-00008D260000}"/>
    <cellStyle name="20% - Accent6 5 3 10 2" xfId="23654" xr:uid="{00000000-0005-0000-0000-00008E260000}"/>
    <cellStyle name="20% - Accent6 5 3 11" xfId="19839" xr:uid="{00000000-0005-0000-0000-00008F260000}"/>
    <cellStyle name="20% - Accent6 5 3 2" xfId="2516" xr:uid="{00000000-0005-0000-0000-000090260000}"/>
    <cellStyle name="20% - Accent6 5 3 2 2" xfId="2517" xr:uid="{00000000-0005-0000-0000-000091260000}"/>
    <cellStyle name="20% - Accent6 5 3 2 2 2" xfId="10906" xr:uid="{00000000-0005-0000-0000-000092260000}"/>
    <cellStyle name="20% - Accent6 5 3 2 2 2 2" xfId="24848" xr:uid="{00000000-0005-0000-0000-000093260000}"/>
    <cellStyle name="20% - Accent6 5 3 2 2 3" xfId="19841" xr:uid="{00000000-0005-0000-0000-000094260000}"/>
    <cellStyle name="20% - Accent6 5 3 2 3" xfId="2518" xr:uid="{00000000-0005-0000-0000-000095260000}"/>
    <cellStyle name="20% - Accent6 5 3 2 3 2" xfId="12562" xr:uid="{00000000-0005-0000-0000-000096260000}"/>
    <cellStyle name="20% - Accent6 5 3 2 3 2 2" xfId="26274" xr:uid="{00000000-0005-0000-0000-000097260000}"/>
    <cellStyle name="20% - Accent6 5 3 2 3 3" xfId="19842" xr:uid="{00000000-0005-0000-0000-000098260000}"/>
    <cellStyle name="20% - Accent6 5 3 2 4" xfId="2519" xr:uid="{00000000-0005-0000-0000-000099260000}"/>
    <cellStyle name="20% - Accent6 5 3 2 4 2" xfId="15034" xr:uid="{00000000-0005-0000-0000-00009A260000}"/>
    <cellStyle name="20% - Accent6 5 3 2 4 2 2" xfId="28583" xr:uid="{00000000-0005-0000-0000-00009B260000}"/>
    <cellStyle name="20% - Accent6 5 3 2 4 3" xfId="19843" xr:uid="{00000000-0005-0000-0000-00009C260000}"/>
    <cellStyle name="20% - Accent6 5 3 2 5" xfId="2520" xr:uid="{00000000-0005-0000-0000-00009D260000}"/>
    <cellStyle name="20% - Accent6 5 3 2 5 2" xfId="16740" xr:uid="{00000000-0005-0000-0000-00009E260000}"/>
    <cellStyle name="20% - Accent6 5 3 2 5 2 2" xfId="30147" xr:uid="{00000000-0005-0000-0000-00009F260000}"/>
    <cellStyle name="20% - Accent6 5 3 2 5 3" xfId="19844" xr:uid="{00000000-0005-0000-0000-0000A0260000}"/>
    <cellStyle name="20% - Accent6 5 3 2 6" xfId="9180" xr:uid="{00000000-0005-0000-0000-0000A1260000}"/>
    <cellStyle name="20% - Accent6 5 3 2 6 2" xfId="23655" xr:uid="{00000000-0005-0000-0000-0000A2260000}"/>
    <cellStyle name="20% - Accent6 5 3 2 7" xfId="19840" xr:uid="{00000000-0005-0000-0000-0000A3260000}"/>
    <cellStyle name="20% - Accent6 5 3 3" xfId="2521" xr:uid="{00000000-0005-0000-0000-0000A4260000}"/>
    <cellStyle name="20% - Accent6 5 3 3 2" xfId="2522" xr:uid="{00000000-0005-0000-0000-0000A5260000}"/>
    <cellStyle name="20% - Accent6 5 3 3 2 2" xfId="15035" xr:uid="{00000000-0005-0000-0000-0000A6260000}"/>
    <cellStyle name="20% - Accent6 5 3 3 2 2 2" xfId="28584" xr:uid="{00000000-0005-0000-0000-0000A7260000}"/>
    <cellStyle name="20% - Accent6 5 3 3 2 3" xfId="19846" xr:uid="{00000000-0005-0000-0000-0000A8260000}"/>
    <cellStyle name="20% - Accent6 5 3 3 3" xfId="10905" xr:uid="{00000000-0005-0000-0000-0000A9260000}"/>
    <cellStyle name="20% - Accent6 5 3 3 3 2" xfId="24847" xr:uid="{00000000-0005-0000-0000-0000AA260000}"/>
    <cellStyle name="20% - Accent6 5 3 3 4" xfId="19845" xr:uid="{00000000-0005-0000-0000-0000AB260000}"/>
    <cellStyle name="20% - Accent6 5 3 4" xfId="2523" xr:uid="{00000000-0005-0000-0000-0000AC260000}"/>
    <cellStyle name="20% - Accent6 5 3 4 2" xfId="12128" xr:uid="{00000000-0005-0000-0000-0000AD260000}"/>
    <cellStyle name="20% - Accent6 5 3 4 2 2" xfId="25840" xr:uid="{00000000-0005-0000-0000-0000AE260000}"/>
    <cellStyle name="20% - Accent6 5 3 4 3" xfId="19847" xr:uid="{00000000-0005-0000-0000-0000AF260000}"/>
    <cellStyle name="20% - Accent6 5 3 5" xfId="2524" xr:uid="{00000000-0005-0000-0000-0000B0260000}"/>
    <cellStyle name="20% - Accent6 5 3 5 2" xfId="12806" xr:uid="{00000000-0005-0000-0000-0000B1260000}"/>
    <cellStyle name="20% - Accent6 5 3 5 2 2" xfId="26518" xr:uid="{00000000-0005-0000-0000-0000B2260000}"/>
    <cellStyle name="20% - Accent6 5 3 5 3" xfId="19848" xr:uid="{00000000-0005-0000-0000-0000B3260000}"/>
    <cellStyle name="20% - Accent6 5 3 6" xfId="2525" xr:uid="{00000000-0005-0000-0000-0000B4260000}"/>
    <cellStyle name="20% - Accent6 5 3 6 2" xfId="13692" xr:uid="{00000000-0005-0000-0000-0000B5260000}"/>
    <cellStyle name="20% - Accent6 5 3 6 2 2" xfId="27241" xr:uid="{00000000-0005-0000-0000-0000B6260000}"/>
    <cellStyle name="20% - Accent6 5 3 6 3" xfId="19849" xr:uid="{00000000-0005-0000-0000-0000B7260000}"/>
    <cellStyle name="20% - Accent6 5 3 7" xfId="2526" xr:uid="{00000000-0005-0000-0000-0000B8260000}"/>
    <cellStyle name="20% - Accent6 5 3 7 2" xfId="14273" xr:uid="{00000000-0005-0000-0000-0000B9260000}"/>
    <cellStyle name="20% - Accent6 5 3 7 2 2" xfId="27822" xr:uid="{00000000-0005-0000-0000-0000BA260000}"/>
    <cellStyle name="20% - Accent6 5 3 7 3" xfId="19850" xr:uid="{00000000-0005-0000-0000-0000BB260000}"/>
    <cellStyle name="20% - Accent6 5 3 8" xfId="2527" xr:uid="{00000000-0005-0000-0000-0000BC260000}"/>
    <cellStyle name="20% - Accent6 5 3 8 2" xfId="15033" xr:uid="{00000000-0005-0000-0000-0000BD260000}"/>
    <cellStyle name="20% - Accent6 5 3 8 2 2" xfId="28582" xr:uid="{00000000-0005-0000-0000-0000BE260000}"/>
    <cellStyle name="20% - Accent6 5 3 8 3" xfId="19851" xr:uid="{00000000-0005-0000-0000-0000BF260000}"/>
    <cellStyle name="20% - Accent6 5 3 9" xfId="2528" xr:uid="{00000000-0005-0000-0000-0000C0260000}"/>
    <cellStyle name="20% - Accent6 5 3 9 2" xfId="16159" xr:uid="{00000000-0005-0000-0000-0000C1260000}"/>
    <cellStyle name="20% - Accent6 5 3 9 2 2" xfId="29566" xr:uid="{00000000-0005-0000-0000-0000C2260000}"/>
    <cellStyle name="20% - Accent6 5 3 9 3" xfId="19852" xr:uid="{00000000-0005-0000-0000-0000C3260000}"/>
    <cellStyle name="20% - Accent6 5 4" xfId="2529" xr:uid="{00000000-0005-0000-0000-0000C4260000}"/>
    <cellStyle name="20% - Accent6 5 4 2" xfId="2530" xr:uid="{00000000-0005-0000-0000-0000C5260000}"/>
    <cellStyle name="20% - Accent6 5 4 2 2" xfId="10907" xr:uid="{00000000-0005-0000-0000-0000C6260000}"/>
    <cellStyle name="20% - Accent6 5 4 2 2 2" xfId="24849" xr:uid="{00000000-0005-0000-0000-0000C7260000}"/>
    <cellStyle name="20% - Accent6 5 4 2 3" xfId="19854" xr:uid="{00000000-0005-0000-0000-0000C8260000}"/>
    <cellStyle name="20% - Accent6 5 4 3" xfId="2531" xr:uid="{00000000-0005-0000-0000-0000C9260000}"/>
    <cellStyle name="20% - Accent6 5 4 3 2" xfId="12116" xr:uid="{00000000-0005-0000-0000-0000CA260000}"/>
    <cellStyle name="20% - Accent6 5 4 3 2 2" xfId="25828" xr:uid="{00000000-0005-0000-0000-0000CB260000}"/>
    <cellStyle name="20% - Accent6 5 4 3 3" xfId="19855" xr:uid="{00000000-0005-0000-0000-0000CC260000}"/>
    <cellStyle name="20% - Accent6 5 4 4" xfId="2532" xr:uid="{00000000-0005-0000-0000-0000CD260000}"/>
    <cellStyle name="20% - Accent6 5 4 4 2" xfId="15036" xr:uid="{00000000-0005-0000-0000-0000CE260000}"/>
    <cellStyle name="20% - Accent6 5 4 4 2 2" xfId="28585" xr:uid="{00000000-0005-0000-0000-0000CF260000}"/>
    <cellStyle name="20% - Accent6 5 4 4 3" xfId="19856" xr:uid="{00000000-0005-0000-0000-0000D0260000}"/>
    <cellStyle name="20% - Accent6 5 4 5" xfId="2533" xr:uid="{00000000-0005-0000-0000-0000D1260000}"/>
    <cellStyle name="20% - Accent6 5 4 5 2" xfId="16448" xr:uid="{00000000-0005-0000-0000-0000D2260000}"/>
    <cellStyle name="20% - Accent6 5 4 5 2 2" xfId="29855" xr:uid="{00000000-0005-0000-0000-0000D3260000}"/>
    <cellStyle name="20% - Accent6 5 4 5 3" xfId="19857" xr:uid="{00000000-0005-0000-0000-0000D4260000}"/>
    <cellStyle name="20% - Accent6 5 4 6" xfId="9181" xr:uid="{00000000-0005-0000-0000-0000D5260000}"/>
    <cellStyle name="20% - Accent6 5 4 6 2" xfId="23656" xr:uid="{00000000-0005-0000-0000-0000D6260000}"/>
    <cellStyle name="20% - Accent6 5 4 7" xfId="19853" xr:uid="{00000000-0005-0000-0000-0000D7260000}"/>
    <cellStyle name="20% - Accent6 5 5" xfId="2534" xr:uid="{00000000-0005-0000-0000-0000D8260000}"/>
    <cellStyle name="20% - Accent6 5 5 2" xfId="2535" xr:uid="{00000000-0005-0000-0000-0000D9260000}"/>
    <cellStyle name="20% - Accent6 5 5 2 2" xfId="15037" xr:uid="{00000000-0005-0000-0000-0000DA260000}"/>
    <cellStyle name="20% - Accent6 5 5 2 2 2" xfId="28586" xr:uid="{00000000-0005-0000-0000-0000DB260000}"/>
    <cellStyle name="20% - Accent6 5 5 2 3" xfId="19859" xr:uid="{00000000-0005-0000-0000-0000DC260000}"/>
    <cellStyle name="20% - Accent6 5 5 3" xfId="10900" xr:uid="{00000000-0005-0000-0000-0000DD260000}"/>
    <cellStyle name="20% - Accent6 5 5 3 2" xfId="24842" xr:uid="{00000000-0005-0000-0000-0000DE260000}"/>
    <cellStyle name="20% - Accent6 5 5 4" xfId="19858" xr:uid="{00000000-0005-0000-0000-0000DF260000}"/>
    <cellStyle name="20% - Accent6 5 6" xfId="2536" xr:uid="{00000000-0005-0000-0000-0000E0260000}"/>
    <cellStyle name="20% - Accent6 5 6 2" xfId="11799" xr:uid="{00000000-0005-0000-0000-0000E1260000}"/>
    <cellStyle name="20% - Accent6 5 6 2 2" xfId="25514" xr:uid="{00000000-0005-0000-0000-0000E2260000}"/>
    <cellStyle name="20% - Accent6 5 6 3" xfId="19860" xr:uid="{00000000-0005-0000-0000-0000E3260000}"/>
    <cellStyle name="20% - Accent6 5 7" xfId="2537" xr:uid="{00000000-0005-0000-0000-0000E4260000}"/>
    <cellStyle name="20% - Accent6 5 7 2" xfId="12559" xr:uid="{00000000-0005-0000-0000-0000E5260000}"/>
    <cellStyle name="20% - Accent6 5 7 2 2" xfId="26271" xr:uid="{00000000-0005-0000-0000-0000E6260000}"/>
    <cellStyle name="20% - Accent6 5 7 3" xfId="19861" xr:uid="{00000000-0005-0000-0000-0000E7260000}"/>
    <cellStyle name="20% - Accent6 5 8" xfId="2538" xr:uid="{00000000-0005-0000-0000-0000E8260000}"/>
    <cellStyle name="20% - Accent6 5 8 2" xfId="13400" xr:uid="{00000000-0005-0000-0000-0000E9260000}"/>
    <cellStyle name="20% - Accent6 5 8 2 2" xfId="26949" xr:uid="{00000000-0005-0000-0000-0000EA260000}"/>
    <cellStyle name="20% - Accent6 5 8 3" xfId="19862" xr:uid="{00000000-0005-0000-0000-0000EB260000}"/>
    <cellStyle name="20% - Accent6 5 9" xfId="2539" xr:uid="{00000000-0005-0000-0000-0000EC260000}"/>
    <cellStyle name="20% - Accent6 5 9 2" xfId="13981" xr:uid="{00000000-0005-0000-0000-0000ED260000}"/>
    <cellStyle name="20% - Accent6 5 9 2 2" xfId="27530" xr:uid="{00000000-0005-0000-0000-0000EE260000}"/>
    <cellStyle name="20% - Accent6 5 9 3" xfId="19863" xr:uid="{00000000-0005-0000-0000-0000EF260000}"/>
    <cellStyle name="20% - Accent6 6" xfId="2540" xr:uid="{00000000-0005-0000-0000-0000F0260000}"/>
    <cellStyle name="20% - Accent6 6 10" xfId="2541" xr:uid="{00000000-0005-0000-0000-0000F1260000}"/>
    <cellStyle name="20% - Accent6 6 10 2" xfId="15038" xr:uid="{00000000-0005-0000-0000-0000F2260000}"/>
    <cellStyle name="20% - Accent6 6 10 2 2" xfId="28587" xr:uid="{00000000-0005-0000-0000-0000F3260000}"/>
    <cellStyle name="20% - Accent6 6 10 3" xfId="19865" xr:uid="{00000000-0005-0000-0000-0000F4260000}"/>
    <cellStyle name="20% - Accent6 6 11" xfId="2542" xr:uid="{00000000-0005-0000-0000-0000F5260000}"/>
    <cellStyle name="20% - Accent6 6 11 2" xfId="15973" xr:uid="{00000000-0005-0000-0000-0000F6260000}"/>
    <cellStyle name="20% - Accent6 6 11 2 2" xfId="29380" xr:uid="{00000000-0005-0000-0000-0000F7260000}"/>
    <cellStyle name="20% - Accent6 6 11 3" xfId="19866" xr:uid="{00000000-0005-0000-0000-0000F8260000}"/>
    <cellStyle name="20% - Accent6 6 12" xfId="9182" xr:uid="{00000000-0005-0000-0000-0000F9260000}"/>
    <cellStyle name="20% - Accent6 6 12 2" xfId="23657" xr:uid="{00000000-0005-0000-0000-0000FA260000}"/>
    <cellStyle name="20% - Accent6 6 13" xfId="19864" xr:uid="{00000000-0005-0000-0000-0000FB260000}"/>
    <cellStyle name="20% - Accent6 6 2" xfId="2543" xr:uid="{00000000-0005-0000-0000-0000FC260000}"/>
    <cellStyle name="20% - Accent6 6 2 10" xfId="2544" xr:uid="{00000000-0005-0000-0000-0000FD260000}"/>
    <cellStyle name="20% - Accent6 6 2 10 2" xfId="16116" xr:uid="{00000000-0005-0000-0000-0000FE260000}"/>
    <cellStyle name="20% - Accent6 6 2 10 2 2" xfId="29523" xr:uid="{00000000-0005-0000-0000-0000FF260000}"/>
    <cellStyle name="20% - Accent6 6 2 10 3" xfId="19868" xr:uid="{00000000-0005-0000-0000-000000270000}"/>
    <cellStyle name="20% - Accent6 6 2 11" xfId="9183" xr:uid="{00000000-0005-0000-0000-000001270000}"/>
    <cellStyle name="20% - Accent6 6 2 11 2" xfId="23658" xr:uid="{00000000-0005-0000-0000-000002270000}"/>
    <cellStyle name="20% - Accent6 6 2 12" xfId="19867" xr:uid="{00000000-0005-0000-0000-000003270000}"/>
    <cellStyle name="20% - Accent6 6 2 2" xfId="2545" xr:uid="{00000000-0005-0000-0000-000004270000}"/>
    <cellStyle name="20% - Accent6 6 2 2 10" xfId="9184" xr:uid="{00000000-0005-0000-0000-000005270000}"/>
    <cellStyle name="20% - Accent6 6 2 2 10 2" xfId="23659" xr:uid="{00000000-0005-0000-0000-000006270000}"/>
    <cellStyle name="20% - Accent6 6 2 2 11" xfId="19869" xr:uid="{00000000-0005-0000-0000-000007270000}"/>
    <cellStyle name="20% - Accent6 6 2 2 2" xfId="2546" xr:uid="{00000000-0005-0000-0000-000008270000}"/>
    <cellStyle name="20% - Accent6 6 2 2 2 2" xfId="2547" xr:uid="{00000000-0005-0000-0000-000009270000}"/>
    <cellStyle name="20% - Accent6 6 2 2 2 2 2" xfId="10911" xr:uid="{00000000-0005-0000-0000-00000A270000}"/>
    <cellStyle name="20% - Accent6 6 2 2 2 2 2 2" xfId="24853" xr:uid="{00000000-0005-0000-0000-00000B270000}"/>
    <cellStyle name="20% - Accent6 6 2 2 2 2 3" xfId="19871" xr:uid="{00000000-0005-0000-0000-00000C270000}"/>
    <cellStyle name="20% - Accent6 6 2 2 2 3" xfId="2548" xr:uid="{00000000-0005-0000-0000-00000D270000}"/>
    <cellStyle name="20% - Accent6 6 2 2 2 3 2" xfId="12793" xr:uid="{00000000-0005-0000-0000-00000E270000}"/>
    <cellStyle name="20% - Accent6 6 2 2 2 3 2 2" xfId="26505" xr:uid="{00000000-0005-0000-0000-00000F270000}"/>
    <cellStyle name="20% - Accent6 6 2 2 2 3 3" xfId="19872" xr:uid="{00000000-0005-0000-0000-000010270000}"/>
    <cellStyle name="20% - Accent6 6 2 2 2 4" xfId="2549" xr:uid="{00000000-0005-0000-0000-000011270000}"/>
    <cellStyle name="20% - Accent6 6 2 2 2 4 2" xfId="15041" xr:uid="{00000000-0005-0000-0000-000012270000}"/>
    <cellStyle name="20% - Accent6 6 2 2 2 4 2 2" xfId="28590" xr:uid="{00000000-0005-0000-0000-000013270000}"/>
    <cellStyle name="20% - Accent6 6 2 2 2 4 3" xfId="19873" xr:uid="{00000000-0005-0000-0000-000014270000}"/>
    <cellStyle name="20% - Accent6 6 2 2 2 5" xfId="2550" xr:uid="{00000000-0005-0000-0000-000015270000}"/>
    <cellStyle name="20% - Accent6 6 2 2 2 5 2" xfId="16986" xr:uid="{00000000-0005-0000-0000-000016270000}"/>
    <cellStyle name="20% - Accent6 6 2 2 2 5 2 2" xfId="30393" xr:uid="{00000000-0005-0000-0000-000017270000}"/>
    <cellStyle name="20% - Accent6 6 2 2 2 5 3" xfId="19874" xr:uid="{00000000-0005-0000-0000-000018270000}"/>
    <cellStyle name="20% - Accent6 6 2 2 2 6" xfId="9185" xr:uid="{00000000-0005-0000-0000-000019270000}"/>
    <cellStyle name="20% - Accent6 6 2 2 2 6 2" xfId="23660" xr:uid="{00000000-0005-0000-0000-00001A270000}"/>
    <cellStyle name="20% - Accent6 6 2 2 2 7" xfId="19870" xr:uid="{00000000-0005-0000-0000-00001B270000}"/>
    <cellStyle name="20% - Accent6 6 2 2 3" xfId="2551" xr:uid="{00000000-0005-0000-0000-00001C270000}"/>
    <cellStyle name="20% - Accent6 6 2 2 3 2" xfId="2552" xr:uid="{00000000-0005-0000-0000-00001D270000}"/>
    <cellStyle name="20% - Accent6 6 2 2 3 2 2" xfId="15042" xr:uid="{00000000-0005-0000-0000-00001E270000}"/>
    <cellStyle name="20% - Accent6 6 2 2 3 2 2 2" xfId="28591" xr:uid="{00000000-0005-0000-0000-00001F270000}"/>
    <cellStyle name="20% - Accent6 6 2 2 3 2 3" xfId="19876" xr:uid="{00000000-0005-0000-0000-000020270000}"/>
    <cellStyle name="20% - Accent6 6 2 2 3 3" xfId="10910" xr:uid="{00000000-0005-0000-0000-000021270000}"/>
    <cellStyle name="20% - Accent6 6 2 2 3 3 2" xfId="24852" xr:uid="{00000000-0005-0000-0000-000022270000}"/>
    <cellStyle name="20% - Accent6 6 2 2 3 4" xfId="19875" xr:uid="{00000000-0005-0000-0000-000023270000}"/>
    <cellStyle name="20% - Accent6 6 2 2 4" xfId="2553" xr:uid="{00000000-0005-0000-0000-000024270000}"/>
    <cellStyle name="20% - Accent6 6 2 2 4 2" xfId="12374" xr:uid="{00000000-0005-0000-0000-000025270000}"/>
    <cellStyle name="20% - Accent6 6 2 2 4 2 2" xfId="26086" xr:uid="{00000000-0005-0000-0000-000026270000}"/>
    <cellStyle name="20% - Accent6 6 2 2 4 3" xfId="19877" xr:uid="{00000000-0005-0000-0000-000027270000}"/>
    <cellStyle name="20% - Accent6 6 2 2 5" xfId="2554" xr:uid="{00000000-0005-0000-0000-000028270000}"/>
    <cellStyle name="20% - Accent6 6 2 2 5 2" xfId="12701" xr:uid="{00000000-0005-0000-0000-000029270000}"/>
    <cellStyle name="20% - Accent6 6 2 2 5 2 2" xfId="26413" xr:uid="{00000000-0005-0000-0000-00002A270000}"/>
    <cellStyle name="20% - Accent6 6 2 2 5 3" xfId="19878" xr:uid="{00000000-0005-0000-0000-00002B270000}"/>
    <cellStyle name="20% - Accent6 6 2 2 6" xfId="2555" xr:uid="{00000000-0005-0000-0000-00002C270000}"/>
    <cellStyle name="20% - Accent6 6 2 2 6 2" xfId="13938" xr:uid="{00000000-0005-0000-0000-00002D270000}"/>
    <cellStyle name="20% - Accent6 6 2 2 6 2 2" xfId="27487" xr:uid="{00000000-0005-0000-0000-00002E270000}"/>
    <cellStyle name="20% - Accent6 6 2 2 6 3" xfId="19879" xr:uid="{00000000-0005-0000-0000-00002F270000}"/>
    <cellStyle name="20% - Accent6 6 2 2 7" xfId="2556" xr:uid="{00000000-0005-0000-0000-000030270000}"/>
    <cellStyle name="20% - Accent6 6 2 2 7 2" xfId="14519" xr:uid="{00000000-0005-0000-0000-000031270000}"/>
    <cellStyle name="20% - Accent6 6 2 2 7 2 2" xfId="28068" xr:uid="{00000000-0005-0000-0000-000032270000}"/>
    <cellStyle name="20% - Accent6 6 2 2 7 3" xfId="19880" xr:uid="{00000000-0005-0000-0000-000033270000}"/>
    <cellStyle name="20% - Accent6 6 2 2 8" xfId="2557" xr:uid="{00000000-0005-0000-0000-000034270000}"/>
    <cellStyle name="20% - Accent6 6 2 2 8 2" xfId="15040" xr:uid="{00000000-0005-0000-0000-000035270000}"/>
    <cellStyle name="20% - Accent6 6 2 2 8 2 2" xfId="28589" xr:uid="{00000000-0005-0000-0000-000036270000}"/>
    <cellStyle name="20% - Accent6 6 2 2 8 3" xfId="19881" xr:uid="{00000000-0005-0000-0000-000037270000}"/>
    <cellStyle name="20% - Accent6 6 2 2 9" xfId="2558" xr:uid="{00000000-0005-0000-0000-000038270000}"/>
    <cellStyle name="20% - Accent6 6 2 2 9 2" xfId="16405" xr:uid="{00000000-0005-0000-0000-000039270000}"/>
    <cellStyle name="20% - Accent6 6 2 2 9 2 2" xfId="29812" xr:uid="{00000000-0005-0000-0000-00003A270000}"/>
    <cellStyle name="20% - Accent6 6 2 2 9 3" xfId="19882" xr:uid="{00000000-0005-0000-0000-00003B270000}"/>
    <cellStyle name="20% - Accent6 6 2 3" xfId="2559" xr:uid="{00000000-0005-0000-0000-00003C270000}"/>
    <cellStyle name="20% - Accent6 6 2 3 2" xfId="2560" xr:uid="{00000000-0005-0000-0000-00003D270000}"/>
    <cellStyle name="20% - Accent6 6 2 3 2 2" xfId="10912" xr:uid="{00000000-0005-0000-0000-00003E270000}"/>
    <cellStyle name="20% - Accent6 6 2 3 2 2 2" xfId="24854" xr:uid="{00000000-0005-0000-0000-00003F270000}"/>
    <cellStyle name="20% - Accent6 6 2 3 2 3" xfId="19884" xr:uid="{00000000-0005-0000-0000-000040270000}"/>
    <cellStyle name="20% - Accent6 6 2 3 3" xfId="2561" xr:uid="{00000000-0005-0000-0000-000041270000}"/>
    <cellStyle name="20% - Accent6 6 2 3 3 2" xfId="12708" xr:uid="{00000000-0005-0000-0000-000042270000}"/>
    <cellStyle name="20% - Accent6 6 2 3 3 2 2" xfId="26420" xr:uid="{00000000-0005-0000-0000-000043270000}"/>
    <cellStyle name="20% - Accent6 6 2 3 3 3" xfId="19885" xr:uid="{00000000-0005-0000-0000-000044270000}"/>
    <cellStyle name="20% - Accent6 6 2 3 4" xfId="2562" xr:uid="{00000000-0005-0000-0000-000045270000}"/>
    <cellStyle name="20% - Accent6 6 2 3 4 2" xfId="15043" xr:uid="{00000000-0005-0000-0000-000046270000}"/>
    <cellStyle name="20% - Accent6 6 2 3 4 2 2" xfId="28592" xr:uid="{00000000-0005-0000-0000-000047270000}"/>
    <cellStyle name="20% - Accent6 6 2 3 4 3" xfId="19886" xr:uid="{00000000-0005-0000-0000-000048270000}"/>
    <cellStyle name="20% - Accent6 6 2 3 5" xfId="2563" xr:uid="{00000000-0005-0000-0000-000049270000}"/>
    <cellStyle name="20% - Accent6 6 2 3 5 2" xfId="16697" xr:uid="{00000000-0005-0000-0000-00004A270000}"/>
    <cellStyle name="20% - Accent6 6 2 3 5 2 2" xfId="30104" xr:uid="{00000000-0005-0000-0000-00004B270000}"/>
    <cellStyle name="20% - Accent6 6 2 3 5 3" xfId="19887" xr:uid="{00000000-0005-0000-0000-00004C270000}"/>
    <cellStyle name="20% - Accent6 6 2 3 6" xfId="9186" xr:uid="{00000000-0005-0000-0000-00004D270000}"/>
    <cellStyle name="20% - Accent6 6 2 3 6 2" xfId="23661" xr:uid="{00000000-0005-0000-0000-00004E270000}"/>
    <cellStyle name="20% - Accent6 6 2 3 7" xfId="19883" xr:uid="{00000000-0005-0000-0000-00004F270000}"/>
    <cellStyle name="20% - Accent6 6 2 4" xfId="2564" xr:uid="{00000000-0005-0000-0000-000050270000}"/>
    <cellStyle name="20% - Accent6 6 2 4 2" xfId="2565" xr:uid="{00000000-0005-0000-0000-000051270000}"/>
    <cellStyle name="20% - Accent6 6 2 4 2 2" xfId="15044" xr:uid="{00000000-0005-0000-0000-000052270000}"/>
    <cellStyle name="20% - Accent6 6 2 4 2 2 2" xfId="28593" xr:uid="{00000000-0005-0000-0000-000053270000}"/>
    <cellStyle name="20% - Accent6 6 2 4 2 3" xfId="19889" xr:uid="{00000000-0005-0000-0000-000054270000}"/>
    <cellStyle name="20% - Accent6 6 2 4 3" xfId="10909" xr:uid="{00000000-0005-0000-0000-000055270000}"/>
    <cellStyle name="20% - Accent6 6 2 4 3 2" xfId="24851" xr:uid="{00000000-0005-0000-0000-000056270000}"/>
    <cellStyle name="20% - Accent6 6 2 4 4" xfId="19888" xr:uid="{00000000-0005-0000-0000-000057270000}"/>
    <cellStyle name="20% - Accent6 6 2 5" xfId="2566" xr:uid="{00000000-0005-0000-0000-000058270000}"/>
    <cellStyle name="20% - Accent6 6 2 5 2" xfId="12074" xr:uid="{00000000-0005-0000-0000-000059270000}"/>
    <cellStyle name="20% - Accent6 6 2 5 2 2" xfId="25789" xr:uid="{00000000-0005-0000-0000-00005A270000}"/>
    <cellStyle name="20% - Accent6 6 2 5 3" xfId="19890" xr:uid="{00000000-0005-0000-0000-00005B270000}"/>
    <cellStyle name="20% - Accent6 6 2 6" xfId="2567" xr:uid="{00000000-0005-0000-0000-00005C270000}"/>
    <cellStyle name="20% - Accent6 6 2 6 2" xfId="12661" xr:uid="{00000000-0005-0000-0000-00005D270000}"/>
    <cellStyle name="20% - Accent6 6 2 6 2 2" xfId="26373" xr:uid="{00000000-0005-0000-0000-00005E270000}"/>
    <cellStyle name="20% - Accent6 6 2 6 3" xfId="19891" xr:uid="{00000000-0005-0000-0000-00005F270000}"/>
    <cellStyle name="20% - Accent6 6 2 7" xfId="2568" xr:uid="{00000000-0005-0000-0000-000060270000}"/>
    <cellStyle name="20% - Accent6 6 2 7 2" xfId="13649" xr:uid="{00000000-0005-0000-0000-000061270000}"/>
    <cellStyle name="20% - Accent6 6 2 7 2 2" xfId="27198" xr:uid="{00000000-0005-0000-0000-000062270000}"/>
    <cellStyle name="20% - Accent6 6 2 7 3" xfId="19892" xr:uid="{00000000-0005-0000-0000-000063270000}"/>
    <cellStyle name="20% - Accent6 6 2 8" xfId="2569" xr:uid="{00000000-0005-0000-0000-000064270000}"/>
    <cellStyle name="20% - Accent6 6 2 8 2" xfId="14230" xr:uid="{00000000-0005-0000-0000-000065270000}"/>
    <cellStyle name="20% - Accent6 6 2 8 2 2" xfId="27779" xr:uid="{00000000-0005-0000-0000-000066270000}"/>
    <cellStyle name="20% - Accent6 6 2 8 3" xfId="19893" xr:uid="{00000000-0005-0000-0000-000067270000}"/>
    <cellStyle name="20% - Accent6 6 2 9" xfId="2570" xr:uid="{00000000-0005-0000-0000-000068270000}"/>
    <cellStyle name="20% - Accent6 6 2 9 2" xfId="15039" xr:uid="{00000000-0005-0000-0000-000069270000}"/>
    <cellStyle name="20% - Accent6 6 2 9 2 2" xfId="28588" xr:uid="{00000000-0005-0000-0000-00006A270000}"/>
    <cellStyle name="20% - Accent6 6 2 9 3" xfId="19894" xr:uid="{00000000-0005-0000-0000-00006B270000}"/>
    <cellStyle name="20% - Accent6 6 3" xfId="2571" xr:uid="{00000000-0005-0000-0000-00006C270000}"/>
    <cellStyle name="20% - Accent6 6 3 10" xfId="9187" xr:uid="{00000000-0005-0000-0000-00006D270000}"/>
    <cellStyle name="20% - Accent6 6 3 10 2" xfId="23662" xr:uid="{00000000-0005-0000-0000-00006E270000}"/>
    <cellStyle name="20% - Accent6 6 3 11" xfId="19895" xr:uid="{00000000-0005-0000-0000-00006F270000}"/>
    <cellStyle name="20% - Accent6 6 3 2" xfId="2572" xr:uid="{00000000-0005-0000-0000-000070270000}"/>
    <cellStyle name="20% - Accent6 6 3 2 2" xfId="2573" xr:uid="{00000000-0005-0000-0000-000071270000}"/>
    <cellStyle name="20% - Accent6 6 3 2 2 2" xfId="10914" xr:uid="{00000000-0005-0000-0000-000072270000}"/>
    <cellStyle name="20% - Accent6 6 3 2 2 2 2" xfId="24856" xr:uid="{00000000-0005-0000-0000-000073270000}"/>
    <cellStyle name="20% - Accent6 6 3 2 2 3" xfId="19897" xr:uid="{00000000-0005-0000-0000-000074270000}"/>
    <cellStyle name="20% - Accent6 6 3 2 3" xfId="2574" xr:uid="{00000000-0005-0000-0000-000075270000}"/>
    <cellStyle name="20% - Accent6 6 3 2 3 2" xfId="12667" xr:uid="{00000000-0005-0000-0000-000076270000}"/>
    <cellStyle name="20% - Accent6 6 3 2 3 2 2" xfId="26379" xr:uid="{00000000-0005-0000-0000-000077270000}"/>
    <cellStyle name="20% - Accent6 6 3 2 3 3" xfId="19898" xr:uid="{00000000-0005-0000-0000-000078270000}"/>
    <cellStyle name="20% - Accent6 6 3 2 4" xfId="2575" xr:uid="{00000000-0005-0000-0000-000079270000}"/>
    <cellStyle name="20% - Accent6 6 3 2 4 2" xfId="15046" xr:uid="{00000000-0005-0000-0000-00007A270000}"/>
    <cellStyle name="20% - Accent6 6 3 2 4 2 2" xfId="28595" xr:uid="{00000000-0005-0000-0000-00007B270000}"/>
    <cellStyle name="20% - Accent6 6 3 2 4 3" xfId="19899" xr:uid="{00000000-0005-0000-0000-00007C270000}"/>
    <cellStyle name="20% - Accent6 6 3 2 5" xfId="2576" xr:uid="{00000000-0005-0000-0000-00007D270000}"/>
    <cellStyle name="20% - Accent6 6 3 2 5 2" xfId="16843" xr:uid="{00000000-0005-0000-0000-00007E270000}"/>
    <cellStyle name="20% - Accent6 6 3 2 5 2 2" xfId="30250" xr:uid="{00000000-0005-0000-0000-00007F270000}"/>
    <cellStyle name="20% - Accent6 6 3 2 5 3" xfId="19900" xr:uid="{00000000-0005-0000-0000-000080270000}"/>
    <cellStyle name="20% - Accent6 6 3 2 6" xfId="9188" xr:uid="{00000000-0005-0000-0000-000081270000}"/>
    <cellStyle name="20% - Accent6 6 3 2 6 2" xfId="23663" xr:uid="{00000000-0005-0000-0000-000082270000}"/>
    <cellStyle name="20% - Accent6 6 3 2 7" xfId="19896" xr:uid="{00000000-0005-0000-0000-000083270000}"/>
    <cellStyle name="20% - Accent6 6 3 3" xfId="2577" xr:uid="{00000000-0005-0000-0000-000084270000}"/>
    <cellStyle name="20% - Accent6 6 3 3 2" xfId="2578" xr:uid="{00000000-0005-0000-0000-000085270000}"/>
    <cellStyle name="20% - Accent6 6 3 3 2 2" xfId="15047" xr:uid="{00000000-0005-0000-0000-000086270000}"/>
    <cellStyle name="20% - Accent6 6 3 3 2 2 2" xfId="28596" xr:uid="{00000000-0005-0000-0000-000087270000}"/>
    <cellStyle name="20% - Accent6 6 3 3 2 3" xfId="19902" xr:uid="{00000000-0005-0000-0000-000088270000}"/>
    <cellStyle name="20% - Accent6 6 3 3 3" xfId="10913" xr:uid="{00000000-0005-0000-0000-000089270000}"/>
    <cellStyle name="20% - Accent6 6 3 3 3 2" xfId="24855" xr:uid="{00000000-0005-0000-0000-00008A270000}"/>
    <cellStyle name="20% - Accent6 6 3 3 4" xfId="19901" xr:uid="{00000000-0005-0000-0000-00008B270000}"/>
    <cellStyle name="20% - Accent6 6 3 4" xfId="2579" xr:uid="{00000000-0005-0000-0000-00008C270000}"/>
    <cellStyle name="20% - Accent6 6 3 4 2" xfId="12231" xr:uid="{00000000-0005-0000-0000-00008D270000}"/>
    <cellStyle name="20% - Accent6 6 3 4 2 2" xfId="25943" xr:uid="{00000000-0005-0000-0000-00008E270000}"/>
    <cellStyle name="20% - Accent6 6 3 4 3" xfId="19903" xr:uid="{00000000-0005-0000-0000-00008F270000}"/>
    <cellStyle name="20% - Accent6 6 3 5" xfId="2580" xr:uid="{00000000-0005-0000-0000-000090270000}"/>
    <cellStyle name="20% - Accent6 6 3 5 2" xfId="12631" xr:uid="{00000000-0005-0000-0000-000091270000}"/>
    <cellStyle name="20% - Accent6 6 3 5 2 2" xfId="26343" xr:uid="{00000000-0005-0000-0000-000092270000}"/>
    <cellStyle name="20% - Accent6 6 3 5 3" xfId="19904" xr:uid="{00000000-0005-0000-0000-000093270000}"/>
    <cellStyle name="20% - Accent6 6 3 6" xfId="2581" xr:uid="{00000000-0005-0000-0000-000094270000}"/>
    <cellStyle name="20% - Accent6 6 3 6 2" xfId="13795" xr:uid="{00000000-0005-0000-0000-000095270000}"/>
    <cellStyle name="20% - Accent6 6 3 6 2 2" xfId="27344" xr:uid="{00000000-0005-0000-0000-000096270000}"/>
    <cellStyle name="20% - Accent6 6 3 6 3" xfId="19905" xr:uid="{00000000-0005-0000-0000-000097270000}"/>
    <cellStyle name="20% - Accent6 6 3 7" xfId="2582" xr:uid="{00000000-0005-0000-0000-000098270000}"/>
    <cellStyle name="20% - Accent6 6 3 7 2" xfId="14376" xr:uid="{00000000-0005-0000-0000-000099270000}"/>
    <cellStyle name="20% - Accent6 6 3 7 2 2" xfId="27925" xr:uid="{00000000-0005-0000-0000-00009A270000}"/>
    <cellStyle name="20% - Accent6 6 3 7 3" xfId="19906" xr:uid="{00000000-0005-0000-0000-00009B270000}"/>
    <cellStyle name="20% - Accent6 6 3 8" xfId="2583" xr:uid="{00000000-0005-0000-0000-00009C270000}"/>
    <cellStyle name="20% - Accent6 6 3 8 2" xfId="15045" xr:uid="{00000000-0005-0000-0000-00009D270000}"/>
    <cellStyle name="20% - Accent6 6 3 8 2 2" xfId="28594" xr:uid="{00000000-0005-0000-0000-00009E270000}"/>
    <cellStyle name="20% - Accent6 6 3 8 3" xfId="19907" xr:uid="{00000000-0005-0000-0000-00009F270000}"/>
    <cellStyle name="20% - Accent6 6 3 9" xfId="2584" xr:uid="{00000000-0005-0000-0000-0000A0270000}"/>
    <cellStyle name="20% - Accent6 6 3 9 2" xfId="16262" xr:uid="{00000000-0005-0000-0000-0000A1270000}"/>
    <cellStyle name="20% - Accent6 6 3 9 2 2" xfId="29669" xr:uid="{00000000-0005-0000-0000-0000A2270000}"/>
    <cellStyle name="20% - Accent6 6 3 9 3" xfId="19908" xr:uid="{00000000-0005-0000-0000-0000A3270000}"/>
    <cellStyle name="20% - Accent6 6 4" xfId="2585" xr:uid="{00000000-0005-0000-0000-0000A4270000}"/>
    <cellStyle name="20% - Accent6 6 4 2" xfId="2586" xr:uid="{00000000-0005-0000-0000-0000A5270000}"/>
    <cellStyle name="20% - Accent6 6 4 2 2" xfId="10915" xr:uid="{00000000-0005-0000-0000-0000A6270000}"/>
    <cellStyle name="20% - Accent6 6 4 2 2 2" xfId="24857" xr:uid="{00000000-0005-0000-0000-0000A7270000}"/>
    <cellStyle name="20% - Accent6 6 4 2 3" xfId="19910" xr:uid="{00000000-0005-0000-0000-0000A8270000}"/>
    <cellStyle name="20% - Accent6 6 4 3" xfId="2587" xr:uid="{00000000-0005-0000-0000-0000A9270000}"/>
    <cellStyle name="20% - Accent6 6 4 3 2" xfId="12707" xr:uid="{00000000-0005-0000-0000-0000AA270000}"/>
    <cellStyle name="20% - Accent6 6 4 3 2 2" xfId="26419" xr:uid="{00000000-0005-0000-0000-0000AB270000}"/>
    <cellStyle name="20% - Accent6 6 4 3 3" xfId="19911" xr:uid="{00000000-0005-0000-0000-0000AC270000}"/>
    <cellStyle name="20% - Accent6 6 4 4" xfId="2588" xr:uid="{00000000-0005-0000-0000-0000AD270000}"/>
    <cellStyle name="20% - Accent6 6 4 4 2" xfId="15048" xr:uid="{00000000-0005-0000-0000-0000AE270000}"/>
    <cellStyle name="20% - Accent6 6 4 4 2 2" xfId="28597" xr:uid="{00000000-0005-0000-0000-0000AF270000}"/>
    <cellStyle name="20% - Accent6 6 4 4 3" xfId="19912" xr:uid="{00000000-0005-0000-0000-0000B0270000}"/>
    <cellStyle name="20% - Accent6 6 4 5" xfId="2589" xr:uid="{00000000-0005-0000-0000-0000B1270000}"/>
    <cellStyle name="20% - Accent6 6 4 5 2" xfId="16554" xr:uid="{00000000-0005-0000-0000-0000B2270000}"/>
    <cellStyle name="20% - Accent6 6 4 5 2 2" xfId="29961" xr:uid="{00000000-0005-0000-0000-0000B3270000}"/>
    <cellStyle name="20% - Accent6 6 4 5 3" xfId="19913" xr:uid="{00000000-0005-0000-0000-0000B4270000}"/>
    <cellStyle name="20% - Accent6 6 4 6" xfId="9189" xr:uid="{00000000-0005-0000-0000-0000B5270000}"/>
    <cellStyle name="20% - Accent6 6 4 6 2" xfId="23664" xr:uid="{00000000-0005-0000-0000-0000B6270000}"/>
    <cellStyle name="20% - Accent6 6 4 7" xfId="19909" xr:uid="{00000000-0005-0000-0000-0000B7270000}"/>
    <cellStyle name="20% - Accent6 6 5" xfId="2590" xr:uid="{00000000-0005-0000-0000-0000B8270000}"/>
    <cellStyle name="20% - Accent6 6 5 2" xfId="2591" xr:uid="{00000000-0005-0000-0000-0000B9270000}"/>
    <cellStyle name="20% - Accent6 6 5 2 2" xfId="15049" xr:uid="{00000000-0005-0000-0000-0000BA270000}"/>
    <cellStyle name="20% - Accent6 6 5 2 2 2" xfId="28598" xr:uid="{00000000-0005-0000-0000-0000BB270000}"/>
    <cellStyle name="20% - Accent6 6 5 2 3" xfId="19915" xr:uid="{00000000-0005-0000-0000-0000BC270000}"/>
    <cellStyle name="20% - Accent6 6 5 3" xfId="10908" xr:uid="{00000000-0005-0000-0000-0000BD270000}"/>
    <cellStyle name="20% - Accent6 6 5 3 2" xfId="24850" xr:uid="{00000000-0005-0000-0000-0000BE270000}"/>
    <cellStyle name="20% - Accent6 6 5 4" xfId="19914" xr:uid="{00000000-0005-0000-0000-0000BF270000}"/>
    <cellStyle name="20% - Accent6 6 6" xfId="2592" xr:uid="{00000000-0005-0000-0000-0000C0270000}"/>
    <cellStyle name="20% - Accent6 6 6 2" xfId="11929" xr:uid="{00000000-0005-0000-0000-0000C1270000}"/>
    <cellStyle name="20% - Accent6 6 6 2 2" xfId="25644" xr:uid="{00000000-0005-0000-0000-0000C2270000}"/>
    <cellStyle name="20% - Accent6 6 6 3" xfId="19916" xr:uid="{00000000-0005-0000-0000-0000C3270000}"/>
    <cellStyle name="20% - Accent6 6 7" xfId="2593" xr:uid="{00000000-0005-0000-0000-0000C4270000}"/>
    <cellStyle name="20% - Accent6 6 7 2" xfId="12568" xr:uid="{00000000-0005-0000-0000-0000C5270000}"/>
    <cellStyle name="20% - Accent6 6 7 2 2" xfId="26280" xr:uid="{00000000-0005-0000-0000-0000C6270000}"/>
    <cellStyle name="20% - Accent6 6 7 3" xfId="19917" xr:uid="{00000000-0005-0000-0000-0000C7270000}"/>
    <cellStyle name="20% - Accent6 6 8" xfId="2594" xr:uid="{00000000-0005-0000-0000-0000C8270000}"/>
    <cellStyle name="20% - Accent6 6 8 2" xfId="13506" xr:uid="{00000000-0005-0000-0000-0000C9270000}"/>
    <cellStyle name="20% - Accent6 6 8 2 2" xfId="27055" xr:uid="{00000000-0005-0000-0000-0000CA270000}"/>
    <cellStyle name="20% - Accent6 6 8 3" xfId="19918" xr:uid="{00000000-0005-0000-0000-0000CB270000}"/>
    <cellStyle name="20% - Accent6 6 9" xfId="2595" xr:uid="{00000000-0005-0000-0000-0000CC270000}"/>
    <cellStyle name="20% - Accent6 6 9 2" xfId="14087" xr:uid="{00000000-0005-0000-0000-0000CD270000}"/>
    <cellStyle name="20% - Accent6 6 9 2 2" xfId="27636" xr:uid="{00000000-0005-0000-0000-0000CE270000}"/>
    <cellStyle name="20% - Accent6 6 9 3" xfId="19919" xr:uid="{00000000-0005-0000-0000-0000CF270000}"/>
    <cellStyle name="20% - Accent6 7" xfId="2596" xr:uid="{00000000-0005-0000-0000-0000D0270000}"/>
    <cellStyle name="20% - Accent6 7 10" xfId="2597" xr:uid="{00000000-0005-0000-0000-0000D1270000}"/>
    <cellStyle name="20% - Accent6 7 10 2" xfId="15998" xr:uid="{00000000-0005-0000-0000-0000D2270000}"/>
    <cellStyle name="20% - Accent6 7 10 2 2" xfId="29405" xr:uid="{00000000-0005-0000-0000-0000D3270000}"/>
    <cellStyle name="20% - Accent6 7 10 3" xfId="19921" xr:uid="{00000000-0005-0000-0000-0000D4270000}"/>
    <cellStyle name="20% - Accent6 7 11" xfId="9190" xr:uid="{00000000-0005-0000-0000-0000D5270000}"/>
    <cellStyle name="20% - Accent6 7 11 2" xfId="23665" xr:uid="{00000000-0005-0000-0000-0000D6270000}"/>
    <cellStyle name="20% - Accent6 7 12" xfId="19920" xr:uid="{00000000-0005-0000-0000-0000D7270000}"/>
    <cellStyle name="20% - Accent6 7 2" xfId="2598" xr:uid="{00000000-0005-0000-0000-0000D8270000}"/>
    <cellStyle name="20% - Accent6 7 2 10" xfId="9191" xr:uid="{00000000-0005-0000-0000-0000D9270000}"/>
    <cellStyle name="20% - Accent6 7 2 10 2" xfId="23666" xr:uid="{00000000-0005-0000-0000-0000DA270000}"/>
    <cellStyle name="20% - Accent6 7 2 11" xfId="19922" xr:uid="{00000000-0005-0000-0000-0000DB270000}"/>
    <cellStyle name="20% - Accent6 7 2 2" xfId="2599" xr:uid="{00000000-0005-0000-0000-0000DC270000}"/>
    <cellStyle name="20% - Accent6 7 2 2 2" xfId="2600" xr:uid="{00000000-0005-0000-0000-0000DD270000}"/>
    <cellStyle name="20% - Accent6 7 2 2 2 2" xfId="10918" xr:uid="{00000000-0005-0000-0000-0000DE270000}"/>
    <cellStyle name="20% - Accent6 7 2 2 2 2 2" xfId="24860" xr:uid="{00000000-0005-0000-0000-0000DF270000}"/>
    <cellStyle name="20% - Accent6 7 2 2 2 3" xfId="19924" xr:uid="{00000000-0005-0000-0000-0000E0270000}"/>
    <cellStyle name="20% - Accent6 7 2 2 3" xfId="2601" xr:uid="{00000000-0005-0000-0000-0000E1270000}"/>
    <cellStyle name="20% - Accent6 7 2 2 3 2" xfId="11854" xr:uid="{00000000-0005-0000-0000-0000E2270000}"/>
    <cellStyle name="20% - Accent6 7 2 2 3 2 2" xfId="25569" xr:uid="{00000000-0005-0000-0000-0000E3270000}"/>
    <cellStyle name="20% - Accent6 7 2 2 3 3" xfId="19925" xr:uid="{00000000-0005-0000-0000-0000E4270000}"/>
    <cellStyle name="20% - Accent6 7 2 2 4" xfId="2602" xr:uid="{00000000-0005-0000-0000-0000E5270000}"/>
    <cellStyle name="20% - Accent6 7 2 2 4 2" xfId="15052" xr:uid="{00000000-0005-0000-0000-0000E6270000}"/>
    <cellStyle name="20% - Accent6 7 2 2 4 2 2" xfId="28601" xr:uid="{00000000-0005-0000-0000-0000E7270000}"/>
    <cellStyle name="20% - Accent6 7 2 2 4 3" xfId="19926" xr:uid="{00000000-0005-0000-0000-0000E8270000}"/>
    <cellStyle name="20% - Accent6 7 2 2 5" xfId="2603" xr:uid="{00000000-0005-0000-0000-0000E9270000}"/>
    <cellStyle name="20% - Accent6 7 2 2 5 2" xfId="16868" xr:uid="{00000000-0005-0000-0000-0000EA270000}"/>
    <cellStyle name="20% - Accent6 7 2 2 5 2 2" xfId="30275" xr:uid="{00000000-0005-0000-0000-0000EB270000}"/>
    <cellStyle name="20% - Accent6 7 2 2 5 3" xfId="19927" xr:uid="{00000000-0005-0000-0000-0000EC270000}"/>
    <cellStyle name="20% - Accent6 7 2 2 6" xfId="9192" xr:uid="{00000000-0005-0000-0000-0000ED270000}"/>
    <cellStyle name="20% - Accent6 7 2 2 6 2" xfId="23667" xr:uid="{00000000-0005-0000-0000-0000EE270000}"/>
    <cellStyle name="20% - Accent6 7 2 2 7" xfId="19923" xr:uid="{00000000-0005-0000-0000-0000EF270000}"/>
    <cellStyle name="20% - Accent6 7 2 3" xfId="2604" xr:uid="{00000000-0005-0000-0000-0000F0270000}"/>
    <cellStyle name="20% - Accent6 7 2 3 2" xfId="2605" xr:uid="{00000000-0005-0000-0000-0000F1270000}"/>
    <cellStyle name="20% - Accent6 7 2 3 2 2" xfId="15053" xr:uid="{00000000-0005-0000-0000-0000F2270000}"/>
    <cellStyle name="20% - Accent6 7 2 3 2 2 2" xfId="28602" xr:uid="{00000000-0005-0000-0000-0000F3270000}"/>
    <cellStyle name="20% - Accent6 7 2 3 2 3" xfId="19929" xr:uid="{00000000-0005-0000-0000-0000F4270000}"/>
    <cellStyle name="20% - Accent6 7 2 3 3" xfId="10917" xr:uid="{00000000-0005-0000-0000-0000F5270000}"/>
    <cellStyle name="20% - Accent6 7 2 3 3 2" xfId="24859" xr:uid="{00000000-0005-0000-0000-0000F6270000}"/>
    <cellStyle name="20% - Accent6 7 2 3 4" xfId="19928" xr:uid="{00000000-0005-0000-0000-0000F7270000}"/>
    <cellStyle name="20% - Accent6 7 2 4" xfId="2606" xr:uid="{00000000-0005-0000-0000-0000F8270000}"/>
    <cellStyle name="20% - Accent6 7 2 4 2" xfId="12256" xr:uid="{00000000-0005-0000-0000-0000F9270000}"/>
    <cellStyle name="20% - Accent6 7 2 4 2 2" xfId="25968" xr:uid="{00000000-0005-0000-0000-0000FA270000}"/>
    <cellStyle name="20% - Accent6 7 2 4 3" xfId="19930" xr:uid="{00000000-0005-0000-0000-0000FB270000}"/>
    <cellStyle name="20% - Accent6 7 2 5" xfId="2607" xr:uid="{00000000-0005-0000-0000-0000FC270000}"/>
    <cellStyle name="20% - Accent6 7 2 5 2" xfId="12759" xr:uid="{00000000-0005-0000-0000-0000FD270000}"/>
    <cellStyle name="20% - Accent6 7 2 5 2 2" xfId="26471" xr:uid="{00000000-0005-0000-0000-0000FE270000}"/>
    <cellStyle name="20% - Accent6 7 2 5 3" xfId="19931" xr:uid="{00000000-0005-0000-0000-0000FF270000}"/>
    <cellStyle name="20% - Accent6 7 2 6" xfId="2608" xr:uid="{00000000-0005-0000-0000-000000280000}"/>
    <cellStyle name="20% - Accent6 7 2 6 2" xfId="13820" xr:uid="{00000000-0005-0000-0000-000001280000}"/>
    <cellStyle name="20% - Accent6 7 2 6 2 2" xfId="27369" xr:uid="{00000000-0005-0000-0000-000002280000}"/>
    <cellStyle name="20% - Accent6 7 2 6 3" xfId="19932" xr:uid="{00000000-0005-0000-0000-000003280000}"/>
    <cellStyle name="20% - Accent6 7 2 7" xfId="2609" xr:uid="{00000000-0005-0000-0000-000004280000}"/>
    <cellStyle name="20% - Accent6 7 2 7 2" xfId="14401" xr:uid="{00000000-0005-0000-0000-000005280000}"/>
    <cellStyle name="20% - Accent6 7 2 7 2 2" xfId="27950" xr:uid="{00000000-0005-0000-0000-000006280000}"/>
    <cellStyle name="20% - Accent6 7 2 7 3" xfId="19933" xr:uid="{00000000-0005-0000-0000-000007280000}"/>
    <cellStyle name="20% - Accent6 7 2 8" xfId="2610" xr:uid="{00000000-0005-0000-0000-000008280000}"/>
    <cellStyle name="20% - Accent6 7 2 8 2" xfId="15051" xr:uid="{00000000-0005-0000-0000-000009280000}"/>
    <cellStyle name="20% - Accent6 7 2 8 2 2" xfId="28600" xr:uid="{00000000-0005-0000-0000-00000A280000}"/>
    <cellStyle name="20% - Accent6 7 2 8 3" xfId="19934" xr:uid="{00000000-0005-0000-0000-00000B280000}"/>
    <cellStyle name="20% - Accent6 7 2 9" xfId="2611" xr:uid="{00000000-0005-0000-0000-00000C280000}"/>
    <cellStyle name="20% - Accent6 7 2 9 2" xfId="16287" xr:uid="{00000000-0005-0000-0000-00000D280000}"/>
    <cellStyle name="20% - Accent6 7 2 9 2 2" xfId="29694" xr:uid="{00000000-0005-0000-0000-00000E280000}"/>
    <cellStyle name="20% - Accent6 7 2 9 3" xfId="19935" xr:uid="{00000000-0005-0000-0000-00000F280000}"/>
    <cellStyle name="20% - Accent6 7 3" xfId="2612" xr:uid="{00000000-0005-0000-0000-000010280000}"/>
    <cellStyle name="20% - Accent6 7 3 2" xfId="2613" xr:uid="{00000000-0005-0000-0000-000011280000}"/>
    <cellStyle name="20% - Accent6 7 3 2 2" xfId="10919" xr:uid="{00000000-0005-0000-0000-000012280000}"/>
    <cellStyle name="20% - Accent6 7 3 2 2 2" xfId="24861" xr:uid="{00000000-0005-0000-0000-000013280000}"/>
    <cellStyle name="20% - Accent6 7 3 2 3" xfId="19937" xr:uid="{00000000-0005-0000-0000-000014280000}"/>
    <cellStyle name="20% - Accent6 7 3 3" xfId="2614" xr:uid="{00000000-0005-0000-0000-000015280000}"/>
    <cellStyle name="20% - Accent6 7 3 3 2" xfId="12719" xr:uid="{00000000-0005-0000-0000-000016280000}"/>
    <cellStyle name="20% - Accent6 7 3 3 2 2" xfId="26431" xr:uid="{00000000-0005-0000-0000-000017280000}"/>
    <cellStyle name="20% - Accent6 7 3 3 3" xfId="19938" xr:uid="{00000000-0005-0000-0000-000018280000}"/>
    <cellStyle name="20% - Accent6 7 3 4" xfId="2615" xr:uid="{00000000-0005-0000-0000-000019280000}"/>
    <cellStyle name="20% - Accent6 7 3 4 2" xfId="15054" xr:uid="{00000000-0005-0000-0000-00001A280000}"/>
    <cellStyle name="20% - Accent6 7 3 4 2 2" xfId="28603" xr:uid="{00000000-0005-0000-0000-00001B280000}"/>
    <cellStyle name="20% - Accent6 7 3 4 3" xfId="19939" xr:uid="{00000000-0005-0000-0000-00001C280000}"/>
    <cellStyle name="20% - Accent6 7 3 5" xfId="2616" xr:uid="{00000000-0005-0000-0000-00001D280000}"/>
    <cellStyle name="20% - Accent6 7 3 5 2" xfId="16579" xr:uid="{00000000-0005-0000-0000-00001E280000}"/>
    <cellStyle name="20% - Accent6 7 3 5 2 2" xfId="29986" xr:uid="{00000000-0005-0000-0000-00001F280000}"/>
    <cellStyle name="20% - Accent6 7 3 5 3" xfId="19940" xr:uid="{00000000-0005-0000-0000-000020280000}"/>
    <cellStyle name="20% - Accent6 7 3 6" xfId="9193" xr:uid="{00000000-0005-0000-0000-000021280000}"/>
    <cellStyle name="20% - Accent6 7 3 6 2" xfId="23668" xr:uid="{00000000-0005-0000-0000-000022280000}"/>
    <cellStyle name="20% - Accent6 7 3 7" xfId="19936" xr:uid="{00000000-0005-0000-0000-000023280000}"/>
    <cellStyle name="20% - Accent6 7 4" xfId="2617" xr:uid="{00000000-0005-0000-0000-000024280000}"/>
    <cellStyle name="20% - Accent6 7 4 2" xfId="2618" xr:uid="{00000000-0005-0000-0000-000025280000}"/>
    <cellStyle name="20% - Accent6 7 4 2 2" xfId="15055" xr:uid="{00000000-0005-0000-0000-000026280000}"/>
    <cellStyle name="20% - Accent6 7 4 2 2 2" xfId="28604" xr:uid="{00000000-0005-0000-0000-000027280000}"/>
    <cellStyle name="20% - Accent6 7 4 2 3" xfId="19942" xr:uid="{00000000-0005-0000-0000-000028280000}"/>
    <cellStyle name="20% - Accent6 7 4 3" xfId="10916" xr:uid="{00000000-0005-0000-0000-000029280000}"/>
    <cellStyle name="20% - Accent6 7 4 3 2" xfId="24858" xr:uid="{00000000-0005-0000-0000-00002A280000}"/>
    <cellStyle name="20% - Accent6 7 4 4" xfId="19941" xr:uid="{00000000-0005-0000-0000-00002B280000}"/>
    <cellStyle name="20% - Accent6 7 5" xfId="2619" xr:uid="{00000000-0005-0000-0000-00002C280000}"/>
    <cellStyle name="20% - Accent6 7 5 2" xfId="11954" xr:uid="{00000000-0005-0000-0000-00002D280000}"/>
    <cellStyle name="20% - Accent6 7 5 2 2" xfId="25669" xr:uid="{00000000-0005-0000-0000-00002E280000}"/>
    <cellStyle name="20% - Accent6 7 5 3" xfId="19943" xr:uid="{00000000-0005-0000-0000-00002F280000}"/>
    <cellStyle name="20% - Accent6 7 6" xfId="2620" xr:uid="{00000000-0005-0000-0000-000030280000}"/>
    <cellStyle name="20% - Accent6 7 6 2" xfId="12554" xr:uid="{00000000-0005-0000-0000-000031280000}"/>
    <cellStyle name="20% - Accent6 7 6 2 2" xfId="26266" xr:uid="{00000000-0005-0000-0000-000032280000}"/>
    <cellStyle name="20% - Accent6 7 6 3" xfId="19944" xr:uid="{00000000-0005-0000-0000-000033280000}"/>
    <cellStyle name="20% - Accent6 7 7" xfId="2621" xr:uid="{00000000-0005-0000-0000-000034280000}"/>
    <cellStyle name="20% - Accent6 7 7 2" xfId="13531" xr:uid="{00000000-0005-0000-0000-000035280000}"/>
    <cellStyle name="20% - Accent6 7 7 2 2" xfId="27080" xr:uid="{00000000-0005-0000-0000-000036280000}"/>
    <cellStyle name="20% - Accent6 7 7 3" xfId="19945" xr:uid="{00000000-0005-0000-0000-000037280000}"/>
    <cellStyle name="20% - Accent6 7 8" xfId="2622" xr:uid="{00000000-0005-0000-0000-000038280000}"/>
    <cellStyle name="20% - Accent6 7 8 2" xfId="14112" xr:uid="{00000000-0005-0000-0000-000039280000}"/>
    <cellStyle name="20% - Accent6 7 8 2 2" xfId="27661" xr:uid="{00000000-0005-0000-0000-00003A280000}"/>
    <cellStyle name="20% - Accent6 7 8 3" xfId="19946" xr:uid="{00000000-0005-0000-0000-00003B280000}"/>
    <cellStyle name="20% - Accent6 7 9" xfId="2623" xr:uid="{00000000-0005-0000-0000-00003C280000}"/>
    <cellStyle name="20% - Accent6 7 9 2" xfId="15050" xr:uid="{00000000-0005-0000-0000-00003D280000}"/>
    <cellStyle name="20% - Accent6 7 9 2 2" xfId="28599" xr:uid="{00000000-0005-0000-0000-00003E280000}"/>
    <cellStyle name="20% - Accent6 7 9 3" xfId="19947" xr:uid="{00000000-0005-0000-0000-00003F280000}"/>
    <cellStyle name="20% - Accent6 8" xfId="2624" xr:uid="{00000000-0005-0000-0000-000040280000}"/>
    <cellStyle name="20% - Accent6 8 10" xfId="9194" xr:uid="{00000000-0005-0000-0000-000041280000}"/>
    <cellStyle name="20% - Accent6 8 10 2" xfId="23669" xr:uid="{00000000-0005-0000-0000-000042280000}"/>
    <cellStyle name="20% - Accent6 8 11" xfId="19948" xr:uid="{00000000-0005-0000-0000-000043280000}"/>
    <cellStyle name="20% - Accent6 8 2" xfId="2625" xr:uid="{00000000-0005-0000-0000-000044280000}"/>
    <cellStyle name="20% - Accent6 8 2 2" xfId="2626" xr:uid="{00000000-0005-0000-0000-000045280000}"/>
    <cellStyle name="20% - Accent6 8 2 2 2" xfId="10921" xr:uid="{00000000-0005-0000-0000-000046280000}"/>
    <cellStyle name="20% - Accent6 8 2 2 2 2" xfId="24863" xr:uid="{00000000-0005-0000-0000-000047280000}"/>
    <cellStyle name="20% - Accent6 8 2 2 3" xfId="19950" xr:uid="{00000000-0005-0000-0000-000048280000}"/>
    <cellStyle name="20% - Accent6 8 2 3" xfId="2627" xr:uid="{00000000-0005-0000-0000-000049280000}"/>
    <cellStyle name="20% - Accent6 8 2 3 2" xfId="11874" xr:uid="{00000000-0005-0000-0000-00004A280000}"/>
    <cellStyle name="20% - Accent6 8 2 3 2 2" xfId="25589" xr:uid="{00000000-0005-0000-0000-00004B280000}"/>
    <cellStyle name="20% - Accent6 8 2 3 3" xfId="19951" xr:uid="{00000000-0005-0000-0000-00004C280000}"/>
    <cellStyle name="20% - Accent6 8 2 4" xfId="2628" xr:uid="{00000000-0005-0000-0000-00004D280000}"/>
    <cellStyle name="20% - Accent6 8 2 4 2" xfId="15057" xr:uid="{00000000-0005-0000-0000-00004E280000}"/>
    <cellStyle name="20% - Accent6 8 2 4 2 2" xfId="28606" xr:uid="{00000000-0005-0000-0000-00004F280000}"/>
    <cellStyle name="20% - Accent6 8 2 4 3" xfId="19952" xr:uid="{00000000-0005-0000-0000-000050280000}"/>
    <cellStyle name="20% - Accent6 8 2 5" xfId="2629" xr:uid="{00000000-0005-0000-0000-000051280000}"/>
    <cellStyle name="20% - Accent6 8 2 5 2" xfId="16717" xr:uid="{00000000-0005-0000-0000-000052280000}"/>
    <cellStyle name="20% - Accent6 8 2 5 2 2" xfId="30124" xr:uid="{00000000-0005-0000-0000-000053280000}"/>
    <cellStyle name="20% - Accent6 8 2 5 3" xfId="19953" xr:uid="{00000000-0005-0000-0000-000054280000}"/>
    <cellStyle name="20% - Accent6 8 2 6" xfId="9195" xr:uid="{00000000-0005-0000-0000-000055280000}"/>
    <cellStyle name="20% - Accent6 8 2 6 2" xfId="23670" xr:uid="{00000000-0005-0000-0000-000056280000}"/>
    <cellStyle name="20% - Accent6 8 2 7" xfId="19949" xr:uid="{00000000-0005-0000-0000-000057280000}"/>
    <cellStyle name="20% - Accent6 8 3" xfId="2630" xr:uid="{00000000-0005-0000-0000-000058280000}"/>
    <cellStyle name="20% - Accent6 8 3 2" xfId="2631" xr:uid="{00000000-0005-0000-0000-000059280000}"/>
    <cellStyle name="20% - Accent6 8 3 2 2" xfId="15058" xr:uid="{00000000-0005-0000-0000-00005A280000}"/>
    <cellStyle name="20% - Accent6 8 3 2 2 2" xfId="28607" xr:uid="{00000000-0005-0000-0000-00005B280000}"/>
    <cellStyle name="20% - Accent6 8 3 2 3" xfId="19955" xr:uid="{00000000-0005-0000-0000-00005C280000}"/>
    <cellStyle name="20% - Accent6 8 3 3" xfId="10920" xr:uid="{00000000-0005-0000-0000-00005D280000}"/>
    <cellStyle name="20% - Accent6 8 3 3 2" xfId="24862" xr:uid="{00000000-0005-0000-0000-00005E280000}"/>
    <cellStyle name="20% - Accent6 8 3 4" xfId="19954" xr:uid="{00000000-0005-0000-0000-00005F280000}"/>
    <cellStyle name="20% - Accent6 8 4" xfId="2632" xr:uid="{00000000-0005-0000-0000-000060280000}"/>
    <cellStyle name="20% - Accent6 8 4 2" xfId="12095" xr:uid="{00000000-0005-0000-0000-000061280000}"/>
    <cellStyle name="20% - Accent6 8 4 2 2" xfId="25809" xr:uid="{00000000-0005-0000-0000-000062280000}"/>
    <cellStyle name="20% - Accent6 8 4 3" xfId="19956" xr:uid="{00000000-0005-0000-0000-000063280000}"/>
    <cellStyle name="20% - Accent6 8 5" xfId="2633" xr:uid="{00000000-0005-0000-0000-000064280000}"/>
    <cellStyle name="20% - Accent6 8 5 2" xfId="12705" xr:uid="{00000000-0005-0000-0000-000065280000}"/>
    <cellStyle name="20% - Accent6 8 5 2 2" xfId="26417" xr:uid="{00000000-0005-0000-0000-000066280000}"/>
    <cellStyle name="20% - Accent6 8 5 3" xfId="19957" xr:uid="{00000000-0005-0000-0000-000067280000}"/>
    <cellStyle name="20% - Accent6 8 6" xfId="2634" xr:uid="{00000000-0005-0000-0000-000068280000}"/>
    <cellStyle name="20% - Accent6 8 6 2" xfId="13669" xr:uid="{00000000-0005-0000-0000-000069280000}"/>
    <cellStyle name="20% - Accent6 8 6 2 2" xfId="27218" xr:uid="{00000000-0005-0000-0000-00006A280000}"/>
    <cellStyle name="20% - Accent6 8 6 3" xfId="19958" xr:uid="{00000000-0005-0000-0000-00006B280000}"/>
    <cellStyle name="20% - Accent6 8 7" xfId="2635" xr:uid="{00000000-0005-0000-0000-00006C280000}"/>
    <cellStyle name="20% - Accent6 8 7 2" xfId="14250" xr:uid="{00000000-0005-0000-0000-00006D280000}"/>
    <cellStyle name="20% - Accent6 8 7 2 2" xfId="27799" xr:uid="{00000000-0005-0000-0000-00006E280000}"/>
    <cellStyle name="20% - Accent6 8 7 3" xfId="19959" xr:uid="{00000000-0005-0000-0000-00006F280000}"/>
    <cellStyle name="20% - Accent6 8 8" xfId="2636" xr:uid="{00000000-0005-0000-0000-000070280000}"/>
    <cellStyle name="20% - Accent6 8 8 2" xfId="15056" xr:uid="{00000000-0005-0000-0000-000071280000}"/>
    <cellStyle name="20% - Accent6 8 8 2 2" xfId="28605" xr:uid="{00000000-0005-0000-0000-000072280000}"/>
    <cellStyle name="20% - Accent6 8 8 3" xfId="19960" xr:uid="{00000000-0005-0000-0000-000073280000}"/>
    <cellStyle name="20% - Accent6 8 9" xfId="2637" xr:uid="{00000000-0005-0000-0000-000074280000}"/>
    <cellStyle name="20% - Accent6 8 9 2" xfId="16136" xr:uid="{00000000-0005-0000-0000-000075280000}"/>
    <cellStyle name="20% - Accent6 8 9 2 2" xfId="29543" xr:uid="{00000000-0005-0000-0000-000076280000}"/>
    <cellStyle name="20% - Accent6 8 9 3" xfId="19961" xr:uid="{00000000-0005-0000-0000-000077280000}"/>
    <cellStyle name="20% - Accent6 9" xfId="2638" xr:uid="{00000000-0005-0000-0000-000078280000}"/>
    <cellStyle name="20% - Accent6 9 2" xfId="2639" xr:uid="{00000000-0005-0000-0000-000079280000}"/>
    <cellStyle name="20% - Accent6 9 2 2" xfId="10922" xr:uid="{00000000-0005-0000-0000-00007A280000}"/>
    <cellStyle name="20% - Accent6 9 2 2 2" xfId="24864" xr:uid="{00000000-0005-0000-0000-00007B280000}"/>
    <cellStyle name="20% - Accent6 9 2 3" xfId="19963" xr:uid="{00000000-0005-0000-0000-00007C280000}"/>
    <cellStyle name="20% - Accent6 9 3" xfId="2640" xr:uid="{00000000-0005-0000-0000-00007D280000}"/>
    <cellStyle name="20% - Accent6 9 3 2" xfId="12578" xr:uid="{00000000-0005-0000-0000-00007E280000}"/>
    <cellStyle name="20% - Accent6 9 3 2 2" xfId="26290" xr:uid="{00000000-0005-0000-0000-00007F280000}"/>
    <cellStyle name="20% - Accent6 9 3 3" xfId="19964" xr:uid="{00000000-0005-0000-0000-000080280000}"/>
    <cellStyle name="20% - Accent6 9 4" xfId="2641" xr:uid="{00000000-0005-0000-0000-000081280000}"/>
    <cellStyle name="20% - Accent6 9 4 2" xfId="15059" xr:uid="{00000000-0005-0000-0000-000082280000}"/>
    <cellStyle name="20% - Accent6 9 4 2 2" xfId="28608" xr:uid="{00000000-0005-0000-0000-000083280000}"/>
    <cellStyle name="20% - Accent6 9 4 3" xfId="19965" xr:uid="{00000000-0005-0000-0000-000084280000}"/>
    <cellStyle name="20% - Accent6 9 5" xfId="2642" xr:uid="{00000000-0005-0000-0000-000085280000}"/>
    <cellStyle name="20% - Accent6 9 5 2" xfId="17101" xr:uid="{00000000-0005-0000-0000-000086280000}"/>
    <cellStyle name="20% - Accent6 9 5 2 2" xfId="30460" xr:uid="{00000000-0005-0000-0000-000087280000}"/>
    <cellStyle name="20% - Accent6 9 5 3" xfId="19966" xr:uid="{00000000-0005-0000-0000-000088280000}"/>
    <cellStyle name="20% - Accent6 9 6" xfId="9196" xr:uid="{00000000-0005-0000-0000-000089280000}"/>
    <cellStyle name="20% - Accent6 9 6 2" xfId="23671" xr:uid="{00000000-0005-0000-0000-00008A280000}"/>
    <cellStyle name="20% - Accent6 9 7" xfId="19962" xr:uid="{00000000-0005-0000-0000-00008B280000}"/>
    <cellStyle name="40% - Accent1" xfId="29" builtinId="31" customBuiltin="1"/>
    <cellStyle name="40% - Accent1 10" xfId="2643" xr:uid="{00000000-0005-0000-0000-00008D280000}"/>
    <cellStyle name="40% - Accent1 10 2" xfId="2644" xr:uid="{00000000-0005-0000-0000-00008E280000}"/>
    <cellStyle name="40% - Accent1 10 2 2" xfId="2645" xr:uid="{00000000-0005-0000-0000-00008F280000}"/>
    <cellStyle name="40% - Accent1 10 2 2 2" xfId="11856" xr:uid="{00000000-0005-0000-0000-000090280000}"/>
    <cellStyle name="40% - Accent1 10 2 2 2 2" xfId="25571" xr:uid="{00000000-0005-0000-0000-000091280000}"/>
    <cellStyle name="40% - Accent1 10 2 2 3" xfId="19969" xr:uid="{00000000-0005-0000-0000-000092280000}"/>
    <cellStyle name="40% - Accent1 10 2 3" xfId="2646" xr:uid="{00000000-0005-0000-0000-000093280000}"/>
    <cellStyle name="40% - Accent1 10 2 3 2" xfId="15062" xr:uid="{00000000-0005-0000-0000-000094280000}"/>
    <cellStyle name="40% - Accent1 10 2 3 2 2" xfId="28611" xr:uid="{00000000-0005-0000-0000-000095280000}"/>
    <cellStyle name="40% - Accent1 10 2 3 3" xfId="19970" xr:uid="{00000000-0005-0000-0000-000096280000}"/>
    <cellStyle name="40% - Accent1 10 2 4" xfId="10924" xr:uid="{00000000-0005-0000-0000-000097280000}"/>
    <cellStyle name="40% - Accent1 10 2 4 2" xfId="24866" xr:uid="{00000000-0005-0000-0000-000098280000}"/>
    <cellStyle name="40% - Accent1 10 2 5" xfId="19968" xr:uid="{00000000-0005-0000-0000-000099280000}"/>
    <cellStyle name="40% - Accent1 10 3" xfId="2647" xr:uid="{00000000-0005-0000-0000-00009A280000}"/>
    <cellStyle name="40% - Accent1 10 3 2" xfId="12657" xr:uid="{00000000-0005-0000-0000-00009B280000}"/>
    <cellStyle name="40% - Accent1 10 3 2 2" xfId="26369" xr:uid="{00000000-0005-0000-0000-00009C280000}"/>
    <cellStyle name="40% - Accent1 10 3 3" xfId="19971" xr:uid="{00000000-0005-0000-0000-00009D280000}"/>
    <cellStyle name="40% - Accent1 10 4" xfId="2648" xr:uid="{00000000-0005-0000-0000-00009E280000}"/>
    <cellStyle name="40% - Accent1 10 4 2" xfId="15061" xr:uid="{00000000-0005-0000-0000-00009F280000}"/>
    <cellStyle name="40% - Accent1 10 4 2 2" xfId="28610" xr:uid="{00000000-0005-0000-0000-0000A0280000}"/>
    <cellStyle name="40% - Accent1 10 4 3" xfId="19972" xr:uid="{00000000-0005-0000-0000-0000A1280000}"/>
    <cellStyle name="40% - Accent1 10 5" xfId="2649" xr:uid="{00000000-0005-0000-0000-0000A2280000}"/>
    <cellStyle name="40% - Accent1 10 5 2" xfId="17191" xr:uid="{00000000-0005-0000-0000-0000A3280000}"/>
    <cellStyle name="40% - Accent1 10 5 2 2" xfId="30550" xr:uid="{00000000-0005-0000-0000-0000A4280000}"/>
    <cellStyle name="40% - Accent1 10 5 3" xfId="19973" xr:uid="{00000000-0005-0000-0000-0000A5280000}"/>
    <cellStyle name="40% - Accent1 10 6" xfId="9198" xr:uid="{00000000-0005-0000-0000-0000A6280000}"/>
    <cellStyle name="40% - Accent1 10 6 2" xfId="23673" xr:uid="{00000000-0005-0000-0000-0000A7280000}"/>
    <cellStyle name="40% - Accent1 10 7" xfId="19967" xr:uid="{00000000-0005-0000-0000-0000A8280000}"/>
    <cellStyle name="40% - Accent1 11" xfId="2650" xr:uid="{00000000-0005-0000-0000-0000A9280000}"/>
    <cellStyle name="40% - Accent1 11 2" xfId="2651" xr:uid="{00000000-0005-0000-0000-0000AA280000}"/>
    <cellStyle name="40% - Accent1 11 2 2" xfId="10925" xr:uid="{00000000-0005-0000-0000-0000AB280000}"/>
    <cellStyle name="40% - Accent1 11 2 2 2" xfId="24867" xr:uid="{00000000-0005-0000-0000-0000AC280000}"/>
    <cellStyle name="40% - Accent1 11 2 3" xfId="19975" xr:uid="{00000000-0005-0000-0000-0000AD280000}"/>
    <cellStyle name="40% - Accent1 11 3" xfId="2652" xr:uid="{00000000-0005-0000-0000-0000AE280000}"/>
    <cellStyle name="40% - Accent1 11 3 2" xfId="12396" xr:uid="{00000000-0005-0000-0000-0000AF280000}"/>
    <cellStyle name="40% - Accent1 11 3 2 2" xfId="26108" xr:uid="{00000000-0005-0000-0000-0000B0280000}"/>
    <cellStyle name="40% - Accent1 11 3 3" xfId="19976" xr:uid="{00000000-0005-0000-0000-0000B1280000}"/>
    <cellStyle name="40% - Accent1 11 4" xfId="2653" xr:uid="{00000000-0005-0000-0000-0000B2280000}"/>
    <cellStyle name="40% - Accent1 11 4 2" xfId="15063" xr:uid="{00000000-0005-0000-0000-0000B3280000}"/>
    <cellStyle name="40% - Accent1 11 4 2 2" xfId="28612" xr:uid="{00000000-0005-0000-0000-0000B4280000}"/>
    <cellStyle name="40% - Accent1 11 4 3" xfId="19977" xr:uid="{00000000-0005-0000-0000-0000B5280000}"/>
    <cellStyle name="40% - Accent1 11 5" xfId="2654" xr:uid="{00000000-0005-0000-0000-0000B6280000}"/>
    <cellStyle name="40% - Accent1 11 5 2" xfId="17280" xr:uid="{00000000-0005-0000-0000-0000B7280000}"/>
    <cellStyle name="40% - Accent1 11 5 2 2" xfId="30639" xr:uid="{00000000-0005-0000-0000-0000B8280000}"/>
    <cellStyle name="40% - Accent1 11 5 3" xfId="19978" xr:uid="{00000000-0005-0000-0000-0000B9280000}"/>
    <cellStyle name="40% - Accent1 11 6" xfId="9199" xr:uid="{00000000-0005-0000-0000-0000BA280000}"/>
    <cellStyle name="40% - Accent1 11 6 2" xfId="23674" xr:uid="{00000000-0005-0000-0000-0000BB280000}"/>
    <cellStyle name="40% - Accent1 11 7" xfId="19974" xr:uid="{00000000-0005-0000-0000-0000BC280000}"/>
    <cellStyle name="40% - Accent1 12" xfId="2655" xr:uid="{00000000-0005-0000-0000-0000BD280000}"/>
    <cellStyle name="40% - Accent1 12 2" xfId="2656" xr:uid="{00000000-0005-0000-0000-0000BE280000}"/>
    <cellStyle name="40% - Accent1 12 2 2" xfId="2657" xr:uid="{00000000-0005-0000-0000-0000BF280000}"/>
    <cellStyle name="40% - Accent1 12 2 2 2" xfId="10927" xr:uid="{00000000-0005-0000-0000-0000C0280000}"/>
    <cellStyle name="40% - Accent1 12 2 2 2 2" xfId="24869" xr:uid="{00000000-0005-0000-0000-0000C1280000}"/>
    <cellStyle name="40% - Accent1 12 2 2 3" xfId="19981" xr:uid="{00000000-0005-0000-0000-0000C2280000}"/>
    <cellStyle name="40% - Accent1 12 2 3" xfId="2658" xr:uid="{00000000-0005-0000-0000-0000C3280000}"/>
    <cellStyle name="40% - Accent1 12 2 3 2" xfId="12775" xr:uid="{00000000-0005-0000-0000-0000C4280000}"/>
    <cellStyle name="40% - Accent1 12 2 3 2 2" xfId="26487" xr:uid="{00000000-0005-0000-0000-0000C5280000}"/>
    <cellStyle name="40% - Accent1 12 2 3 3" xfId="19982" xr:uid="{00000000-0005-0000-0000-0000C6280000}"/>
    <cellStyle name="40% - Accent1 12 2 4" xfId="2659" xr:uid="{00000000-0005-0000-0000-0000C7280000}"/>
    <cellStyle name="40% - Accent1 12 2 4 2" xfId="15065" xr:uid="{00000000-0005-0000-0000-0000C8280000}"/>
    <cellStyle name="40% - Accent1 12 2 4 2 2" xfId="28614" xr:uid="{00000000-0005-0000-0000-0000C9280000}"/>
    <cellStyle name="40% - Accent1 12 2 4 3" xfId="19983" xr:uid="{00000000-0005-0000-0000-0000CA280000}"/>
    <cellStyle name="40% - Accent1 12 2 5" xfId="9201" xr:uid="{00000000-0005-0000-0000-0000CB280000}"/>
    <cellStyle name="40% - Accent1 12 2 5 2" xfId="23676" xr:uid="{00000000-0005-0000-0000-0000CC280000}"/>
    <cellStyle name="40% - Accent1 12 2 6" xfId="19980" xr:uid="{00000000-0005-0000-0000-0000CD280000}"/>
    <cellStyle name="40% - Accent1 12 3" xfId="2660" xr:uid="{00000000-0005-0000-0000-0000CE280000}"/>
    <cellStyle name="40% - Accent1 12 3 2" xfId="10926" xr:uid="{00000000-0005-0000-0000-0000CF280000}"/>
    <cellStyle name="40% - Accent1 12 3 2 2" xfId="24868" xr:uid="{00000000-0005-0000-0000-0000D0280000}"/>
    <cellStyle name="40% - Accent1 12 3 3" xfId="19984" xr:uid="{00000000-0005-0000-0000-0000D1280000}"/>
    <cellStyle name="40% - Accent1 12 4" xfId="2661" xr:uid="{00000000-0005-0000-0000-0000D2280000}"/>
    <cellStyle name="40% - Accent1 12 4 2" xfId="11753" xr:uid="{00000000-0005-0000-0000-0000D3280000}"/>
    <cellStyle name="40% - Accent1 12 4 2 2" xfId="25468" xr:uid="{00000000-0005-0000-0000-0000D4280000}"/>
    <cellStyle name="40% - Accent1 12 4 3" xfId="19985" xr:uid="{00000000-0005-0000-0000-0000D5280000}"/>
    <cellStyle name="40% - Accent1 12 5" xfId="2662" xr:uid="{00000000-0005-0000-0000-0000D6280000}"/>
    <cellStyle name="40% - Accent1 12 5 2" xfId="15064" xr:uid="{00000000-0005-0000-0000-0000D7280000}"/>
    <cellStyle name="40% - Accent1 12 5 2 2" xfId="28613" xr:uid="{00000000-0005-0000-0000-0000D8280000}"/>
    <cellStyle name="40% - Accent1 12 5 3" xfId="19986" xr:uid="{00000000-0005-0000-0000-0000D9280000}"/>
    <cellStyle name="40% - Accent1 12 6" xfId="2663" xr:uid="{00000000-0005-0000-0000-0000DA280000}"/>
    <cellStyle name="40% - Accent1 12 6 2" xfId="16432" xr:uid="{00000000-0005-0000-0000-0000DB280000}"/>
    <cellStyle name="40% - Accent1 12 6 2 2" xfId="29839" xr:uid="{00000000-0005-0000-0000-0000DC280000}"/>
    <cellStyle name="40% - Accent1 12 6 3" xfId="19987" xr:uid="{00000000-0005-0000-0000-0000DD280000}"/>
    <cellStyle name="40% - Accent1 12 7" xfId="9200" xr:uid="{00000000-0005-0000-0000-0000DE280000}"/>
    <cellStyle name="40% - Accent1 12 7 2" xfId="23675" xr:uid="{00000000-0005-0000-0000-0000DF280000}"/>
    <cellStyle name="40% - Accent1 12 8" xfId="19979" xr:uid="{00000000-0005-0000-0000-0000E0280000}"/>
    <cellStyle name="40% - Accent1 13" xfId="2664" xr:uid="{00000000-0005-0000-0000-0000E1280000}"/>
    <cellStyle name="40% - Accent1 13 2" xfId="2665" xr:uid="{00000000-0005-0000-0000-0000E2280000}"/>
    <cellStyle name="40% - Accent1 13 2 2" xfId="10928" xr:uid="{00000000-0005-0000-0000-0000E3280000}"/>
    <cellStyle name="40% - Accent1 13 2 2 2" xfId="24870" xr:uid="{00000000-0005-0000-0000-0000E4280000}"/>
    <cellStyle name="40% - Accent1 13 2 3" xfId="19989" xr:uid="{00000000-0005-0000-0000-0000E5280000}"/>
    <cellStyle name="40% - Accent1 13 3" xfId="2666" xr:uid="{00000000-0005-0000-0000-0000E6280000}"/>
    <cellStyle name="40% - Accent1 13 3 2" xfId="11766" xr:uid="{00000000-0005-0000-0000-0000E7280000}"/>
    <cellStyle name="40% - Accent1 13 3 2 2" xfId="25481" xr:uid="{00000000-0005-0000-0000-0000E8280000}"/>
    <cellStyle name="40% - Accent1 13 3 3" xfId="19990" xr:uid="{00000000-0005-0000-0000-0000E9280000}"/>
    <cellStyle name="40% - Accent1 13 4" xfId="2667" xr:uid="{00000000-0005-0000-0000-0000EA280000}"/>
    <cellStyle name="40% - Accent1 13 4 2" xfId="15066" xr:uid="{00000000-0005-0000-0000-0000EB280000}"/>
    <cellStyle name="40% - Accent1 13 4 2 2" xfId="28615" xr:uid="{00000000-0005-0000-0000-0000EC280000}"/>
    <cellStyle name="40% - Accent1 13 4 3" xfId="19991" xr:uid="{00000000-0005-0000-0000-0000ED280000}"/>
    <cellStyle name="40% - Accent1 13 5" xfId="9202" xr:uid="{00000000-0005-0000-0000-0000EE280000}"/>
    <cellStyle name="40% - Accent1 13 5 2" xfId="23677" xr:uid="{00000000-0005-0000-0000-0000EF280000}"/>
    <cellStyle name="40% - Accent1 13 6" xfId="19988" xr:uid="{00000000-0005-0000-0000-0000F0280000}"/>
    <cellStyle name="40% - Accent1 14" xfId="2668" xr:uid="{00000000-0005-0000-0000-0000F1280000}"/>
    <cellStyle name="40% - Accent1 14 2" xfId="2669" xr:uid="{00000000-0005-0000-0000-0000F2280000}"/>
    <cellStyle name="40% - Accent1 14 2 2" xfId="10929" xr:uid="{00000000-0005-0000-0000-0000F3280000}"/>
    <cellStyle name="40% - Accent1 14 2 2 2" xfId="24871" xr:uid="{00000000-0005-0000-0000-0000F4280000}"/>
    <cellStyle name="40% - Accent1 14 2 3" xfId="19993" xr:uid="{00000000-0005-0000-0000-0000F5280000}"/>
    <cellStyle name="40% - Accent1 14 3" xfId="2670" xr:uid="{00000000-0005-0000-0000-0000F6280000}"/>
    <cellStyle name="40% - Accent1 14 3 2" xfId="12689" xr:uid="{00000000-0005-0000-0000-0000F7280000}"/>
    <cellStyle name="40% - Accent1 14 3 2 2" xfId="26401" xr:uid="{00000000-0005-0000-0000-0000F8280000}"/>
    <cellStyle name="40% - Accent1 14 3 3" xfId="19994" xr:uid="{00000000-0005-0000-0000-0000F9280000}"/>
    <cellStyle name="40% - Accent1 14 4" xfId="2671" xr:uid="{00000000-0005-0000-0000-0000FA280000}"/>
    <cellStyle name="40% - Accent1 14 4 2" xfId="15067" xr:uid="{00000000-0005-0000-0000-0000FB280000}"/>
    <cellStyle name="40% - Accent1 14 4 2 2" xfId="28616" xr:uid="{00000000-0005-0000-0000-0000FC280000}"/>
    <cellStyle name="40% - Accent1 14 4 3" xfId="19995" xr:uid="{00000000-0005-0000-0000-0000FD280000}"/>
    <cellStyle name="40% - Accent1 14 5" xfId="9203" xr:uid="{00000000-0005-0000-0000-0000FE280000}"/>
    <cellStyle name="40% - Accent1 14 5 2" xfId="23678" xr:uid="{00000000-0005-0000-0000-0000FF280000}"/>
    <cellStyle name="40% - Accent1 14 6" xfId="19992" xr:uid="{00000000-0005-0000-0000-000000290000}"/>
    <cellStyle name="40% - Accent1 15" xfId="2672" xr:uid="{00000000-0005-0000-0000-000001290000}"/>
    <cellStyle name="40% - Accent1 15 2" xfId="2673" xr:uid="{00000000-0005-0000-0000-000002290000}"/>
    <cellStyle name="40% - Accent1 15 2 2" xfId="10930" xr:uid="{00000000-0005-0000-0000-000003290000}"/>
    <cellStyle name="40% - Accent1 15 2 2 2" xfId="24872" xr:uid="{00000000-0005-0000-0000-000004290000}"/>
    <cellStyle name="40% - Accent1 15 2 3" xfId="19997" xr:uid="{00000000-0005-0000-0000-000005290000}"/>
    <cellStyle name="40% - Accent1 15 3" xfId="2674" xr:uid="{00000000-0005-0000-0000-000006290000}"/>
    <cellStyle name="40% - Accent1 15 3 2" xfId="12684" xr:uid="{00000000-0005-0000-0000-000007290000}"/>
    <cellStyle name="40% - Accent1 15 3 2 2" xfId="26396" xr:uid="{00000000-0005-0000-0000-000008290000}"/>
    <cellStyle name="40% - Accent1 15 3 3" xfId="19998" xr:uid="{00000000-0005-0000-0000-000009290000}"/>
    <cellStyle name="40% - Accent1 15 4" xfId="2675" xr:uid="{00000000-0005-0000-0000-00000A290000}"/>
    <cellStyle name="40% - Accent1 15 4 2" xfId="15068" xr:uid="{00000000-0005-0000-0000-00000B290000}"/>
    <cellStyle name="40% - Accent1 15 4 2 2" xfId="28617" xr:uid="{00000000-0005-0000-0000-00000C290000}"/>
    <cellStyle name="40% - Accent1 15 4 3" xfId="19999" xr:uid="{00000000-0005-0000-0000-00000D290000}"/>
    <cellStyle name="40% - Accent1 15 5" xfId="9204" xr:uid="{00000000-0005-0000-0000-00000E290000}"/>
    <cellStyle name="40% - Accent1 15 5 2" xfId="23679" xr:uid="{00000000-0005-0000-0000-00000F290000}"/>
    <cellStyle name="40% - Accent1 15 6" xfId="19996" xr:uid="{00000000-0005-0000-0000-000010290000}"/>
    <cellStyle name="40% - Accent1 16" xfId="2676" xr:uid="{00000000-0005-0000-0000-000011290000}"/>
    <cellStyle name="40% - Accent1 16 2" xfId="2677" xr:uid="{00000000-0005-0000-0000-000012290000}"/>
    <cellStyle name="40% - Accent1 16 2 2" xfId="10931" xr:uid="{00000000-0005-0000-0000-000013290000}"/>
    <cellStyle name="40% - Accent1 16 2 2 2" xfId="24873" xr:uid="{00000000-0005-0000-0000-000014290000}"/>
    <cellStyle name="40% - Accent1 16 2 3" xfId="20001" xr:uid="{00000000-0005-0000-0000-000015290000}"/>
    <cellStyle name="40% - Accent1 16 3" xfId="2678" xr:uid="{00000000-0005-0000-0000-000016290000}"/>
    <cellStyle name="40% - Accent1 16 3 2" xfId="12626" xr:uid="{00000000-0005-0000-0000-000017290000}"/>
    <cellStyle name="40% - Accent1 16 3 2 2" xfId="26338" xr:uid="{00000000-0005-0000-0000-000018290000}"/>
    <cellStyle name="40% - Accent1 16 3 3" xfId="20002" xr:uid="{00000000-0005-0000-0000-000019290000}"/>
    <cellStyle name="40% - Accent1 16 4" xfId="2679" xr:uid="{00000000-0005-0000-0000-00001A290000}"/>
    <cellStyle name="40% - Accent1 16 4 2" xfId="15069" xr:uid="{00000000-0005-0000-0000-00001B290000}"/>
    <cellStyle name="40% - Accent1 16 4 2 2" xfId="28618" xr:uid="{00000000-0005-0000-0000-00001C290000}"/>
    <cellStyle name="40% - Accent1 16 4 3" xfId="20003" xr:uid="{00000000-0005-0000-0000-00001D290000}"/>
    <cellStyle name="40% - Accent1 16 5" xfId="9205" xr:uid="{00000000-0005-0000-0000-00001E290000}"/>
    <cellStyle name="40% - Accent1 16 5 2" xfId="23680" xr:uid="{00000000-0005-0000-0000-00001F290000}"/>
    <cellStyle name="40% - Accent1 16 6" xfId="20000" xr:uid="{00000000-0005-0000-0000-000020290000}"/>
    <cellStyle name="40% - Accent1 17" xfId="2680" xr:uid="{00000000-0005-0000-0000-000021290000}"/>
    <cellStyle name="40% - Accent1 17 2" xfId="2681" xr:uid="{00000000-0005-0000-0000-000022290000}"/>
    <cellStyle name="40% - Accent1 17 2 2" xfId="10932" xr:uid="{00000000-0005-0000-0000-000023290000}"/>
    <cellStyle name="40% - Accent1 17 2 2 2" xfId="24874" xr:uid="{00000000-0005-0000-0000-000024290000}"/>
    <cellStyle name="40% - Accent1 17 2 3" xfId="20005" xr:uid="{00000000-0005-0000-0000-000025290000}"/>
    <cellStyle name="40% - Accent1 17 3" xfId="2682" xr:uid="{00000000-0005-0000-0000-000026290000}"/>
    <cellStyle name="40% - Accent1 17 3 2" xfId="11959" xr:uid="{00000000-0005-0000-0000-000027290000}"/>
    <cellStyle name="40% - Accent1 17 3 2 2" xfId="25674" xr:uid="{00000000-0005-0000-0000-000028290000}"/>
    <cellStyle name="40% - Accent1 17 3 3" xfId="20006" xr:uid="{00000000-0005-0000-0000-000029290000}"/>
    <cellStyle name="40% - Accent1 17 4" xfId="2683" xr:uid="{00000000-0005-0000-0000-00002A290000}"/>
    <cellStyle name="40% - Accent1 17 4 2" xfId="15070" xr:uid="{00000000-0005-0000-0000-00002B290000}"/>
    <cellStyle name="40% - Accent1 17 4 2 2" xfId="28619" xr:uid="{00000000-0005-0000-0000-00002C290000}"/>
    <cellStyle name="40% - Accent1 17 4 3" xfId="20007" xr:uid="{00000000-0005-0000-0000-00002D290000}"/>
    <cellStyle name="40% - Accent1 17 5" xfId="9206" xr:uid="{00000000-0005-0000-0000-00002E290000}"/>
    <cellStyle name="40% - Accent1 17 5 2" xfId="23681" xr:uid="{00000000-0005-0000-0000-00002F290000}"/>
    <cellStyle name="40% - Accent1 17 6" xfId="20004" xr:uid="{00000000-0005-0000-0000-000030290000}"/>
    <cellStyle name="40% - Accent1 18" xfId="2684" xr:uid="{00000000-0005-0000-0000-000031290000}"/>
    <cellStyle name="40% - Accent1 18 2" xfId="2685" xr:uid="{00000000-0005-0000-0000-000032290000}"/>
    <cellStyle name="40% - Accent1 18 2 2" xfId="10933" xr:uid="{00000000-0005-0000-0000-000033290000}"/>
    <cellStyle name="40% - Accent1 18 2 2 2" xfId="24875" xr:uid="{00000000-0005-0000-0000-000034290000}"/>
    <cellStyle name="40% - Accent1 18 2 3" xfId="20009" xr:uid="{00000000-0005-0000-0000-000035290000}"/>
    <cellStyle name="40% - Accent1 18 3" xfId="2686" xr:uid="{00000000-0005-0000-0000-000036290000}"/>
    <cellStyle name="40% - Accent1 18 3 2" xfId="12668" xr:uid="{00000000-0005-0000-0000-000037290000}"/>
    <cellStyle name="40% - Accent1 18 3 2 2" xfId="26380" xr:uid="{00000000-0005-0000-0000-000038290000}"/>
    <cellStyle name="40% - Accent1 18 3 3" xfId="20010" xr:uid="{00000000-0005-0000-0000-000039290000}"/>
    <cellStyle name="40% - Accent1 18 4" xfId="2687" xr:uid="{00000000-0005-0000-0000-00003A290000}"/>
    <cellStyle name="40% - Accent1 18 4 2" xfId="15071" xr:uid="{00000000-0005-0000-0000-00003B290000}"/>
    <cellStyle name="40% - Accent1 18 4 2 2" xfId="28620" xr:uid="{00000000-0005-0000-0000-00003C290000}"/>
    <cellStyle name="40% - Accent1 18 4 3" xfId="20011" xr:uid="{00000000-0005-0000-0000-00003D290000}"/>
    <cellStyle name="40% - Accent1 18 5" xfId="9207" xr:uid="{00000000-0005-0000-0000-00003E290000}"/>
    <cellStyle name="40% - Accent1 18 5 2" xfId="23682" xr:uid="{00000000-0005-0000-0000-00003F290000}"/>
    <cellStyle name="40% - Accent1 18 6" xfId="20008" xr:uid="{00000000-0005-0000-0000-000040290000}"/>
    <cellStyle name="40% - Accent1 19" xfId="2688" xr:uid="{00000000-0005-0000-0000-000041290000}"/>
    <cellStyle name="40% - Accent1 19 2" xfId="2689" xr:uid="{00000000-0005-0000-0000-000042290000}"/>
    <cellStyle name="40% - Accent1 19 2 2" xfId="11716" xr:uid="{00000000-0005-0000-0000-000043290000}"/>
    <cellStyle name="40% - Accent1 19 2 2 2" xfId="25436" xr:uid="{00000000-0005-0000-0000-000044290000}"/>
    <cellStyle name="40% - Accent1 19 2 3" xfId="20013" xr:uid="{00000000-0005-0000-0000-000045290000}"/>
    <cellStyle name="40% - Accent1 19 3" xfId="2690" xr:uid="{00000000-0005-0000-0000-000046290000}"/>
    <cellStyle name="40% - Accent1 19 3 2" xfId="12459" xr:uid="{00000000-0005-0000-0000-000047290000}"/>
    <cellStyle name="40% - Accent1 19 3 2 2" xfId="26171" xr:uid="{00000000-0005-0000-0000-000048290000}"/>
    <cellStyle name="40% - Accent1 19 3 3" xfId="20014" xr:uid="{00000000-0005-0000-0000-000049290000}"/>
    <cellStyle name="40% - Accent1 19 4" xfId="2691" xr:uid="{00000000-0005-0000-0000-00004A290000}"/>
    <cellStyle name="40% - Accent1 19 4 2" xfId="15072" xr:uid="{00000000-0005-0000-0000-00004B290000}"/>
    <cellStyle name="40% - Accent1 19 4 2 2" xfId="28621" xr:uid="{00000000-0005-0000-0000-00004C290000}"/>
    <cellStyle name="40% - Accent1 19 4 3" xfId="20015" xr:uid="{00000000-0005-0000-0000-00004D290000}"/>
    <cellStyle name="40% - Accent1 19 5" xfId="10468" xr:uid="{00000000-0005-0000-0000-00004E290000}"/>
    <cellStyle name="40% - Accent1 19 5 2" xfId="24427" xr:uid="{00000000-0005-0000-0000-00004F290000}"/>
    <cellStyle name="40% - Accent1 19 6" xfId="20012" xr:uid="{00000000-0005-0000-0000-000050290000}"/>
    <cellStyle name="40% - Accent1 2" xfId="2692" xr:uid="{00000000-0005-0000-0000-000051290000}"/>
    <cellStyle name="40% - Accent1 2 10" xfId="2693" xr:uid="{00000000-0005-0000-0000-000052290000}"/>
    <cellStyle name="40% - Accent1 2 10 2" xfId="2694" xr:uid="{00000000-0005-0000-0000-000053290000}"/>
    <cellStyle name="40% - Accent1 2 10 2 2" xfId="15074" xr:uid="{00000000-0005-0000-0000-000054290000}"/>
    <cellStyle name="40% - Accent1 2 10 2 2 2" xfId="28623" xr:uid="{00000000-0005-0000-0000-000055290000}"/>
    <cellStyle name="40% - Accent1 2 10 2 3" xfId="20018" xr:uid="{00000000-0005-0000-0000-000056290000}"/>
    <cellStyle name="40% - Accent1 2 10 3" xfId="11836" xr:uid="{00000000-0005-0000-0000-000057290000}"/>
    <cellStyle name="40% - Accent1 2 10 3 2" xfId="25551" xr:uid="{00000000-0005-0000-0000-000058290000}"/>
    <cellStyle name="40% - Accent1 2 10 4" xfId="20017" xr:uid="{00000000-0005-0000-0000-000059290000}"/>
    <cellStyle name="40% - Accent1 2 11" xfId="2695" xr:uid="{00000000-0005-0000-0000-00005A290000}"/>
    <cellStyle name="40% - Accent1 2 11 2" xfId="12676" xr:uid="{00000000-0005-0000-0000-00005B290000}"/>
    <cellStyle name="40% - Accent1 2 11 2 2" xfId="26388" xr:uid="{00000000-0005-0000-0000-00005C290000}"/>
    <cellStyle name="40% - Accent1 2 11 3" xfId="20019" xr:uid="{00000000-0005-0000-0000-00005D290000}"/>
    <cellStyle name="40% - Accent1 2 12" xfId="2696" xr:uid="{00000000-0005-0000-0000-00005E290000}"/>
    <cellStyle name="40% - Accent1 2 12 2" xfId="13436" xr:uid="{00000000-0005-0000-0000-00005F290000}"/>
    <cellStyle name="40% - Accent1 2 12 2 2" xfId="26985" xr:uid="{00000000-0005-0000-0000-000060290000}"/>
    <cellStyle name="40% - Accent1 2 12 3" xfId="20020" xr:uid="{00000000-0005-0000-0000-000061290000}"/>
    <cellStyle name="40% - Accent1 2 13" xfId="2697" xr:uid="{00000000-0005-0000-0000-000062290000}"/>
    <cellStyle name="40% - Accent1 2 13 2" xfId="14017" xr:uid="{00000000-0005-0000-0000-000063290000}"/>
    <cellStyle name="40% - Accent1 2 13 2 2" xfId="27566" xr:uid="{00000000-0005-0000-0000-000064290000}"/>
    <cellStyle name="40% - Accent1 2 13 3" xfId="20021" xr:uid="{00000000-0005-0000-0000-000065290000}"/>
    <cellStyle name="40% - Accent1 2 14" xfId="2698" xr:uid="{00000000-0005-0000-0000-000066290000}"/>
    <cellStyle name="40% - Accent1 2 14 2" xfId="15073" xr:uid="{00000000-0005-0000-0000-000067290000}"/>
    <cellStyle name="40% - Accent1 2 14 2 2" xfId="28622" xr:uid="{00000000-0005-0000-0000-000068290000}"/>
    <cellStyle name="40% - Accent1 2 14 3" xfId="20022" xr:uid="{00000000-0005-0000-0000-000069290000}"/>
    <cellStyle name="40% - Accent1 2 15" xfId="2699" xr:uid="{00000000-0005-0000-0000-00006A290000}"/>
    <cellStyle name="40% - Accent1 2 15 2" xfId="15903" xr:uid="{00000000-0005-0000-0000-00006B290000}"/>
    <cellStyle name="40% - Accent1 2 15 2 2" xfId="29310" xr:uid="{00000000-0005-0000-0000-00006C290000}"/>
    <cellStyle name="40% - Accent1 2 15 3" xfId="20023" xr:uid="{00000000-0005-0000-0000-00006D290000}"/>
    <cellStyle name="40% - Accent1 2 16" xfId="9208" xr:uid="{00000000-0005-0000-0000-00006E290000}"/>
    <cellStyle name="40% - Accent1 2 16 2" xfId="23683" xr:uid="{00000000-0005-0000-0000-00006F290000}"/>
    <cellStyle name="40% - Accent1 2 17" xfId="20016" xr:uid="{00000000-0005-0000-0000-000070290000}"/>
    <cellStyle name="40% - Accent1 2 18" xfId="33063" xr:uid="{00000000-0005-0000-0000-000071290000}"/>
    <cellStyle name="40% - Accent1 2 2" xfId="2700" xr:uid="{00000000-0005-0000-0000-000072290000}"/>
    <cellStyle name="40% - Accent1 2 2 10" xfId="2701" xr:uid="{00000000-0005-0000-0000-000073290000}"/>
    <cellStyle name="40% - Accent1 2 2 10 2" xfId="15075" xr:uid="{00000000-0005-0000-0000-000074290000}"/>
    <cellStyle name="40% - Accent1 2 2 10 2 2" xfId="28624" xr:uid="{00000000-0005-0000-0000-000075290000}"/>
    <cellStyle name="40% - Accent1 2 2 10 3" xfId="20025" xr:uid="{00000000-0005-0000-0000-000076290000}"/>
    <cellStyle name="40% - Accent1 2 2 11" xfId="2702" xr:uid="{00000000-0005-0000-0000-000077290000}"/>
    <cellStyle name="40% - Accent1 2 2 11 2" xfId="15949" xr:uid="{00000000-0005-0000-0000-000078290000}"/>
    <cellStyle name="40% - Accent1 2 2 11 2 2" xfId="29356" xr:uid="{00000000-0005-0000-0000-000079290000}"/>
    <cellStyle name="40% - Accent1 2 2 11 3" xfId="20026" xr:uid="{00000000-0005-0000-0000-00007A290000}"/>
    <cellStyle name="40% - Accent1 2 2 12" xfId="9209" xr:uid="{00000000-0005-0000-0000-00007B290000}"/>
    <cellStyle name="40% - Accent1 2 2 12 2" xfId="23684" xr:uid="{00000000-0005-0000-0000-00007C290000}"/>
    <cellStyle name="40% - Accent1 2 2 13" xfId="20024" xr:uid="{00000000-0005-0000-0000-00007D290000}"/>
    <cellStyle name="40% - Accent1 2 2 2" xfId="2703" xr:uid="{00000000-0005-0000-0000-00007E290000}"/>
    <cellStyle name="40% - Accent1 2 2 2 10" xfId="2704" xr:uid="{00000000-0005-0000-0000-00007F290000}"/>
    <cellStyle name="40% - Accent1 2 2 2 10 2" xfId="16092" xr:uid="{00000000-0005-0000-0000-000080290000}"/>
    <cellStyle name="40% - Accent1 2 2 2 10 2 2" xfId="29499" xr:uid="{00000000-0005-0000-0000-000081290000}"/>
    <cellStyle name="40% - Accent1 2 2 2 10 3" xfId="20028" xr:uid="{00000000-0005-0000-0000-000082290000}"/>
    <cellStyle name="40% - Accent1 2 2 2 11" xfId="9210" xr:uid="{00000000-0005-0000-0000-000083290000}"/>
    <cellStyle name="40% - Accent1 2 2 2 11 2" xfId="23685" xr:uid="{00000000-0005-0000-0000-000084290000}"/>
    <cellStyle name="40% - Accent1 2 2 2 12" xfId="20027" xr:uid="{00000000-0005-0000-0000-000085290000}"/>
    <cellStyle name="40% - Accent1 2 2 2 2" xfId="2705" xr:uid="{00000000-0005-0000-0000-000086290000}"/>
    <cellStyle name="40% - Accent1 2 2 2 2 10" xfId="9211" xr:uid="{00000000-0005-0000-0000-000087290000}"/>
    <cellStyle name="40% - Accent1 2 2 2 2 10 2" xfId="23686" xr:uid="{00000000-0005-0000-0000-000088290000}"/>
    <cellStyle name="40% - Accent1 2 2 2 2 11" xfId="20029" xr:uid="{00000000-0005-0000-0000-000089290000}"/>
    <cellStyle name="40% - Accent1 2 2 2 2 2" xfId="2706" xr:uid="{00000000-0005-0000-0000-00008A290000}"/>
    <cellStyle name="40% - Accent1 2 2 2 2 2 2" xfId="2707" xr:uid="{00000000-0005-0000-0000-00008B290000}"/>
    <cellStyle name="40% - Accent1 2 2 2 2 2 2 2" xfId="10938" xr:uid="{00000000-0005-0000-0000-00008C290000}"/>
    <cellStyle name="40% - Accent1 2 2 2 2 2 2 2 2" xfId="24880" xr:uid="{00000000-0005-0000-0000-00008D290000}"/>
    <cellStyle name="40% - Accent1 2 2 2 2 2 2 3" xfId="20031" xr:uid="{00000000-0005-0000-0000-00008E290000}"/>
    <cellStyle name="40% - Accent1 2 2 2 2 2 3" xfId="2708" xr:uid="{00000000-0005-0000-0000-00008F290000}"/>
    <cellStyle name="40% - Accent1 2 2 2 2 2 3 2" xfId="12547" xr:uid="{00000000-0005-0000-0000-000090290000}"/>
    <cellStyle name="40% - Accent1 2 2 2 2 2 3 2 2" xfId="26259" xr:uid="{00000000-0005-0000-0000-000091290000}"/>
    <cellStyle name="40% - Accent1 2 2 2 2 2 3 3" xfId="20032" xr:uid="{00000000-0005-0000-0000-000092290000}"/>
    <cellStyle name="40% - Accent1 2 2 2 2 2 4" xfId="2709" xr:uid="{00000000-0005-0000-0000-000093290000}"/>
    <cellStyle name="40% - Accent1 2 2 2 2 2 4 2" xfId="15078" xr:uid="{00000000-0005-0000-0000-000094290000}"/>
    <cellStyle name="40% - Accent1 2 2 2 2 2 4 2 2" xfId="28627" xr:uid="{00000000-0005-0000-0000-000095290000}"/>
    <cellStyle name="40% - Accent1 2 2 2 2 2 4 3" xfId="20033" xr:uid="{00000000-0005-0000-0000-000096290000}"/>
    <cellStyle name="40% - Accent1 2 2 2 2 2 5" xfId="2710" xr:uid="{00000000-0005-0000-0000-000097290000}"/>
    <cellStyle name="40% - Accent1 2 2 2 2 2 5 2" xfId="16962" xr:uid="{00000000-0005-0000-0000-000098290000}"/>
    <cellStyle name="40% - Accent1 2 2 2 2 2 5 2 2" xfId="30369" xr:uid="{00000000-0005-0000-0000-000099290000}"/>
    <cellStyle name="40% - Accent1 2 2 2 2 2 5 3" xfId="20034" xr:uid="{00000000-0005-0000-0000-00009A290000}"/>
    <cellStyle name="40% - Accent1 2 2 2 2 2 6" xfId="9212" xr:uid="{00000000-0005-0000-0000-00009B290000}"/>
    <cellStyle name="40% - Accent1 2 2 2 2 2 6 2" xfId="23687" xr:uid="{00000000-0005-0000-0000-00009C290000}"/>
    <cellStyle name="40% - Accent1 2 2 2 2 2 7" xfId="20030" xr:uid="{00000000-0005-0000-0000-00009D290000}"/>
    <cellStyle name="40% - Accent1 2 2 2 2 3" xfId="2711" xr:uid="{00000000-0005-0000-0000-00009E290000}"/>
    <cellStyle name="40% - Accent1 2 2 2 2 3 2" xfId="2712" xr:uid="{00000000-0005-0000-0000-00009F290000}"/>
    <cellStyle name="40% - Accent1 2 2 2 2 3 2 2" xfId="15079" xr:uid="{00000000-0005-0000-0000-0000A0290000}"/>
    <cellStyle name="40% - Accent1 2 2 2 2 3 2 2 2" xfId="28628" xr:uid="{00000000-0005-0000-0000-0000A1290000}"/>
    <cellStyle name="40% - Accent1 2 2 2 2 3 2 3" xfId="20036" xr:uid="{00000000-0005-0000-0000-0000A2290000}"/>
    <cellStyle name="40% - Accent1 2 2 2 2 3 3" xfId="10937" xr:uid="{00000000-0005-0000-0000-0000A3290000}"/>
    <cellStyle name="40% - Accent1 2 2 2 2 3 3 2" xfId="24879" xr:uid="{00000000-0005-0000-0000-0000A4290000}"/>
    <cellStyle name="40% - Accent1 2 2 2 2 3 4" xfId="20035" xr:uid="{00000000-0005-0000-0000-0000A5290000}"/>
    <cellStyle name="40% - Accent1 2 2 2 2 4" xfId="2713" xr:uid="{00000000-0005-0000-0000-0000A6290000}"/>
    <cellStyle name="40% - Accent1 2 2 2 2 4 2" xfId="12350" xr:uid="{00000000-0005-0000-0000-0000A7290000}"/>
    <cellStyle name="40% - Accent1 2 2 2 2 4 2 2" xfId="26062" xr:uid="{00000000-0005-0000-0000-0000A8290000}"/>
    <cellStyle name="40% - Accent1 2 2 2 2 4 3" xfId="20037" xr:uid="{00000000-0005-0000-0000-0000A9290000}"/>
    <cellStyle name="40% - Accent1 2 2 2 2 5" xfId="2714" xr:uid="{00000000-0005-0000-0000-0000AA290000}"/>
    <cellStyle name="40% - Accent1 2 2 2 2 5 2" xfId="12598" xr:uid="{00000000-0005-0000-0000-0000AB290000}"/>
    <cellStyle name="40% - Accent1 2 2 2 2 5 2 2" xfId="26310" xr:uid="{00000000-0005-0000-0000-0000AC290000}"/>
    <cellStyle name="40% - Accent1 2 2 2 2 5 3" xfId="20038" xr:uid="{00000000-0005-0000-0000-0000AD290000}"/>
    <cellStyle name="40% - Accent1 2 2 2 2 6" xfId="2715" xr:uid="{00000000-0005-0000-0000-0000AE290000}"/>
    <cellStyle name="40% - Accent1 2 2 2 2 6 2" xfId="13914" xr:uid="{00000000-0005-0000-0000-0000AF290000}"/>
    <cellStyle name="40% - Accent1 2 2 2 2 6 2 2" xfId="27463" xr:uid="{00000000-0005-0000-0000-0000B0290000}"/>
    <cellStyle name="40% - Accent1 2 2 2 2 6 3" xfId="20039" xr:uid="{00000000-0005-0000-0000-0000B1290000}"/>
    <cellStyle name="40% - Accent1 2 2 2 2 7" xfId="2716" xr:uid="{00000000-0005-0000-0000-0000B2290000}"/>
    <cellStyle name="40% - Accent1 2 2 2 2 7 2" xfId="14495" xr:uid="{00000000-0005-0000-0000-0000B3290000}"/>
    <cellStyle name="40% - Accent1 2 2 2 2 7 2 2" xfId="28044" xr:uid="{00000000-0005-0000-0000-0000B4290000}"/>
    <cellStyle name="40% - Accent1 2 2 2 2 7 3" xfId="20040" xr:uid="{00000000-0005-0000-0000-0000B5290000}"/>
    <cellStyle name="40% - Accent1 2 2 2 2 8" xfId="2717" xr:uid="{00000000-0005-0000-0000-0000B6290000}"/>
    <cellStyle name="40% - Accent1 2 2 2 2 8 2" xfId="15077" xr:uid="{00000000-0005-0000-0000-0000B7290000}"/>
    <cellStyle name="40% - Accent1 2 2 2 2 8 2 2" xfId="28626" xr:uid="{00000000-0005-0000-0000-0000B8290000}"/>
    <cellStyle name="40% - Accent1 2 2 2 2 8 3" xfId="20041" xr:uid="{00000000-0005-0000-0000-0000B9290000}"/>
    <cellStyle name="40% - Accent1 2 2 2 2 9" xfId="2718" xr:uid="{00000000-0005-0000-0000-0000BA290000}"/>
    <cellStyle name="40% - Accent1 2 2 2 2 9 2" xfId="16381" xr:uid="{00000000-0005-0000-0000-0000BB290000}"/>
    <cellStyle name="40% - Accent1 2 2 2 2 9 2 2" xfId="29788" xr:uid="{00000000-0005-0000-0000-0000BC290000}"/>
    <cellStyle name="40% - Accent1 2 2 2 2 9 3" xfId="20042" xr:uid="{00000000-0005-0000-0000-0000BD290000}"/>
    <cellStyle name="40% - Accent1 2 2 2 3" xfId="2719" xr:uid="{00000000-0005-0000-0000-0000BE290000}"/>
    <cellStyle name="40% - Accent1 2 2 2 3 2" xfId="2720" xr:uid="{00000000-0005-0000-0000-0000BF290000}"/>
    <cellStyle name="40% - Accent1 2 2 2 3 2 2" xfId="10939" xr:uid="{00000000-0005-0000-0000-0000C0290000}"/>
    <cellStyle name="40% - Accent1 2 2 2 3 2 2 2" xfId="24881" xr:uid="{00000000-0005-0000-0000-0000C1290000}"/>
    <cellStyle name="40% - Accent1 2 2 2 3 2 3" xfId="20044" xr:uid="{00000000-0005-0000-0000-0000C2290000}"/>
    <cellStyle name="40% - Accent1 2 2 2 3 3" xfId="2721" xr:uid="{00000000-0005-0000-0000-0000C3290000}"/>
    <cellStyle name="40% - Accent1 2 2 2 3 3 2" xfId="12742" xr:uid="{00000000-0005-0000-0000-0000C4290000}"/>
    <cellStyle name="40% - Accent1 2 2 2 3 3 2 2" xfId="26454" xr:uid="{00000000-0005-0000-0000-0000C5290000}"/>
    <cellStyle name="40% - Accent1 2 2 2 3 3 3" xfId="20045" xr:uid="{00000000-0005-0000-0000-0000C6290000}"/>
    <cellStyle name="40% - Accent1 2 2 2 3 4" xfId="2722" xr:uid="{00000000-0005-0000-0000-0000C7290000}"/>
    <cellStyle name="40% - Accent1 2 2 2 3 4 2" xfId="15080" xr:uid="{00000000-0005-0000-0000-0000C8290000}"/>
    <cellStyle name="40% - Accent1 2 2 2 3 4 2 2" xfId="28629" xr:uid="{00000000-0005-0000-0000-0000C9290000}"/>
    <cellStyle name="40% - Accent1 2 2 2 3 4 3" xfId="20046" xr:uid="{00000000-0005-0000-0000-0000CA290000}"/>
    <cellStyle name="40% - Accent1 2 2 2 3 5" xfId="2723" xr:uid="{00000000-0005-0000-0000-0000CB290000}"/>
    <cellStyle name="40% - Accent1 2 2 2 3 5 2" xfId="16673" xr:uid="{00000000-0005-0000-0000-0000CC290000}"/>
    <cellStyle name="40% - Accent1 2 2 2 3 5 2 2" xfId="30080" xr:uid="{00000000-0005-0000-0000-0000CD290000}"/>
    <cellStyle name="40% - Accent1 2 2 2 3 5 3" xfId="20047" xr:uid="{00000000-0005-0000-0000-0000CE290000}"/>
    <cellStyle name="40% - Accent1 2 2 2 3 6" xfId="9213" xr:uid="{00000000-0005-0000-0000-0000CF290000}"/>
    <cellStyle name="40% - Accent1 2 2 2 3 6 2" xfId="23688" xr:uid="{00000000-0005-0000-0000-0000D0290000}"/>
    <cellStyle name="40% - Accent1 2 2 2 3 7" xfId="20043" xr:uid="{00000000-0005-0000-0000-0000D1290000}"/>
    <cellStyle name="40% - Accent1 2 2 2 4" xfId="2724" xr:uid="{00000000-0005-0000-0000-0000D2290000}"/>
    <cellStyle name="40% - Accent1 2 2 2 4 2" xfId="2725" xr:uid="{00000000-0005-0000-0000-0000D3290000}"/>
    <cellStyle name="40% - Accent1 2 2 2 4 2 2" xfId="15081" xr:uid="{00000000-0005-0000-0000-0000D4290000}"/>
    <cellStyle name="40% - Accent1 2 2 2 4 2 2 2" xfId="28630" xr:uid="{00000000-0005-0000-0000-0000D5290000}"/>
    <cellStyle name="40% - Accent1 2 2 2 4 2 3" xfId="20049" xr:uid="{00000000-0005-0000-0000-0000D6290000}"/>
    <cellStyle name="40% - Accent1 2 2 2 4 3" xfId="10936" xr:uid="{00000000-0005-0000-0000-0000D7290000}"/>
    <cellStyle name="40% - Accent1 2 2 2 4 3 2" xfId="24878" xr:uid="{00000000-0005-0000-0000-0000D8290000}"/>
    <cellStyle name="40% - Accent1 2 2 2 4 4" xfId="20048" xr:uid="{00000000-0005-0000-0000-0000D9290000}"/>
    <cellStyle name="40% - Accent1 2 2 2 5" xfId="2726" xr:uid="{00000000-0005-0000-0000-0000DA290000}"/>
    <cellStyle name="40% - Accent1 2 2 2 5 2" xfId="12050" xr:uid="{00000000-0005-0000-0000-0000DB290000}"/>
    <cellStyle name="40% - Accent1 2 2 2 5 2 2" xfId="25765" xr:uid="{00000000-0005-0000-0000-0000DC290000}"/>
    <cellStyle name="40% - Accent1 2 2 2 5 3" xfId="20050" xr:uid="{00000000-0005-0000-0000-0000DD290000}"/>
    <cellStyle name="40% - Accent1 2 2 2 6" xfId="2727" xr:uid="{00000000-0005-0000-0000-0000DE290000}"/>
    <cellStyle name="40% - Accent1 2 2 2 6 2" xfId="12485" xr:uid="{00000000-0005-0000-0000-0000DF290000}"/>
    <cellStyle name="40% - Accent1 2 2 2 6 2 2" xfId="26197" xr:uid="{00000000-0005-0000-0000-0000E0290000}"/>
    <cellStyle name="40% - Accent1 2 2 2 6 3" xfId="20051" xr:uid="{00000000-0005-0000-0000-0000E1290000}"/>
    <cellStyle name="40% - Accent1 2 2 2 7" xfId="2728" xr:uid="{00000000-0005-0000-0000-0000E2290000}"/>
    <cellStyle name="40% - Accent1 2 2 2 7 2" xfId="13625" xr:uid="{00000000-0005-0000-0000-0000E3290000}"/>
    <cellStyle name="40% - Accent1 2 2 2 7 2 2" xfId="27174" xr:uid="{00000000-0005-0000-0000-0000E4290000}"/>
    <cellStyle name="40% - Accent1 2 2 2 7 3" xfId="20052" xr:uid="{00000000-0005-0000-0000-0000E5290000}"/>
    <cellStyle name="40% - Accent1 2 2 2 8" xfId="2729" xr:uid="{00000000-0005-0000-0000-0000E6290000}"/>
    <cellStyle name="40% - Accent1 2 2 2 8 2" xfId="14206" xr:uid="{00000000-0005-0000-0000-0000E7290000}"/>
    <cellStyle name="40% - Accent1 2 2 2 8 2 2" xfId="27755" xr:uid="{00000000-0005-0000-0000-0000E8290000}"/>
    <cellStyle name="40% - Accent1 2 2 2 8 3" xfId="20053" xr:uid="{00000000-0005-0000-0000-0000E9290000}"/>
    <cellStyle name="40% - Accent1 2 2 2 9" xfId="2730" xr:uid="{00000000-0005-0000-0000-0000EA290000}"/>
    <cellStyle name="40% - Accent1 2 2 2 9 2" xfId="15076" xr:uid="{00000000-0005-0000-0000-0000EB290000}"/>
    <cellStyle name="40% - Accent1 2 2 2 9 2 2" xfId="28625" xr:uid="{00000000-0005-0000-0000-0000EC290000}"/>
    <cellStyle name="40% - Accent1 2 2 2 9 3" xfId="20054" xr:uid="{00000000-0005-0000-0000-0000ED290000}"/>
    <cellStyle name="40% - Accent1 2 2 3" xfId="2731" xr:uid="{00000000-0005-0000-0000-0000EE290000}"/>
    <cellStyle name="40% - Accent1 2 2 3 10" xfId="9214" xr:uid="{00000000-0005-0000-0000-0000EF290000}"/>
    <cellStyle name="40% - Accent1 2 2 3 10 2" xfId="23689" xr:uid="{00000000-0005-0000-0000-0000F0290000}"/>
    <cellStyle name="40% - Accent1 2 2 3 11" xfId="20055" xr:uid="{00000000-0005-0000-0000-0000F1290000}"/>
    <cellStyle name="40% - Accent1 2 2 3 2" xfId="2732" xr:uid="{00000000-0005-0000-0000-0000F2290000}"/>
    <cellStyle name="40% - Accent1 2 2 3 2 2" xfId="2733" xr:uid="{00000000-0005-0000-0000-0000F3290000}"/>
    <cellStyle name="40% - Accent1 2 2 3 2 2 2" xfId="10941" xr:uid="{00000000-0005-0000-0000-0000F4290000}"/>
    <cellStyle name="40% - Accent1 2 2 3 2 2 2 2" xfId="24883" xr:uid="{00000000-0005-0000-0000-0000F5290000}"/>
    <cellStyle name="40% - Accent1 2 2 3 2 2 3" xfId="20057" xr:uid="{00000000-0005-0000-0000-0000F6290000}"/>
    <cellStyle name="40% - Accent1 2 2 3 2 3" xfId="2734" xr:uid="{00000000-0005-0000-0000-0000F7290000}"/>
    <cellStyle name="40% - Accent1 2 2 3 2 3 2" xfId="12659" xr:uid="{00000000-0005-0000-0000-0000F8290000}"/>
    <cellStyle name="40% - Accent1 2 2 3 2 3 2 2" xfId="26371" xr:uid="{00000000-0005-0000-0000-0000F9290000}"/>
    <cellStyle name="40% - Accent1 2 2 3 2 3 3" xfId="20058" xr:uid="{00000000-0005-0000-0000-0000FA290000}"/>
    <cellStyle name="40% - Accent1 2 2 3 2 4" xfId="2735" xr:uid="{00000000-0005-0000-0000-0000FB290000}"/>
    <cellStyle name="40% - Accent1 2 2 3 2 4 2" xfId="15083" xr:uid="{00000000-0005-0000-0000-0000FC290000}"/>
    <cellStyle name="40% - Accent1 2 2 3 2 4 2 2" xfId="28632" xr:uid="{00000000-0005-0000-0000-0000FD290000}"/>
    <cellStyle name="40% - Accent1 2 2 3 2 4 3" xfId="20059" xr:uid="{00000000-0005-0000-0000-0000FE290000}"/>
    <cellStyle name="40% - Accent1 2 2 3 2 5" xfId="2736" xr:uid="{00000000-0005-0000-0000-0000FF290000}"/>
    <cellStyle name="40% - Accent1 2 2 3 2 5 2" xfId="16819" xr:uid="{00000000-0005-0000-0000-0000002A0000}"/>
    <cellStyle name="40% - Accent1 2 2 3 2 5 2 2" xfId="30226" xr:uid="{00000000-0005-0000-0000-0000012A0000}"/>
    <cellStyle name="40% - Accent1 2 2 3 2 5 3" xfId="20060" xr:uid="{00000000-0005-0000-0000-0000022A0000}"/>
    <cellStyle name="40% - Accent1 2 2 3 2 6" xfId="9215" xr:uid="{00000000-0005-0000-0000-0000032A0000}"/>
    <cellStyle name="40% - Accent1 2 2 3 2 6 2" xfId="23690" xr:uid="{00000000-0005-0000-0000-0000042A0000}"/>
    <cellStyle name="40% - Accent1 2 2 3 2 7" xfId="20056" xr:uid="{00000000-0005-0000-0000-0000052A0000}"/>
    <cellStyle name="40% - Accent1 2 2 3 3" xfId="2737" xr:uid="{00000000-0005-0000-0000-0000062A0000}"/>
    <cellStyle name="40% - Accent1 2 2 3 3 2" xfId="2738" xr:uid="{00000000-0005-0000-0000-0000072A0000}"/>
    <cellStyle name="40% - Accent1 2 2 3 3 2 2" xfId="15084" xr:uid="{00000000-0005-0000-0000-0000082A0000}"/>
    <cellStyle name="40% - Accent1 2 2 3 3 2 2 2" xfId="28633" xr:uid="{00000000-0005-0000-0000-0000092A0000}"/>
    <cellStyle name="40% - Accent1 2 2 3 3 2 3" xfId="20062" xr:uid="{00000000-0005-0000-0000-00000A2A0000}"/>
    <cellStyle name="40% - Accent1 2 2 3 3 3" xfId="10940" xr:uid="{00000000-0005-0000-0000-00000B2A0000}"/>
    <cellStyle name="40% - Accent1 2 2 3 3 3 2" xfId="24882" xr:uid="{00000000-0005-0000-0000-00000C2A0000}"/>
    <cellStyle name="40% - Accent1 2 2 3 3 4" xfId="20061" xr:uid="{00000000-0005-0000-0000-00000D2A0000}"/>
    <cellStyle name="40% - Accent1 2 2 3 4" xfId="2739" xr:uid="{00000000-0005-0000-0000-00000E2A0000}"/>
    <cellStyle name="40% - Accent1 2 2 3 4 2" xfId="12207" xr:uid="{00000000-0005-0000-0000-00000F2A0000}"/>
    <cellStyle name="40% - Accent1 2 2 3 4 2 2" xfId="25919" xr:uid="{00000000-0005-0000-0000-0000102A0000}"/>
    <cellStyle name="40% - Accent1 2 2 3 4 3" xfId="20063" xr:uid="{00000000-0005-0000-0000-0000112A0000}"/>
    <cellStyle name="40% - Accent1 2 2 3 5" xfId="2740" xr:uid="{00000000-0005-0000-0000-0000122A0000}"/>
    <cellStyle name="40% - Accent1 2 2 3 5 2" xfId="11790" xr:uid="{00000000-0005-0000-0000-0000132A0000}"/>
    <cellStyle name="40% - Accent1 2 2 3 5 2 2" xfId="25505" xr:uid="{00000000-0005-0000-0000-0000142A0000}"/>
    <cellStyle name="40% - Accent1 2 2 3 5 3" xfId="20064" xr:uid="{00000000-0005-0000-0000-0000152A0000}"/>
    <cellStyle name="40% - Accent1 2 2 3 6" xfId="2741" xr:uid="{00000000-0005-0000-0000-0000162A0000}"/>
    <cellStyle name="40% - Accent1 2 2 3 6 2" xfId="13771" xr:uid="{00000000-0005-0000-0000-0000172A0000}"/>
    <cellStyle name="40% - Accent1 2 2 3 6 2 2" xfId="27320" xr:uid="{00000000-0005-0000-0000-0000182A0000}"/>
    <cellStyle name="40% - Accent1 2 2 3 6 3" xfId="20065" xr:uid="{00000000-0005-0000-0000-0000192A0000}"/>
    <cellStyle name="40% - Accent1 2 2 3 7" xfId="2742" xr:uid="{00000000-0005-0000-0000-00001A2A0000}"/>
    <cellStyle name="40% - Accent1 2 2 3 7 2" xfId="14352" xr:uid="{00000000-0005-0000-0000-00001B2A0000}"/>
    <cellStyle name="40% - Accent1 2 2 3 7 2 2" xfId="27901" xr:uid="{00000000-0005-0000-0000-00001C2A0000}"/>
    <cellStyle name="40% - Accent1 2 2 3 7 3" xfId="20066" xr:uid="{00000000-0005-0000-0000-00001D2A0000}"/>
    <cellStyle name="40% - Accent1 2 2 3 8" xfId="2743" xr:uid="{00000000-0005-0000-0000-00001E2A0000}"/>
    <cellStyle name="40% - Accent1 2 2 3 8 2" xfId="15082" xr:uid="{00000000-0005-0000-0000-00001F2A0000}"/>
    <cellStyle name="40% - Accent1 2 2 3 8 2 2" xfId="28631" xr:uid="{00000000-0005-0000-0000-0000202A0000}"/>
    <cellStyle name="40% - Accent1 2 2 3 8 3" xfId="20067" xr:uid="{00000000-0005-0000-0000-0000212A0000}"/>
    <cellStyle name="40% - Accent1 2 2 3 9" xfId="2744" xr:uid="{00000000-0005-0000-0000-0000222A0000}"/>
    <cellStyle name="40% - Accent1 2 2 3 9 2" xfId="16238" xr:uid="{00000000-0005-0000-0000-0000232A0000}"/>
    <cellStyle name="40% - Accent1 2 2 3 9 2 2" xfId="29645" xr:uid="{00000000-0005-0000-0000-0000242A0000}"/>
    <cellStyle name="40% - Accent1 2 2 3 9 3" xfId="20068" xr:uid="{00000000-0005-0000-0000-0000252A0000}"/>
    <cellStyle name="40% - Accent1 2 2 4" xfId="2745" xr:uid="{00000000-0005-0000-0000-0000262A0000}"/>
    <cellStyle name="40% - Accent1 2 2 4 2" xfId="2746" xr:uid="{00000000-0005-0000-0000-0000272A0000}"/>
    <cellStyle name="40% - Accent1 2 2 4 2 2" xfId="10942" xr:uid="{00000000-0005-0000-0000-0000282A0000}"/>
    <cellStyle name="40% - Accent1 2 2 4 2 2 2" xfId="24884" xr:uid="{00000000-0005-0000-0000-0000292A0000}"/>
    <cellStyle name="40% - Accent1 2 2 4 2 3" xfId="20070" xr:uid="{00000000-0005-0000-0000-00002A2A0000}"/>
    <cellStyle name="40% - Accent1 2 2 4 3" xfId="2747" xr:uid="{00000000-0005-0000-0000-00002B2A0000}"/>
    <cellStyle name="40% - Accent1 2 2 4 3 2" xfId="11869" xr:uid="{00000000-0005-0000-0000-00002C2A0000}"/>
    <cellStyle name="40% - Accent1 2 2 4 3 2 2" xfId="25584" xr:uid="{00000000-0005-0000-0000-00002D2A0000}"/>
    <cellStyle name="40% - Accent1 2 2 4 3 3" xfId="20071" xr:uid="{00000000-0005-0000-0000-00002E2A0000}"/>
    <cellStyle name="40% - Accent1 2 2 4 4" xfId="2748" xr:uid="{00000000-0005-0000-0000-00002F2A0000}"/>
    <cellStyle name="40% - Accent1 2 2 4 4 2" xfId="15085" xr:uid="{00000000-0005-0000-0000-0000302A0000}"/>
    <cellStyle name="40% - Accent1 2 2 4 4 2 2" xfId="28634" xr:uid="{00000000-0005-0000-0000-0000312A0000}"/>
    <cellStyle name="40% - Accent1 2 2 4 4 3" xfId="20072" xr:uid="{00000000-0005-0000-0000-0000322A0000}"/>
    <cellStyle name="40% - Accent1 2 2 4 5" xfId="2749" xr:uid="{00000000-0005-0000-0000-0000332A0000}"/>
    <cellStyle name="40% - Accent1 2 2 4 5 2" xfId="17166" xr:uid="{00000000-0005-0000-0000-0000342A0000}"/>
    <cellStyle name="40% - Accent1 2 2 4 5 2 2" xfId="30525" xr:uid="{00000000-0005-0000-0000-0000352A0000}"/>
    <cellStyle name="40% - Accent1 2 2 4 5 3" xfId="20073" xr:uid="{00000000-0005-0000-0000-0000362A0000}"/>
    <cellStyle name="40% - Accent1 2 2 4 6" xfId="9216" xr:uid="{00000000-0005-0000-0000-0000372A0000}"/>
    <cellStyle name="40% - Accent1 2 2 4 6 2" xfId="23691" xr:uid="{00000000-0005-0000-0000-0000382A0000}"/>
    <cellStyle name="40% - Accent1 2 2 4 7" xfId="20069" xr:uid="{00000000-0005-0000-0000-0000392A0000}"/>
    <cellStyle name="40% - Accent1 2 2 5" xfId="2750" xr:uid="{00000000-0005-0000-0000-00003A2A0000}"/>
    <cellStyle name="40% - Accent1 2 2 5 2" xfId="2751" xr:uid="{00000000-0005-0000-0000-00003B2A0000}"/>
    <cellStyle name="40% - Accent1 2 2 5 2 2" xfId="15086" xr:uid="{00000000-0005-0000-0000-00003C2A0000}"/>
    <cellStyle name="40% - Accent1 2 2 5 2 2 2" xfId="28635" xr:uid="{00000000-0005-0000-0000-00003D2A0000}"/>
    <cellStyle name="40% - Accent1 2 2 5 2 3" xfId="20075" xr:uid="{00000000-0005-0000-0000-00003E2A0000}"/>
    <cellStyle name="40% - Accent1 2 2 5 3" xfId="2752" xr:uid="{00000000-0005-0000-0000-00003F2A0000}"/>
    <cellStyle name="40% - Accent1 2 2 5 3 2" xfId="17255" xr:uid="{00000000-0005-0000-0000-0000402A0000}"/>
    <cellStyle name="40% - Accent1 2 2 5 3 2 2" xfId="30614" xr:uid="{00000000-0005-0000-0000-0000412A0000}"/>
    <cellStyle name="40% - Accent1 2 2 5 3 3" xfId="20076" xr:uid="{00000000-0005-0000-0000-0000422A0000}"/>
    <cellStyle name="40% - Accent1 2 2 5 4" xfId="10935" xr:uid="{00000000-0005-0000-0000-0000432A0000}"/>
    <cellStyle name="40% - Accent1 2 2 5 4 2" xfId="24877" xr:uid="{00000000-0005-0000-0000-0000442A0000}"/>
    <cellStyle name="40% - Accent1 2 2 5 5" xfId="20074" xr:uid="{00000000-0005-0000-0000-0000452A0000}"/>
    <cellStyle name="40% - Accent1 2 2 6" xfId="2753" xr:uid="{00000000-0005-0000-0000-0000462A0000}"/>
    <cellStyle name="40% - Accent1 2 2 6 2" xfId="2754" xr:uid="{00000000-0005-0000-0000-0000472A0000}"/>
    <cellStyle name="40% - Accent1 2 2 6 2 2" xfId="16530" xr:uid="{00000000-0005-0000-0000-0000482A0000}"/>
    <cellStyle name="40% - Accent1 2 2 6 2 2 2" xfId="29937" xr:uid="{00000000-0005-0000-0000-0000492A0000}"/>
    <cellStyle name="40% - Accent1 2 2 6 2 3" xfId="20078" xr:uid="{00000000-0005-0000-0000-00004A2A0000}"/>
    <cellStyle name="40% - Accent1 2 2 6 3" xfId="11905" xr:uid="{00000000-0005-0000-0000-00004B2A0000}"/>
    <cellStyle name="40% - Accent1 2 2 6 3 2" xfId="25620" xr:uid="{00000000-0005-0000-0000-00004C2A0000}"/>
    <cellStyle name="40% - Accent1 2 2 6 4" xfId="20077" xr:uid="{00000000-0005-0000-0000-00004D2A0000}"/>
    <cellStyle name="40% - Accent1 2 2 7" xfId="2755" xr:uid="{00000000-0005-0000-0000-00004E2A0000}"/>
    <cellStyle name="40% - Accent1 2 2 7 2" xfId="11870" xr:uid="{00000000-0005-0000-0000-00004F2A0000}"/>
    <cellStyle name="40% - Accent1 2 2 7 2 2" xfId="25585" xr:uid="{00000000-0005-0000-0000-0000502A0000}"/>
    <cellStyle name="40% - Accent1 2 2 7 3" xfId="20079" xr:uid="{00000000-0005-0000-0000-0000512A0000}"/>
    <cellStyle name="40% - Accent1 2 2 8" xfId="2756" xr:uid="{00000000-0005-0000-0000-0000522A0000}"/>
    <cellStyle name="40% - Accent1 2 2 8 2" xfId="13482" xr:uid="{00000000-0005-0000-0000-0000532A0000}"/>
    <cellStyle name="40% - Accent1 2 2 8 2 2" xfId="27031" xr:uid="{00000000-0005-0000-0000-0000542A0000}"/>
    <cellStyle name="40% - Accent1 2 2 8 3" xfId="20080" xr:uid="{00000000-0005-0000-0000-0000552A0000}"/>
    <cellStyle name="40% - Accent1 2 2 9" xfId="2757" xr:uid="{00000000-0005-0000-0000-0000562A0000}"/>
    <cellStyle name="40% - Accent1 2 2 9 2" xfId="14063" xr:uid="{00000000-0005-0000-0000-0000572A0000}"/>
    <cellStyle name="40% - Accent1 2 2 9 2 2" xfId="27612" xr:uid="{00000000-0005-0000-0000-0000582A0000}"/>
    <cellStyle name="40% - Accent1 2 2 9 3" xfId="20081" xr:uid="{00000000-0005-0000-0000-0000592A0000}"/>
    <cellStyle name="40% - Accent1 2 3" xfId="2758" xr:uid="{00000000-0005-0000-0000-00005A2A0000}"/>
    <cellStyle name="40% - Accent1 2 3 10" xfId="2759" xr:uid="{00000000-0005-0000-0000-00005B2A0000}"/>
    <cellStyle name="40% - Accent1 2 3 10 2" xfId="16046" xr:uid="{00000000-0005-0000-0000-00005C2A0000}"/>
    <cellStyle name="40% - Accent1 2 3 10 2 2" xfId="29453" xr:uid="{00000000-0005-0000-0000-00005D2A0000}"/>
    <cellStyle name="40% - Accent1 2 3 10 3" xfId="20083" xr:uid="{00000000-0005-0000-0000-00005E2A0000}"/>
    <cellStyle name="40% - Accent1 2 3 11" xfId="9217" xr:uid="{00000000-0005-0000-0000-00005F2A0000}"/>
    <cellStyle name="40% - Accent1 2 3 11 2" xfId="23692" xr:uid="{00000000-0005-0000-0000-0000602A0000}"/>
    <cellStyle name="40% - Accent1 2 3 12" xfId="20082" xr:uid="{00000000-0005-0000-0000-0000612A0000}"/>
    <cellStyle name="40% - Accent1 2 3 2" xfId="2760" xr:uid="{00000000-0005-0000-0000-0000622A0000}"/>
    <cellStyle name="40% - Accent1 2 3 2 10" xfId="9218" xr:uid="{00000000-0005-0000-0000-0000632A0000}"/>
    <cellStyle name="40% - Accent1 2 3 2 10 2" xfId="23693" xr:uid="{00000000-0005-0000-0000-0000642A0000}"/>
    <cellStyle name="40% - Accent1 2 3 2 11" xfId="20084" xr:uid="{00000000-0005-0000-0000-0000652A0000}"/>
    <cellStyle name="40% - Accent1 2 3 2 2" xfId="2761" xr:uid="{00000000-0005-0000-0000-0000662A0000}"/>
    <cellStyle name="40% - Accent1 2 3 2 2 2" xfId="2762" xr:uid="{00000000-0005-0000-0000-0000672A0000}"/>
    <cellStyle name="40% - Accent1 2 3 2 2 2 2" xfId="10945" xr:uid="{00000000-0005-0000-0000-0000682A0000}"/>
    <cellStyle name="40% - Accent1 2 3 2 2 2 2 2" xfId="24887" xr:uid="{00000000-0005-0000-0000-0000692A0000}"/>
    <cellStyle name="40% - Accent1 2 3 2 2 2 3" xfId="20086" xr:uid="{00000000-0005-0000-0000-00006A2A0000}"/>
    <cellStyle name="40% - Accent1 2 3 2 2 3" xfId="2763" xr:uid="{00000000-0005-0000-0000-00006B2A0000}"/>
    <cellStyle name="40% - Accent1 2 3 2 2 3 2" xfId="11792" xr:uid="{00000000-0005-0000-0000-00006C2A0000}"/>
    <cellStyle name="40% - Accent1 2 3 2 2 3 2 2" xfId="25507" xr:uid="{00000000-0005-0000-0000-00006D2A0000}"/>
    <cellStyle name="40% - Accent1 2 3 2 2 3 3" xfId="20087" xr:uid="{00000000-0005-0000-0000-00006E2A0000}"/>
    <cellStyle name="40% - Accent1 2 3 2 2 4" xfId="2764" xr:uid="{00000000-0005-0000-0000-00006F2A0000}"/>
    <cellStyle name="40% - Accent1 2 3 2 2 4 2" xfId="15089" xr:uid="{00000000-0005-0000-0000-0000702A0000}"/>
    <cellStyle name="40% - Accent1 2 3 2 2 4 2 2" xfId="28638" xr:uid="{00000000-0005-0000-0000-0000712A0000}"/>
    <cellStyle name="40% - Accent1 2 3 2 2 4 3" xfId="20088" xr:uid="{00000000-0005-0000-0000-0000722A0000}"/>
    <cellStyle name="40% - Accent1 2 3 2 2 5" xfId="2765" xr:uid="{00000000-0005-0000-0000-0000732A0000}"/>
    <cellStyle name="40% - Accent1 2 3 2 2 5 2" xfId="16916" xr:uid="{00000000-0005-0000-0000-0000742A0000}"/>
    <cellStyle name="40% - Accent1 2 3 2 2 5 2 2" xfId="30323" xr:uid="{00000000-0005-0000-0000-0000752A0000}"/>
    <cellStyle name="40% - Accent1 2 3 2 2 5 3" xfId="20089" xr:uid="{00000000-0005-0000-0000-0000762A0000}"/>
    <cellStyle name="40% - Accent1 2 3 2 2 6" xfId="9219" xr:uid="{00000000-0005-0000-0000-0000772A0000}"/>
    <cellStyle name="40% - Accent1 2 3 2 2 6 2" xfId="23694" xr:uid="{00000000-0005-0000-0000-0000782A0000}"/>
    <cellStyle name="40% - Accent1 2 3 2 2 7" xfId="20085" xr:uid="{00000000-0005-0000-0000-0000792A0000}"/>
    <cellStyle name="40% - Accent1 2 3 2 3" xfId="2766" xr:uid="{00000000-0005-0000-0000-00007A2A0000}"/>
    <cellStyle name="40% - Accent1 2 3 2 3 2" xfId="2767" xr:uid="{00000000-0005-0000-0000-00007B2A0000}"/>
    <cellStyle name="40% - Accent1 2 3 2 3 2 2" xfId="15090" xr:uid="{00000000-0005-0000-0000-00007C2A0000}"/>
    <cellStyle name="40% - Accent1 2 3 2 3 2 2 2" xfId="28639" xr:uid="{00000000-0005-0000-0000-00007D2A0000}"/>
    <cellStyle name="40% - Accent1 2 3 2 3 2 3" xfId="20091" xr:uid="{00000000-0005-0000-0000-00007E2A0000}"/>
    <cellStyle name="40% - Accent1 2 3 2 3 3" xfId="10944" xr:uid="{00000000-0005-0000-0000-00007F2A0000}"/>
    <cellStyle name="40% - Accent1 2 3 2 3 3 2" xfId="24886" xr:uid="{00000000-0005-0000-0000-0000802A0000}"/>
    <cellStyle name="40% - Accent1 2 3 2 3 4" xfId="20090" xr:uid="{00000000-0005-0000-0000-0000812A0000}"/>
    <cellStyle name="40% - Accent1 2 3 2 4" xfId="2768" xr:uid="{00000000-0005-0000-0000-0000822A0000}"/>
    <cellStyle name="40% - Accent1 2 3 2 4 2" xfId="12304" xr:uid="{00000000-0005-0000-0000-0000832A0000}"/>
    <cellStyle name="40% - Accent1 2 3 2 4 2 2" xfId="26016" xr:uid="{00000000-0005-0000-0000-0000842A0000}"/>
    <cellStyle name="40% - Accent1 2 3 2 4 3" xfId="20092" xr:uid="{00000000-0005-0000-0000-0000852A0000}"/>
    <cellStyle name="40% - Accent1 2 3 2 5" xfId="2769" xr:uid="{00000000-0005-0000-0000-0000862A0000}"/>
    <cellStyle name="40% - Accent1 2 3 2 5 2" xfId="12616" xr:uid="{00000000-0005-0000-0000-0000872A0000}"/>
    <cellStyle name="40% - Accent1 2 3 2 5 2 2" xfId="26328" xr:uid="{00000000-0005-0000-0000-0000882A0000}"/>
    <cellStyle name="40% - Accent1 2 3 2 5 3" xfId="20093" xr:uid="{00000000-0005-0000-0000-0000892A0000}"/>
    <cellStyle name="40% - Accent1 2 3 2 6" xfId="2770" xr:uid="{00000000-0005-0000-0000-00008A2A0000}"/>
    <cellStyle name="40% - Accent1 2 3 2 6 2" xfId="13868" xr:uid="{00000000-0005-0000-0000-00008B2A0000}"/>
    <cellStyle name="40% - Accent1 2 3 2 6 2 2" xfId="27417" xr:uid="{00000000-0005-0000-0000-00008C2A0000}"/>
    <cellStyle name="40% - Accent1 2 3 2 6 3" xfId="20094" xr:uid="{00000000-0005-0000-0000-00008D2A0000}"/>
    <cellStyle name="40% - Accent1 2 3 2 7" xfId="2771" xr:uid="{00000000-0005-0000-0000-00008E2A0000}"/>
    <cellStyle name="40% - Accent1 2 3 2 7 2" xfId="14449" xr:uid="{00000000-0005-0000-0000-00008F2A0000}"/>
    <cellStyle name="40% - Accent1 2 3 2 7 2 2" xfId="27998" xr:uid="{00000000-0005-0000-0000-0000902A0000}"/>
    <cellStyle name="40% - Accent1 2 3 2 7 3" xfId="20095" xr:uid="{00000000-0005-0000-0000-0000912A0000}"/>
    <cellStyle name="40% - Accent1 2 3 2 8" xfId="2772" xr:uid="{00000000-0005-0000-0000-0000922A0000}"/>
    <cellStyle name="40% - Accent1 2 3 2 8 2" xfId="15088" xr:uid="{00000000-0005-0000-0000-0000932A0000}"/>
    <cellStyle name="40% - Accent1 2 3 2 8 2 2" xfId="28637" xr:uid="{00000000-0005-0000-0000-0000942A0000}"/>
    <cellStyle name="40% - Accent1 2 3 2 8 3" xfId="20096" xr:uid="{00000000-0005-0000-0000-0000952A0000}"/>
    <cellStyle name="40% - Accent1 2 3 2 9" xfId="2773" xr:uid="{00000000-0005-0000-0000-0000962A0000}"/>
    <cellStyle name="40% - Accent1 2 3 2 9 2" xfId="16335" xr:uid="{00000000-0005-0000-0000-0000972A0000}"/>
    <cellStyle name="40% - Accent1 2 3 2 9 2 2" xfId="29742" xr:uid="{00000000-0005-0000-0000-0000982A0000}"/>
    <cellStyle name="40% - Accent1 2 3 2 9 3" xfId="20097" xr:uid="{00000000-0005-0000-0000-0000992A0000}"/>
    <cellStyle name="40% - Accent1 2 3 3" xfId="2774" xr:uid="{00000000-0005-0000-0000-00009A2A0000}"/>
    <cellStyle name="40% - Accent1 2 3 3 2" xfId="2775" xr:uid="{00000000-0005-0000-0000-00009B2A0000}"/>
    <cellStyle name="40% - Accent1 2 3 3 2 2" xfId="10946" xr:uid="{00000000-0005-0000-0000-00009C2A0000}"/>
    <cellStyle name="40% - Accent1 2 3 3 2 2 2" xfId="24888" xr:uid="{00000000-0005-0000-0000-00009D2A0000}"/>
    <cellStyle name="40% - Accent1 2 3 3 2 3" xfId="20099" xr:uid="{00000000-0005-0000-0000-00009E2A0000}"/>
    <cellStyle name="40% - Accent1 2 3 3 3" xfId="2776" xr:uid="{00000000-0005-0000-0000-00009F2A0000}"/>
    <cellStyle name="40% - Accent1 2 3 3 3 2" xfId="12587" xr:uid="{00000000-0005-0000-0000-0000A02A0000}"/>
    <cellStyle name="40% - Accent1 2 3 3 3 2 2" xfId="26299" xr:uid="{00000000-0005-0000-0000-0000A12A0000}"/>
    <cellStyle name="40% - Accent1 2 3 3 3 3" xfId="20100" xr:uid="{00000000-0005-0000-0000-0000A22A0000}"/>
    <cellStyle name="40% - Accent1 2 3 3 4" xfId="2777" xr:uid="{00000000-0005-0000-0000-0000A32A0000}"/>
    <cellStyle name="40% - Accent1 2 3 3 4 2" xfId="15091" xr:uid="{00000000-0005-0000-0000-0000A42A0000}"/>
    <cellStyle name="40% - Accent1 2 3 3 4 2 2" xfId="28640" xr:uid="{00000000-0005-0000-0000-0000A52A0000}"/>
    <cellStyle name="40% - Accent1 2 3 3 4 3" xfId="20101" xr:uid="{00000000-0005-0000-0000-0000A62A0000}"/>
    <cellStyle name="40% - Accent1 2 3 3 5" xfId="2778" xr:uid="{00000000-0005-0000-0000-0000A72A0000}"/>
    <cellStyle name="40% - Accent1 2 3 3 5 2" xfId="16627" xr:uid="{00000000-0005-0000-0000-0000A82A0000}"/>
    <cellStyle name="40% - Accent1 2 3 3 5 2 2" xfId="30034" xr:uid="{00000000-0005-0000-0000-0000A92A0000}"/>
    <cellStyle name="40% - Accent1 2 3 3 5 3" xfId="20102" xr:uid="{00000000-0005-0000-0000-0000AA2A0000}"/>
    <cellStyle name="40% - Accent1 2 3 3 6" xfId="9220" xr:uid="{00000000-0005-0000-0000-0000AB2A0000}"/>
    <cellStyle name="40% - Accent1 2 3 3 6 2" xfId="23695" xr:uid="{00000000-0005-0000-0000-0000AC2A0000}"/>
    <cellStyle name="40% - Accent1 2 3 3 7" xfId="20098" xr:uid="{00000000-0005-0000-0000-0000AD2A0000}"/>
    <cellStyle name="40% - Accent1 2 3 4" xfId="2779" xr:uid="{00000000-0005-0000-0000-0000AE2A0000}"/>
    <cellStyle name="40% - Accent1 2 3 4 2" xfId="2780" xr:uid="{00000000-0005-0000-0000-0000AF2A0000}"/>
    <cellStyle name="40% - Accent1 2 3 4 2 2" xfId="15092" xr:uid="{00000000-0005-0000-0000-0000B02A0000}"/>
    <cellStyle name="40% - Accent1 2 3 4 2 2 2" xfId="28641" xr:uid="{00000000-0005-0000-0000-0000B12A0000}"/>
    <cellStyle name="40% - Accent1 2 3 4 2 3" xfId="20104" xr:uid="{00000000-0005-0000-0000-0000B22A0000}"/>
    <cellStyle name="40% - Accent1 2 3 4 3" xfId="10943" xr:uid="{00000000-0005-0000-0000-0000B32A0000}"/>
    <cellStyle name="40% - Accent1 2 3 4 3 2" xfId="24885" xr:uid="{00000000-0005-0000-0000-0000B42A0000}"/>
    <cellStyle name="40% - Accent1 2 3 4 4" xfId="20103" xr:uid="{00000000-0005-0000-0000-0000B52A0000}"/>
    <cellStyle name="40% - Accent1 2 3 5" xfId="2781" xr:uid="{00000000-0005-0000-0000-0000B62A0000}"/>
    <cellStyle name="40% - Accent1 2 3 5 2" xfId="12004" xr:uid="{00000000-0005-0000-0000-0000B72A0000}"/>
    <cellStyle name="40% - Accent1 2 3 5 2 2" xfId="25719" xr:uid="{00000000-0005-0000-0000-0000B82A0000}"/>
    <cellStyle name="40% - Accent1 2 3 5 3" xfId="20105" xr:uid="{00000000-0005-0000-0000-0000B92A0000}"/>
    <cellStyle name="40% - Accent1 2 3 6" xfId="2782" xr:uid="{00000000-0005-0000-0000-0000BA2A0000}"/>
    <cellStyle name="40% - Accent1 2 3 6 2" xfId="12109" xr:uid="{00000000-0005-0000-0000-0000BB2A0000}"/>
    <cellStyle name="40% - Accent1 2 3 6 2 2" xfId="25821" xr:uid="{00000000-0005-0000-0000-0000BC2A0000}"/>
    <cellStyle name="40% - Accent1 2 3 6 3" xfId="20106" xr:uid="{00000000-0005-0000-0000-0000BD2A0000}"/>
    <cellStyle name="40% - Accent1 2 3 7" xfId="2783" xr:uid="{00000000-0005-0000-0000-0000BE2A0000}"/>
    <cellStyle name="40% - Accent1 2 3 7 2" xfId="13579" xr:uid="{00000000-0005-0000-0000-0000BF2A0000}"/>
    <cellStyle name="40% - Accent1 2 3 7 2 2" xfId="27128" xr:uid="{00000000-0005-0000-0000-0000C02A0000}"/>
    <cellStyle name="40% - Accent1 2 3 7 3" xfId="20107" xr:uid="{00000000-0005-0000-0000-0000C12A0000}"/>
    <cellStyle name="40% - Accent1 2 3 8" xfId="2784" xr:uid="{00000000-0005-0000-0000-0000C22A0000}"/>
    <cellStyle name="40% - Accent1 2 3 8 2" xfId="14160" xr:uid="{00000000-0005-0000-0000-0000C32A0000}"/>
    <cellStyle name="40% - Accent1 2 3 8 2 2" xfId="27709" xr:uid="{00000000-0005-0000-0000-0000C42A0000}"/>
    <cellStyle name="40% - Accent1 2 3 8 3" xfId="20108" xr:uid="{00000000-0005-0000-0000-0000C52A0000}"/>
    <cellStyle name="40% - Accent1 2 3 9" xfId="2785" xr:uid="{00000000-0005-0000-0000-0000C62A0000}"/>
    <cellStyle name="40% - Accent1 2 3 9 2" xfId="15087" xr:uid="{00000000-0005-0000-0000-0000C72A0000}"/>
    <cellStyle name="40% - Accent1 2 3 9 2 2" xfId="28636" xr:uid="{00000000-0005-0000-0000-0000C82A0000}"/>
    <cellStyle name="40% - Accent1 2 3 9 3" xfId="20109" xr:uid="{00000000-0005-0000-0000-0000C92A0000}"/>
    <cellStyle name="40% - Accent1 2 4" xfId="2786" xr:uid="{00000000-0005-0000-0000-0000CA2A0000}"/>
    <cellStyle name="40% - Accent1 2 4 10" xfId="9221" xr:uid="{00000000-0005-0000-0000-0000CB2A0000}"/>
    <cellStyle name="40% - Accent1 2 4 10 2" xfId="23696" xr:uid="{00000000-0005-0000-0000-0000CC2A0000}"/>
    <cellStyle name="40% - Accent1 2 4 11" xfId="20110" xr:uid="{00000000-0005-0000-0000-0000CD2A0000}"/>
    <cellStyle name="40% - Accent1 2 4 2" xfId="2787" xr:uid="{00000000-0005-0000-0000-0000CE2A0000}"/>
    <cellStyle name="40% - Accent1 2 4 2 2" xfId="2788" xr:uid="{00000000-0005-0000-0000-0000CF2A0000}"/>
    <cellStyle name="40% - Accent1 2 4 2 2 2" xfId="10948" xr:uid="{00000000-0005-0000-0000-0000D02A0000}"/>
    <cellStyle name="40% - Accent1 2 4 2 2 2 2" xfId="24890" xr:uid="{00000000-0005-0000-0000-0000D12A0000}"/>
    <cellStyle name="40% - Accent1 2 4 2 2 3" xfId="20112" xr:uid="{00000000-0005-0000-0000-0000D22A0000}"/>
    <cellStyle name="40% - Accent1 2 4 2 3" xfId="2789" xr:uid="{00000000-0005-0000-0000-0000D32A0000}"/>
    <cellStyle name="40% - Accent1 2 4 2 3 2" xfId="12599" xr:uid="{00000000-0005-0000-0000-0000D42A0000}"/>
    <cellStyle name="40% - Accent1 2 4 2 3 2 2" xfId="26311" xr:uid="{00000000-0005-0000-0000-0000D52A0000}"/>
    <cellStyle name="40% - Accent1 2 4 2 3 3" xfId="20113" xr:uid="{00000000-0005-0000-0000-0000D62A0000}"/>
    <cellStyle name="40% - Accent1 2 4 2 4" xfId="2790" xr:uid="{00000000-0005-0000-0000-0000D72A0000}"/>
    <cellStyle name="40% - Accent1 2 4 2 4 2" xfId="15094" xr:uid="{00000000-0005-0000-0000-0000D82A0000}"/>
    <cellStyle name="40% - Accent1 2 4 2 4 2 2" xfId="28643" xr:uid="{00000000-0005-0000-0000-0000D92A0000}"/>
    <cellStyle name="40% - Accent1 2 4 2 4 3" xfId="20114" xr:uid="{00000000-0005-0000-0000-0000DA2A0000}"/>
    <cellStyle name="40% - Accent1 2 4 2 5" xfId="2791" xr:uid="{00000000-0005-0000-0000-0000DB2A0000}"/>
    <cellStyle name="40% - Accent1 2 4 2 5 2" xfId="16773" xr:uid="{00000000-0005-0000-0000-0000DC2A0000}"/>
    <cellStyle name="40% - Accent1 2 4 2 5 2 2" xfId="30180" xr:uid="{00000000-0005-0000-0000-0000DD2A0000}"/>
    <cellStyle name="40% - Accent1 2 4 2 5 3" xfId="20115" xr:uid="{00000000-0005-0000-0000-0000DE2A0000}"/>
    <cellStyle name="40% - Accent1 2 4 2 6" xfId="9222" xr:uid="{00000000-0005-0000-0000-0000DF2A0000}"/>
    <cellStyle name="40% - Accent1 2 4 2 6 2" xfId="23697" xr:uid="{00000000-0005-0000-0000-0000E02A0000}"/>
    <cellStyle name="40% - Accent1 2 4 2 7" xfId="20111" xr:uid="{00000000-0005-0000-0000-0000E12A0000}"/>
    <cellStyle name="40% - Accent1 2 4 3" xfId="2792" xr:uid="{00000000-0005-0000-0000-0000E22A0000}"/>
    <cellStyle name="40% - Accent1 2 4 3 2" xfId="2793" xr:uid="{00000000-0005-0000-0000-0000E32A0000}"/>
    <cellStyle name="40% - Accent1 2 4 3 2 2" xfId="15095" xr:uid="{00000000-0005-0000-0000-0000E42A0000}"/>
    <cellStyle name="40% - Accent1 2 4 3 2 2 2" xfId="28644" xr:uid="{00000000-0005-0000-0000-0000E52A0000}"/>
    <cellStyle name="40% - Accent1 2 4 3 2 3" xfId="20117" xr:uid="{00000000-0005-0000-0000-0000E62A0000}"/>
    <cellStyle name="40% - Accent1 2 4 3 3" xfId="10947" xr:uid="{00000000-0005-0000-0000-0000E72A0000}"/>
    <cellStyle name="40% - Accent1 2 4 3 3 2" xfId="24889" xr:uid="{00000000-0005-0000-0000-0000E82A0000}"/>
    <cellStyle name="40% - Accent1 2 4 3 4" xfId="20116" xr:uid="{00000000-0005-0000-0000-0000E92A0000}"/>
    <cellStyle name="40% - Accent1 2 4 4" xfId="2794" xr:uid="{00000000-0005-0000-0000-0000EA2A0000}"/>
    <cellStyle name="40% - Accent1 2 4 4 2" xfId="12161" xr:uid="{00000000-0005-0000-0000-0000EB2A0000}"/>
    <cellStyle name="40% - Accent1 2 4 4 2 2" xfId="25873" xr:uid="{00000000-0005-0000-0000-0000EC2A0000}"/>
    <cellStyle name="40% - Accent1 2 4 4 3" xfId="20118" xr:uid="{00000000-0005-0000-0000-0000ED2A0000}"/>
    <cellStyle name="40% - Accent1 2 4 5" xfId="2795" xr:uid="{00000000-0005-0000-0000-0000EE2A0000}"/>
    <cellStyle name="40% - Accent1 2 4 5 2" xfId="12796" xr:uid="{00000000-0005-0000-0000-0000EF2A0000}"/>
    <cellStyle name="40% - Accent1 2 4 5 2 2" xfId="26508" xr:uid="{00000000-0005-0000-0000-0000F02A0000}"/>
    <cellStyle name="40% - Accent1 2 4 5 3" xfId="20119" xr:uid="{00000000-0005-0000-0000-0000F12A0000}"/>
    <cellStyle name="40% - Accent1 2 4 6" xfId="2796" xr:uid="{00000000-0005-0000-0000-0000F22A0000}"/>
    <cellStyle name="40% - Accent1 2 4 6 2" xfId="13725" xr:uid="{00000000-0005-0000-0000-0000F32A0000}"/>
    <cellStyle name="40% - Accent1 2 4 6 2 2" xfId="27274" xr:uid="{00000000-0005-0000-0000-0000F42A0000}"/>
    <cellStyle name="40% - Accent1 2 4 6 3" xfId="20120" xr:uid="{00000000-0005-0000-0000-0000F52A0000}"/>
    <cellStyle name="40% - Accent1 2 4 7" xfId="2797" xr:uid="{00000000-0005-0000-0000-0000F62A0000}"/>
    <cellStyle name="40% - Accent1 2 4 7 2" xfId="14306" xr:uid="{00000000-0005-0000-0000-0000F72A0000}"/>
    <cellStyle name="40% - Accent1 2 4 7 2 2" xfId="27855" xr:uid="{00000000-0005-0000-0000-0000F82A0000}"/>
    <cellStyle name="40% - Accent1 2 4 7 3" xfId="20121" xr:uid="{00000000-0005-0000-0000-0000F92A0000}"/>
    <cellStyle name="40% - Accent1 2 4 8" xfId="2798" xr:uid="{00000000-0005-0000-0000-0000FA2A0000}"/>
    <cellStyle name="40% - Accent1 2 4 8 2" xfId="15093" xr:uid="{00000000-0005-0000-0000-0000FB2A0000}"/>
    <cellStyle name="40% - Accent1 2 4 8 2 2" xfId="28642" xr:uid="{00000000-0005-0000-0000-0000FC2A0000}"/>
    <cellStyle name="40% - Accent1 2 4 8 3" xfId="20122" xr:uid="{00000000-0005-0000-0000-0000FD2A0000}"/>
    <cellStyle name="40% - Accent1 2 4 9" xfId="2799" xr:uid="{00000000-0005-0000-0000-0000FE2A0000}"/>
    <cellStyle name="40% - Accent1 2 4 9 2" xfId="16192" xr:uid="{00000000-0005-0000-0000-0000FF2A0000}"/>
    <cellStyle name="40% - Accent1 2 4 9 2 2" xfId="29599" xr:uid="{00000000-0005-0000-0000-0000002B0000}"/>
    <cellStyle name="40% - Accent1 2 4 9 3" xfId="20123" xr:uid="{00000000-0005-0000-0000-0000012B0000}"/>
    <cellStyle name="40% - Accent1 2 5" xfId="2800" xr:uid="{00000000-0005-0000-0000-0000022B0000}"/>
    <cellStyle name="40% - Accent1 2 5 2" xfId="2801" xr:uid="{00000000-0005-0000-0000-0000032B0000}"/>
    <cellStyle name="40% - Accent1 2 5 2 2" xfId="2802" xr:uid="{00000000-0005-0000-0000-0000042B0000}"/>
    <cellStyle name="40% - Accent1 2 5 2 2 2" xfId="10950" xr:uid="{00000000-0005-0000-0000-0000052B0000}"/>
    <cellStyle name="40% - Accent1 2 5 2 2 2 2" xfId="24892" xr:uid="{00000000-0005-0000-0000-0000062B0000}"/>
    <cellStyle name="40% - Accent1 2 5 2 2 3" xfId="20126" xr:uid="{00000000-0005-0000-0000-0000072B0000}"/>
    <cellStyle name="40% - Accent1 2 5 2 3" xfId="2803" xr:uid="{00000000-0005-0000-0000-0000082B0000}"/>
    <cellStyle name="40% - Accent1 2 5 2 3 2" xfId="11772" xr:uid="{00000000-0005-0000-0000-0000092B0000}"/>
    <cellStyle name="40% - Accent1 2 5 2 3 2 2" xfId="25487" xr:uid="{00000000-0005-0000-0000-00000A2B0000}"/>
    <cellStyle name="40% - Accent1 2 5 2 3 3" xfId="20127" xr:uid="{00000000-0005-0000-0000-00000B2B0000}"/>
    <cellStyle name="40% - Accent1 2 5 2 4" xfId="2804" xr:uid="{00000000-0005-0000-0000-00000C2B0000}"/>
    <cellStyle name="40% - Accent1 2 5 2 4 2" xfId="15097" xr:uid="{00000000-0005-0000-0000-00000D2B0000}"/>
    <cellStyle name="40% - Accent1 2 5 2 4 2 2" xfId="28646" xr:uid="{00000000-0005-0000-0000-00000E2B0000}"/>
    <cellStyle name="40% - Accent1 2 5 2 4 3" xfId="20128" xr:uid="{00000000-0005-0000-0000-00000F2B0000}"/>
    <cellStyle name="40% - Accent1 2 5 2 5" xfId="9224" xr:uid="{00000000-0005-0000-0000-0000102B0000}"/>
    <cellStyle name="40% - Accent1 2 5 2 5 2" xfId="23699" xr:uid="{00000000-0005-0000-0000-0000112B0000}"/>
    <cellStyle name="40% - Accent1 2 5 2 6" xfId="20125" xr:uid="{00000000-0005-0000-0000-0000122B0000}"/>
    <cellStyle name="40% - Accent1 2 5 3" xfId="2805" xr:uid="{00000000-0005-0000-0000-0000132B0000}"/>
    <cellStyle name="40% - Accent1 2 5 3 2" xfId="10949" xr:uid="{00000000-0005-0000-0000-0000142B0000}"/>
    <cellStyle name="40% - Accent1 2 5 3 2 2" xfId="24891" xr:uid="{00000000-0005-0000-0000-0000152B0000}"/>
    <cellStyle name="40% - Accent1 2 5 3 3" xfId="20129" xr:uid="{00000000-0005-0000-0000-0000162B0000}"/>
    <cellStyle name="40% - Accent1 2 5 4" xfId="2806" xr:uid="{00000000-0005-0000-0000-0000172B0000}"/>
    <cellStyle name="40% - Accent1 2 5 4 2" xfId="12398" xr:uid="{00000000-0005-0000-0000-0000182B0000}"/>
    <cellStyle name="40% - Accent1 2 5 4 2 2" xfId="26110" xr:uid="{00000000-0005-0000-0000-0000192B0000}"/>
    <cellStyle name="40% - Accent1 2 5 4 3" xfId="20130" xr:uid="{00000000-0005-0000-0000-00001A2B0000}"/>
    <cellStyle name="40% - Accent1 2 5 5" xfId="2807" xr:uid="{00000000-0005-0000-0000-00001B2B0000}"/>
    <cellStyle name="40% - Accent1 2 5 5 2" xfId="15096" xr:uid="{00000000-0005-0000-0000-00001C2B0000}"/>
    <cellStyle name="40% - Accent1 2 5 5 2 2" xfId="28645" xr:uid="{00000000-0005-0000-0000-00001D2B0000}"/>
    <cellStyle name="40% - Accent1 2 5 5 3" xfId="20131" xr:uid="{00000000-0005-0000-0000-00001E2B0000}"/>
    <cellStyle name="40% - Accent1 2 5 6" xfId="2808" xr:uid="{00000000-0005-0000-0000-00001F2B0000}"/>
    <cellStyle name="40% - Accent1 2 5 6 2" xfId="17013" xr:uid="{00000000-0005-0000-0000-0000202B0000}"/>
    <cellStyle name="40% - Accent1 2 5 6 2 2" xfId="30420" xr:uid="{00000000-0005-0000-0000-0000212B0000}"/>
    <cellStyle name="40% - Accent1 2 5 6 3" xfId="20132" xr:uid="{00000000-0005-0000-0000-0000222B0000}"/>
    <cellStyle name="40% - Accent1 2 5 7" xfId="9223" xr:uid="{00000000-0005-0000-0000-0000232B0000}"/>
    <cellStyle name="40% - Accent1 2 5 7 2" xfId="23698" xr:uid="{00000000-0005-0000-0000-0000242B0000}"/>
    <cellStyle name="40% - Accent1 2 5 8" xfId="20124" xr:uid="{00000000-0005-0000-0000-0000252B0000}"/>
    <cellStyle name="40% - Accent1 2 6" xfId="2809" xr:uid="{00000000-0005-0000-0000-0000262B0000}"/>
    <cellStyle name="40% - Accent1 2 6 2" xfId="2810" xr:uid="{00000000-0005-0000-0000-0000272B0000}"/>
    <cellStyle name="40% - Accent1 2 6 2 2" xfId="10951" xr:uid="{00000000-0005-0000-0000-0000282B0000}"/>
    <cellStyle name="40% - Accent1 2 6 2 2 2" xfId="24893" xr:uid="{00000000-0005-0000-0000-0000292B0000}"/>
    <cellStyle name="40% - Accent1 2 6 2 3" xfId="20134" xr:uid="{00000000-0005-0000-0000-00002A2B0000}"/>
    <cellStyle name="40% - Accent1 2 6 3" xfId="2811" xr:uid="{00000000-0005-0000-0000-00002B2B0000}"/>
    <cellStyle name="40% - Accent1 2 6 3 2" xfId="12515" xr:uid="{00000000-0005-0000-0000-00002C2B0000}"/>
    <cellStyle name="40% - Accent1 2 6 3 2 2" xfId="26227" xr:uid="{00000000-0005-0000-0000-00002D2B0000}"/>
    <cellStyle name="40% - Accent1 2 6 3 3" xfId="20135" xr:uid="{00000000-0005-0000-0000-00002E2B0000}"/>
    <cellStyle name="40% - Accent1 2 6 4" xfId="2812" xr:uid="{00000000-0005-0000-0000-00002F2B0000}"/>
    <cellStyle name="40% - Accent1 2 6 4 2" xfId="15098" xr:uid="{00000000-0005-0000-0000-0000302B0000}"/>
    <cellStyle name="40% - Accent1 2 6 4 2 2" xfId="28647" xr:uid="{00000000-0005-0000-0000-0000312B0000}"/>
    <cellStyle name="40% - Accent1 2 6 4 3" xfId="20136" xr:uid="{00000000-0005-0000-0000-0000322B0000}"/>
    <cellStyle name="40% - Accent1 2 6 5" xfId="2813" xr:uid="{00000000-0005-0000-0000-0000332B0000}"/>
    <cellStyle name="40% - Accent1 2 6 5 2" xfId="17120" xr:uid="{00000000-0005-0000-0000-0000342B0000}"/>
    <cellStyle name="40% - Accent1 2 6 5 2 2" xfId="30479" xr:uid="{00000000-0005-0000-0000-0000352B0000}"/>
    <cellStyle name="40% - Accent1 2 6 5 3" xfId="20137" xr:uid="{00000000-0005-0000-0000-0000362B0000}"/>
    <cellStyle name="40% - Accent1 2 6 6" xfId="9225" xr:uid="{00000000-0005-0000-0000-0000372B0000}"/>
    <cellStyle name="40% - Accent1 2 6 6 2" xfId="23700" xr:uid="{00000000-0005-0000-0000-0000382B0000}"/>
    <cellStyle name="40% - Accent1 2 6 7" xfId="20133" xr:uid="{00000000-0005-0000-0000-0000392B0000}"/>
    <cellStyle name="40% - Accent1 2 7" xfId="2814" xr:uid="{00000000-0005-0000-0000-00003A2B0000}"/>
    <cellStyle name="40% - Accent1 2 7 2" xfId="2815" xr:uid="{00000000-0005-0000-0000-00003B2B0000}"/>
    <cellStyle name="40% - Accent1 2 7 2 2" xfId="10952" xr:uid="{00000000-0005-0000-0000-00003C2B0000}"/>
    <cellStyle name="40% - Accent1 2 7 2 2 2" xfId="24894" xr:uid="{00000000-0005-0000-0000-00003D2B0000}"/>
    <cellStyle name="40% - Accent1 2 7 2 3" xfId="20139" xr:uid="{00000000-0005-0000-0000-00003E2B0000}"/>
    <cellStyle name="40% - Accent1 2 7 3" xfId="2816" xr:uid="{00000000-0005-0000-0000-00003F2B0000}"/>
    <cellStyle name="40% - Accent1 2 7 3 2" xfId="12511" xr:uid="{00000000-0005-0000-0000-0000402B0000}"/>
    <cellStyle name="40% - Accent1 2 7 3 2 2" xfId="26223" xr:uid="{00000000-0005-0000-0000-0000412B0000}"/>
    <cellStyle name="40% - Accent1 2 7 3 3" xfId="20140" xr:uid="{00000000-0005-0000-0000-0000422B0000}"/>
    <cellStyle name="40% - Accent1 2 7 4" xfId="2817" xr:uid="{00000000-0005-0000-0000-0000432B0000}"/>
    <cellStyle name="40% - Accent1 2 7 4 2" xfId="15099" xr:uid="{00000000-0005-0000-0000-0000442B0000}"/>
    <cellStyle name="40% - Accent1 2 7 4 2 2" xfId="28648" xr:uid="{00000000-0005-0000-0000-0000452B0000}"/>
    <cellStyle name="40% - Accent1 2 7 4 3" xfId="20141" xr:uid="{00000000-0005-0000-0000-0000462B0000}"/>
    <cellStyle name="40% - Accent1 2 7 5" xfId="2818" xr:uid="{00000000-0005-0000-0000-0000472B0000}"/>
    <cellStyle name="40% - Accent1 2 7 5 2" xfId="17209" xr:uid="{00000000-0005-0000-0000-0000482B0000}"/>
    <cellStyle name="40% - Accent1 2 7 5 2 2" xfId="30568" xr:uid="{00000000-0005-0000-0000-0000492B0000}"/>
    <cellStyle name="40% - Accent1 2 7 5 3" xfId="20142" xr:uid="{00000000-0005-0000-0000-00004A2B0000}"/>
    <cellStyle name="40% - Accent1 2 7 6" xfId="9226" xr:uid="{00000000-0005-0000-0000-00004B2B0000}"/>
    <cellStyle name="40% - Accent1 2 7 6 2" xfId="23701" xr:uid="{00000000-0005-0000-0000-00004C2B0000}"/>
    <cellStyle name="40% - Accent1 2 7 7" xfId="20138" xr:uid="{00000000-0005-0000-0000-00004D2B0000}"/>
    <cellStyle name="40% - Accent1 2 8" xfId="2819" xr:uid="{00000000-0005-0000-0000-00004E2B0000}"/>
    <cellStyle name="40% - Accent1 2 8 2" xfId="2820" xr:uid="{00000000-0005-0000-0000-00004F2B0000}"/>
    <cellStyle name="40% - Accent1 2 8 2 2" xfId="12664" xr:uid="{00000000-0005-0000-0000-0000502B0000}"/>
    <cellStyle name="40% - Accent1 2 8 2 2 2" xfId="26376" xr:uid="{00000000-0005-0000-0000-0000512B0000}"/>
    <cellStyle name="40% - Accent1 2 8 2 3" xfId="20144" xr:uid="{00000000-0005-0000-0000-0000522B0000}"/>
    <cellStyle name="40% - Accent1 2 8 3" xfId="2821" xr:uid="{00000000-0005-0000-0000-0000532B0000}"/>
    <cellStyle name="40% - Accent1 2 8 3 2" xfId="15100" xr:uid="{00000000-0005-0000-0000-0000542B0000}"/>
    <cellStyle name="40% - Accent1 2 8 3 2 2" xfId="28649" xr:uid="{00000000-0005-0000-0000-0000552B0000}"/>
    <cellStyle name="40% - Accent1 2 8 3 3" xfId="20145" xr:uid="{00000000-0005-0000-0000-0000562B0000}"/>
    <cellStyle name="40% - Accent1 2 8 4" xfId="2822" xr:uid="{00000000-0005-0000-0000-0000572B0000}"/>
    <cellStyle name="40% - Accent1 2 8 4 2" xfId="16484" xr:uid="{00000000-0005-0000-0000-0000582B0000}"/>
    <cellStyle name="40% - Accent1 2 8 4 2 2" xfId="29891" xr:uid="{00000000-0005-0000-0000-0000592B0000}"/>
    <cellStyle name="40% - Accent1 2 8 4 3" xfId="20146" xr:uid="{00000000-0005-0000-0000-00005A2B0000}"/>
    <cellStyle name="40% - Accent1 2 8 5" xfId="10534" xr:uid="{00000000-0005-0000-0000-00005B2B0000}"/>
    <cellStyle name="40% - Accent1 2 8 5 2" xfId="24476" xr:uid="{00000000-0005-0000-0000-00005C2B0000}"/>
    <cellStyle name="40% - Accent1 2 8 6" xfId="20143" xr:uid="{00000000-0005-0000-0000-00005D2B0000}"/>
    <cellStyle name="40% - Accent1 2 9" xfId="2823" xr:uid="{00000000-0005-0000-0000-00005E2B0000}"/>
    <cellStyle name="40% - Accent1 2 9 2" xfId="2824" xr:uid="{00000000-0005-0000-0000-00005F2B0000}"/>
    <cellStyle name="40% - Accent1 2 9 2 2" xfId="11765" xr:uid="{00000000-0005-0000-0000-0000602B0000}"/>
    <cellStyle name="40% - Accent1 2 9 2 2 2" xfId="25480" xr:uid="{00000000-0005-0000-0000-0000612B0000}"/>
    <cellStyle name="40% - Accent1 2 9 2 3" xfId="20148" xr:uid="{00000000-0005-0000-0000-0000622B0000}"/>
    <cellStyle name="40% - Accent1 2 9 3" xfId="2825" xr:uid="{00000000-0005-0000-0000-0000632B0000}"/>
    <cellStyle name="40% - Accent1 2 9 3 2" xfId="15101" xr:uid="{00000000-0005-0000-0000-0000642B0000}"/>
    <cellStyle name="40% - Accent1 2 9 3 2 2" xfId="28650" xr:uid="{00000000-0005-0000-0000-0000652B0000}"/>
    <cellStyle name="40% - Accent1 2 9 3 3" xfId="20149" xr:uid="{00000000-0005-0000-0000-0000662B0000}"/>
    <cellStyle name="40% - Accent1 2 9 4" xfId="10934" xr:uid="{00000000-0005-0000-0000-0000672B0000}"/>
    <cellStyle name="40% - Accent1 2 9 4 2" xfId="24876" xr:uid="{00000000-0005-0000-0000-0000682B0000}"/>
    <cellStyle name="40% - Accent1 2 9 5" xfId="20147" xr:uid="{00000000-0005-0000-0000-0000692B0000}"/>
    <cellStyle name="40% - Accent1 20" xfId="2826" xr:uid="{00000000-0005-0000-0000-00006A2B0000}"/>
    <cellStyle name="40% - Accent1 20 2" xfId="2827" xr:uid="{00000000-0005-0000-0000-00006B2B0000}"/>
    <cellStyle name="40% - Accent1 20 2 2" xfId="12486" xr:uid="{00000000-0005-0000-0000-00006C2B0000}"/>
    <cellStyle name="40% - Accent1 20 2 2 2" xfId="26198" xr:uid="{00000000-0005-0000-0000-00006D2B0000}"/>
    <cellStyle name="40% - Accent1 20 2 3" xfId="20151" xr:uid="{00000000-0005-0000-0000-00006E2B0000}"/>
    <cellStyle name="40% - Accent1 20 3" xfId="2828" xr:uid="{00000000-0005-0000-0000-00006F2B0000}"/>
    <cellStyle name="40% - Accent1 20 3 2" xfId="15102" xr:uid="{00000000-0005-0000-0000-0000702B0000}"/>
    <cellStyle name="40% - Accent1 20 3 2 2" xfId="28651" xr:uid="{00000000-0005-0000-0000-0000712B0000}"/>
    <cellStyle name="40% - Accent1 20 3 3" xfId="20152" xr:uid="{00000000-0005-0000-0000-0000722B0000}"/>
    <cellStyle name="40% - Accent1 20 4" xfId="10509" xr:uid="{00000000-0005-0000-0000-0000732B0000}"/>
    <cellStyle name="40% - Accent1 20 4 2" xfId="24457" xr:uid="{00000000-0005-0000-0000-0000742B0000}"/>
    <cellStyle name="40% - Accent1 20 5" xfId="20150" xr:uid="{00000000-0005-0000-0000-0000752B0000}"/>
    <cellStyle name="40% - Accent1 21" xfId="2829" xr:uid="{00000000-0005-0000-0000-0000762B0000}"/>
    <cellStyle name="40% - Accent1 21 2" xfId="2830" xr:uid="{00000000-0005-0000-0000-0000772B0000}"/>
    <cellStyle name="40% - Accent1 21 2 2" xfId="12487" xr:uid="{00000000-0005-0000-0000-0000782B0000}"/>
    <cellStyle name="40% - Accent1 21 2 2 2" xfId="26199" xr:uid="{00000000-0005-0000-0000-0000792B0000}"/>
    <cellStyle name="40% - Accent1 21 2 3" xfId="20154" xr:uid="{00000000-0005-0000-0000-00007A2B0000}"/>
    <cellStyle name="40% - Accent1 21 3" xfId="2831" xr:uid="{00000000-0005-0000-0000-00007B2B0000}"/>
    <cellStyle name="40% - Accent1 21 3 2" xfId="15103" xr:uid="{00000000-0005-0000-0000-00007C2B0000}"/>
    <cellStyle name="40% - Accent1 21 3 2 2" xfId="28652" xr:uid="{00000000-0005-0000-0000-00007D2B0000}"/>
    <cellStyle name="40% - Accent1 21 3 3" xfId="20155" xr:uid="{00000000-0005-0000-0000-00007E2B0000}"/>
    <cellStyle name="40% - Accent1 21 4" xfId="10923" xr:uid="{00000000-0005-0000-0000-00007F2B0000}"/>
    <cellStyle name="40% - Accent1 21 4 2" xfId="24865" xr:uid="{00000000-0005-0000-0000-0000802B0000}"/>
    <cellStyle name="40% - Accent1 21 5" xfId="20153" xr:uid="{00000000-0005-0000-0000-0000812B0000}"/>
    <cellStyle name="40% - Accent1 22" xfId="2832" xr:uid="{00000000-0005-0000-0000-0000822B0000}"/>
    <cellStyle name="40% - Accent1 22 2" xfId="11745" xr:uid="{00000000-0005-0000-0000-0000832B0000}"/>
    <cellStyle name="40% - Accent1 22 2 2" xfId="25460" xr:uid="{00000000-0005-0000-0000-0000842B0000}"/>
    <cellStyle name="40% - Accent1 22 3" xfId="20156" xr:uid="{00000000-0005-0000-0000-0000852B0000}"/>
    <cellStyle name="40% - Accent1 23" xfId="2833" xr:uid="{00000000-0005-0000-0000-0000862B0000}"/>
    <cellStyle name="40% - Accent1 23 2" xfId="12712" xr:uid="{00000000-0005-0000-0000-0000872B0000}"/>
    <cellStyle name="40% - Accent1 23 2 2" xfId="26424" xr:uid="{00000000-0005-0000-0000-0000882B0000}"/>
    <cellStyle name="40% - Accent1 23 3" xfId="20157" xr:uid="{00000000-0005-0000-0000-0000892B0000}"/>
    <cellStyle name="40% - Accent1 24" xfId="2834" xr:uid="{00000000-0005-0000-0000-00008A2B0000}"/>
    <cellStyle name="40% - Accent1 24 2" xfId="13384" xr:uid="{00000000-0005-0000-0000-00008B2B0000}"/>
    <cellStyle name="40% - Accent1 24 2 2" xfId="26933" xr:uid="{00000000-0005-0000-0000-00008C2B0000}"/>
    <cellStyle name="40% - Accent1 24 3" xfId="20158" xr:uid="{00000000-0005-0000-0000-00008D2B0000}"/>
    <cellStyle name="40% - Accent1 25" xfId="2835" xr:uid="{00000000-0005-0000-0000-00008E2B0000}"/>
    <cellStyle name="40% - Accent1 25 2" xfId="13965" xr:uid="{00000000-0005-0000-0000-00008F2B0000}"/>
    <cellStyle name="40% - Accent1 25 2 2" xfId="27514" xr:uid="{00000000-0005-0000-0000-0000902B0000}"/>
    <cellStyle name="40% - Accent1 25 3" xfId="20159" xr:uid="{00000000-0005-0000-0000-0000912B0000}"/>
    <cellStyle name="40% - Accent1 26" xfId="2836" xr:uid="{00000000-0005-0000-0000-0000922B0000}"/>
    <cellStyle name="40% - Accent1 26 2" xfId="15060" xr:uid="{00000000-0005-0000-0000-0000932B0000}"/>
    <cellStyle name="40% - Accent1 26 2 2" xfId="28609" xr:uid="{00000000-0005-0000-0000-0000942B0000}"/>
    <cellStyle name="40% - Accent1 26 3" xfId="20160" xr:uid="{00000000-0005-0000-0000-0000952B0000}"/>
    <cellStyle name="40% - Accent1 27" xfId="2837" xr:uid="{00000000-0005-0000-0000-0000962B0000}"/>
    <cellStyle name="40% - Accent1 27 2" xfId="15835" xr:uid="{00000000-0005-0000-0000-0000972B0000}"/>
    <cellStyle name="40% - Accent1 27 2 2" xfId="29242" xr:uid="{00000000-0005-0000-0000-0000982B0000}"/>
    <cellStyle name="40% - Accent1 27 3" xfId="20161" xr:uid="{00000000-0005-0000-0000-0000992B0000}"/>
    <cellStyle name="40% - Accent1 28" xfId="2838" xr:uid="{00000000-0005-0000-0000-00009A2B0000}"/>
    <cellStyle name="40% - Accent1 28 2" xfId="15851" xr:uid="{00000000-0005-0000-0000-00009B2B0000}"/>
    <cellStyle name="40% - Accent1 28 2 2" xfId="29258" xr:uid="{00000000-0005-0000-0000-00009C2B0000}"/>
    <cellStyle name="40% - Accent1 28 3" xfId="20162" xr:uid="{00000000-0005-0000-0000-00009D2B0000}"/>
    <cellStyle name="40% - Accent1 29" xfId="2839" xr:uid="{00000000-0005-0000-0000-00009E2B0000}"/>
    <cellStyle name="40% - Accent1 29 2" xfId="9197" xr:uid="{00000000-0005-0000-0000-00009F2B0000}"/>
    <cellStyle name="40% - Accent1 29 2 2" xfId="23672" xr:uid="{00000000-0005-0000-0000-0000A02B0000}"/>
    <cellStyle name="40% - Accent1 29 3" xfId="20163" xr:uid="{00000000-0005-0000-0000-0000A12B0000}"/>
    <cellStyle name="40% - Accent1 3" xfId="2840" xr:uid="{00000000-0005-0000-0000-0000A22B0000}"/>
    <cellStyle name="40% - Accent1 3 10" xfId="2841" xr:uid="{00000000-0005-0000-0000-0000A32B0000}"/>
    <cellStyle name="40% - Accent1 3 10 2" xfId="14040" xr:uid="{00000000-0005-0000-0000-0000A42B0000}"/>
    <cellStyle name="40% - Accent1 3 10 2 2" xfId="27589" xr:uid="{00000000-0005-0000-0000-0000A52B0000}"/>
    <cellStyle name="40% - Accent1 3 10 3" xfId="20165" xr:uid="{00000000-0005-0000-0000-0000A62B0000}"/>
    <cellStyle name="40% - Accent1 3 11" xfId="2842" xr:uid="{00000000-0005-0000-0000-0000A72B0000}"/>
    <cellStyle name="40% - Accent1 3 11 2" xfId="15104" xr:uid="{00000000-0005-0000-0000-0000A82B0000}"/>
    <cellStyle name="40% - Accent1 3 11 2 2" xfId="28653" xr:uid="{00000000-0005-0000-0000-0000A92B0000}"/>
    <cellStyle name="40% - Accent1 3 11 3" xfId="20166" xr:uid="{00000000-0005-0000-0000-0000AA2B0000}"/>
    <cellStyle name="40% - Accent1 3 12" xfId="2843" xr:uid="{00000000-0005-0000-0000-0000AB2B0000}"/>
    <cellStyle name="40% - Accent1 3 12 2" xfId="15926" xr:uid="{00000000-0005-0000-0000-0000AC2B0000}"/>
    <cellStyle name="40% - Accent1 3 12 2 2" xfId="29333" xr:uid="{00000000-0005-0000-0000-0000AD2B0000}"/>
    <cellStyle name="40% - Accent1 3 12 3" xfId="20167" xr:uid="{00000000-0005-0000-0000-0000AE2B0000}"/>
    <cellStyle name="40% - Accent1 3 13" xfId="9227" xr:uid="{00000000-0005-0000-0000-0000AF2B0000}"/>
    <cellStyle name="40% - Accent1 3 13 2" xfId="23702" xr:uid="{00000000-0005-0000-0000-0000B02B0000}"/>
    <cellStyle name="40% - Accent1 3 14" xfId="20164" xr:uid="{00000000-0005-0000-0000-0000B12B0000}"/>
    <cellStyle name="40% - Accent1 3 2" xfId="2844" xr:uid="{00000000-0005-0000-0000-0000B22B0000}"/>
    <cellStyle name="40% - Accent1 3 2 10" xfId="2845" xr:uid="{00000000-0005-0000-0000-0000B32B0000}"/>
    <cellStyle name="40% - Accent1 3 2 10 2" xfId="16069" xr:uid="{00000000-0005-0000-0000-0000B42B0000}"/>
    <cellStyle name="40% - Accent1 3 2 10 2 2" xfId="29476" xr:uid="{00000000-0005-0000-0000-0000B52B0000}"/>
    <cellStyle name="40% - Accent1 3 2 10 3" xfId="20169" xr:uid="{00000000-0005-0000-0000-0000B62B0000}"/>
    <cellStyle name="40% - Accent1 3 2 11" xfId="9228" xr:uid="{00000000-0005-0000-0000-0000B72B0000}"/>
    <cellStyle name="40% - Accent1 3 2 11 2" xfId="23703" xr:uid="{00000000-0005-0000-0000-0000B82B0000}"/>
    <cellStyle name="40% - Accent1 3 2 12" xfId="20168" xr:uid="{00000000-0005-0000-0000-0000B92B0000}"/>
    <cellStyle name="40% - Accent1 3 2 2" xfId="2846" xr:uid="{00000000-0005-0000-0000-0000BA2B0000}"/>
    <cellStyle name="40% - Accent1 3 2 2 10" xfId="9229" xr:uid="{00000000-0005-0000-0000-0000BB2B0000}"/>
    <cellStyle name="40% - Accent1 3 2 2 10 2" xfId="23704" xr:uid="{00000000-0005-0000-0000-0000BC2B0000}"/>
    <cellStyle name="40% - Accent1 3 2 2 11" xfId="20170" xr:uid="{00000000-0005-0000-0000-0000BD2B0000}"/>
    <cellStyle name="40% - Accent1 3 2 2 2" xfId="2847" xr:uid="{00000000-0005-0000-0000-0000BE2B0000}"/>
    <cellStyle name="40% - Accent1 3 2 2 2 2" xfId="2848" xr:uid="{00000000-0005-0000-0000-0000BF2B0000}"/>
    <cellStyle name="40% - Accent1 3 2 2 2 2 2" xfId="10956" xr:uid="{00000000-0005-0000-0000-0000C02B0000}"/>
    <cellStyle name="40% - Accent1 3 2 2 2 2 2 2" xfId="24898" xr:uid="{00000000-0005-0000-0000-0000C12B0000}"/>
    <cellStyle name="40% - Accent1 3 2 2 2 2 3" xfId="20172" xr:uid="{00000000-0005-0000-0000-0000C22B0000}"/>
    <cellStyle name="40% - Accent1 3 2 2 2 3" xfId="2849" xr:uid="{00000000-0005-0000-0000-0000C32B0000}"/>
    <cellStyle name="40% - Accent1 3 2 2 2 3 2" xfId="12781" xr:uid="{00000000-0005-0000-0000-0000C42B0000}"/>
    <cellStyle name="40% - Accent1 3 2 2 2 3 2 2" xfId="26493" xr:uid="{00000000-0005-0000-0000-0000C52B0000}"/>
    <cellStyle name="40% - Accent1 3 2 2 2 3 3" xfId="20173" xr:uid="{00000000-0005-0000-0000-0000C62B0000}"/>
    <cellStyle name="40% - Accent1 3 2 2 2 4" xfId="2850" xr:uid="{00000000-0005-0000-0000-0000C72B0000}"/>
    <cellStyle name="40% - Accent1 3 2 2 2 4 2" xfId="15107" xr:uid="{00000000-0005-0000-0000-0000C82B0000}"/>
    <cellStyle name="40% - Accent1 3 2 2 2 4 2 2" xfId="28656" xr:uid="{00000000-0005-0000-0000-0000C92B0000}"/>
    <cellStyle name="40% - Accent1 3 2 2 2 4 3" xfId="20174" xr:uid="{00000000-0005-0000-0000-0000CA2B0000}"/>
    <cellStyle name="40% - Accent1 3 2 2 2 5" xfId="2851" xr:uid="{00000000-0005-0000-0000-0000CB2B0000}"/>
    <cellStyle name="40% - Accent1 3 2 2 2 5 2" xfId="16939" xr:uid="{00000000-0005-0000-0000-0000CC2B0000}"/>
    <cellStyle name="40% - Accent1 3 2 2 2 5 2 2" xfId="30346" xr:uid="{00000000-0005-0000-0000-0000CD2B0000}"/>
    <cellStyle name="40% - Accent1 3 2 2 2 5 3" xfId="20175" xr:uid="{00000000-0005-0000-0000-0000CE2B0000}"/>
    <cellStyle name="40% - Accent1 3 2 2 2 6" xfId="9230" xr:uid="{00000000-0005-0000-0000-0000CF2B0000}"/>
    <cellStyle name="40% - Accent1 3 2 2 2 6 2" xfId="23705" xr:uid="{00000000-0005-0000-0000-0000D02B0000}"/>
    <cellStyle name="40% - Accent1 3 2 2 2 7" xfId="20171" xr:uid="{00000000-0005-0000-0000-0000D12B0000}"/>
    <cellStyle name="40% - Accent1 3 2 2 3" xfId="2852" xr:uid="{00000000-0005-0000-0000-0000D22B0000}"/>
    <cellStyle name="40% - Accent1 3 2 2 3 2" xfId="2853" xr:uid="{00000000-0005-0000-0000-0000D32B0000}"/>
    <cellStyle name="40% - Accent1 3 2 2 3 2 2" xfId="15108" xr:uid="{00000000-0005-0000-0000-0000D42B0000}"/>
    <cellStyle name="40% - Accent1 3 2 2 3 2 2 2" xfId="28657" xr:uid="{00000000-0005-0000-0000-0000D52B0000}"/>
    <cellStyle name="40% - Accent1 3 2 2 3 2 3" xfId="20177" xr:uid="{00000000-0005-0000-0000-0000D62B0000}"/>
    <cellStyle name="40% - Accent1 3 2 2 3 3" xfId="10955" xr:uid="{00000000-0005-0000-0000-0000D72B0000}"/>
    <cellStyle name="40% - Accent1 3 2 2 3 3 2" xfId="24897" xr:uid="{00000000-0005-0000-0000-0000D82B0000}"/>
    <cellStyle name="40% - Accent1 3 2 2 3 4" xfId="20176" xr:uid="{00000000-0005-0000-0000-0000D92B0000}"/>
    <cellStyle name="40% - Accent1 3 2 2 4" xfId="2854" xr:uid="{00000000-0005-0000-0000-0000DA2B0000}"/>
    <cellStyle name="40% - Accent1 3 2 2 4 2" xfId="12327" xr:uid="{00000000-0005-0000-0000-0000DB2B0000}"/>
    <cellStyle name="40% - Accent1 3 2 2 4 2 2" xfId="26039" xr:uid="{00000000-0005-0000-0000-0000DC2B0000}"/>
    <cellStyle name="40% - Accent1 3 2 2 4 3" xfId="20178" xr:uid="{00000000-0005-0000-0000-0000DD2B0000}"/>
    <cellStyle name="40% - Accent1 3 2 2 5" xfId="2855" xr:uid="{00000000-0005-0000-0000-0000DE2B0000}"/>
    <cellStyle name="40% - Accent1 3 2 2 5 2" xfId="12743" xr:uid="{00000000-0005-0000-0000-0000DF2B0000}"/>
    <cellStyle name="40% - Accent1 3 2 2 5 2 2" xfId="26455" xr:uid="{00000000-0005-0000-0000-0000E02B0000}"/>
    <cellStyle name="40% - Accent1 3 2 2 5 3" xfId="20179" xr:uid="{00000000-0005-0000-0000-0000E12B0000}"/>
    <cellStyle name="40% - Accent1 3 2 2 6" xfId="2856" xr:uid="{00000000-0005-0000-0000-0000E22B0000}"/>
    <cellStyle name="40% - Accent1 3 2 2 6 2" xfId="13891" xr:uid="{00000000-0005-0000-0000-0000E32B0000}"/>
    <cellStyle name="40% - Accent1 3 2 2 6 2 2" xfId="27440" xr:uid="{00000000-0005-0000-0000-0000E42B0000}"/>
    <cellStyle name="40% - Accent1 3 2 2 6 3" xfId="20180" xr:uid="{00000000-0005-0000-0000-0000E52B0000}"/>
    <cellStyle name="40% - Accent1 3 2 2 7" xfId="2857" xr:uid="{00000000-0005-0000-0000-0000E62B0000}"/>
    <cellStyle name="40% - Accent1 3 2 2 7 2" xfId="14472" xr:uid="{00000000-0005-0000-0000-0000E72B0000}"/>
    <cellStyle name="40% - Accent1 3 2 2 7 2 2" xfId="28021" xr:uid="{00000000-0005-0000-0000-0000E82B0000}"/>
    <cellStyle name="40% - Accent1 3 2 2 7 3" xfId="20181" xr:uid="{00000000-0005-0000-0000-0000E92B0000}"/>
    <cellStyle name="40% - Accent1 3 2 2 8" xfId="2858" xr:uid="{00000000-0005-0000-0000-0000EA2B0000}"/>
    <cellStyle name="40% - Accent1 3 2 2 8 2" xfId="15106" xr:uid="{00000000-0005-0000-0000-0000EB2B0000}"/>
    <cellStyle name="40% - Accent1 3 2 2 8 2 2" xfId="28655" xr:uid="{00000000-0005-0000-0000-0000EC2B0000}"/>
    <cellStyle name="40% - Accent1 3 2 2 8 3" xfId="20182" xr:uid="{00000000-0005-0000-0000-0000ED2B0000}"/>
    <cellStyle name="40% - Accent1 3 2 2 9" xfId="2859" xr:uid="{00000000-0005-0000-0000-0000EE2B0000}"/>
    <cellStyle name="40% - Accent1 3 2 2 9 2" xfId="16358" xr:uid="{00000000-0005-0000-0000-0000EF2B0000}"/>
    <cellStyle name="40% - Accent1 3 2 2 9 2 2" xfId="29765" xr:uid="{00000000-0005-0000-0000-0000F02B0000}"/>
    <cellStyle name="40% - Accent1 3 2 2 9 3" xfId="20183" xr:uid="{00000000-0005-0000-0000-0000F12B0000}"/>
    <cellStyle name="40% - Accent1 3 2 3" xfId="2860" xr:uid="{00000000-0005-0000-0000-0000F22B0000}"/>
    <cellStyle name="40% - Accent1 3 2 3 2" xfId="2861" xr:uid="{00000000-0005-0000-0000-0000F32B0000}"/>
    <cellStyle name="40% - Accent1 3 2 3 2 2" xfId="10957" xr:uid="{00000000-0005-0000-0000-0000F42B0000}"/>
    <cellStyle name="40% - Accent1 3 2 3 2 2 2" xfId="24899" xr:uid="{00000000-0005-0000-0000-0000F52B0000}"/>
    <cellStyle name="40% - Accent1 3 2 3 2 3" xfId="20185" xr:uid="{00000000-0005-0000-0000-0000F62B0000}"/>
    <cellStyle name="40% - Accent1 3 2 3 3" xfId="2862" xr:uid="{00000000-0005-0000-0000-0000F72B0000}"/>
    <cellStyle name="40% - Accent1 3 2 3 3 2" xfId="12752" xr:uid="{00000000-0005-0000-0000-0000F82B0000}"/>
    <cellStyle name="40% - Accent1 3 2 3 3 2 2" xfId="26464" xr:uid="{00000000-0005-0000-0000-0000F92B0000}"/>
    <cellStyle name="40% - Accent1 3 2 3 3 3" xfId="20186" xr:uid="{00000000-0005-0000-0000-0000FA2B0000}"/>
    <cellStyle name="40% - Accent1 3 2 3 4" xfId="2863" xr:uid="{00000000-0005-0000-0000-0000FB2B0000}"/>
    <cellStyle name="40% - Accent1 3 2 3 4 2" xfId="15109" xr:uid="{00000000-0005-0000-0000-0000FC2B0000}"/>
    <cellStyle name="40% - Accent1 3 2 3 4 2 2" xfId="28658" xr:uid="{00000000-0005-0000-0000-0000FD2B0000}"/>
    <cellStyle name="40% - Accent1 3 2 3 4 3" xfId="20187" xr:uid="{00000000-0005-0000-0000-0000FE2B0000}"/>
    <cellStyle name="40% - Accent1 3 2 3 5" xfId="2864" xr:uid="{00000000-0005-0000-0000-0000FF2B0000}"/>
    <cellStyle name="40% - Accent1 3 2 3 5 2" xfId="16650" xr:uid="{00000000-0005-0000-0000-0000002C0000}"/>
    <cellStyle name="40% - Accent1 3 2 3 5 2 2" xfId="30057" xr:uid="{00000000-0005-0000-0000-0000012C0000}"/>
    <cellStyle name="40% - Accent1 3 2 3 5 3" xfId="20188" xr:uid="{00000000-0005-0000-0000-0000022C0000}"/>
    <cellStyle name="40% - Accent1 3 2 3 6" xfId="9231" xr:uid="{00000000-0005-0000-0000-0000032C0000}"/>
    <cellStyle name="40% - Accent1 3 2 3 6 2" xfId="23706" xr:uid="{00000000-0005-0000-0000-0000042C0000}"/>
    <cellStyle name="40% - Accent1 3 2 3 7" xfId="20184" xr:uid="{00000000-0005-0000-0000-0000052C0000}"/>
    <cellStyle name="40% - Accent1 3 2 4" xfId="2865" xr:uid="{00000000-0005-0000-0000-0000062C0000}"/>
    <cellStyle name="40% - Accent1 3 2 4 2" xfId="2866" xr:uid="{00000000-0005-0000-0000-0000072C0000}"/>
    <cellStyle name="40% - Accent1 3 2 4 2 2" xfId="15110" xr:uid="{00000000-0005-0000-0000-0000082C0000}"/>
    <cellStyle name="40% - Accent1 3 2 4 2 2 2" xfId="28659" xr:uid="{00000000-0005-0000-0000-0000092C0000}"/>
    <cellStyle name="40% - Accent1 3 2 4 2 3" xfId="20190" xr:uid="{00000000-0005-0000-0000-00000A2C0000}"/>
    <cellStyle name="40% - Accent1 3 2 4 3" xfId="10954" xr:uid="{00000000-0005-0000-0000-00000B2C0000}"/>
    <cellStyle name="40% - Accent1 3 2 4 3 2" xfId="24896" xr:uid="{00000000-0005-0000-0000-00000C2C0000}"/>
    <cellStyle name="40% - Accent1 3 2 4 4" xfId="20189" xr:uid="{00000000-0005-0000-0000-00000D2C0000}"/>
    <cellStyle name="40% - Accent1 3 2 5" xfId="2867" xr:uid="{00000000-0005-0000-0000-00000E2C0000}"/>
    <cellStyle name="40% - Accent1 3 2 5 2" xfId="12027" xr:uid="{00000000-0005-0000-0000-00000F2C0000}"/>
    <cellStyle name="40% - Accent1 3 2 5 2 2" xfId="25742" xr:uid="{00000000-0005-0000-0000-0000102C0000}"/>
    <cellStyle name="40% - Accent1 3 2 5 3" xfId="20191" xr:uid="{00000000-0005-0000-0000-0000112C0000}"/>
    <cellStyle name="40% - Accent1 3 2 6" xfId="2868" xr:uid="{00000000-0005-0000-0000-0000122C0000}"/>
    <cellStyle name="40% - Accent1 3 2 6 2" xfId="11893" xr:uid="{00000000-0005-0000-0000-0000132C0000}"/>
    <cellStyle name="40% - Accent1 3 2 6 2 2" xfId="25608" xr:uid="{00000000-0005-0000-0000-0000142C0000}"/>
    <cellStyle name="40% - Accent1 3 2 6 3" xfId="20192" xr:uid="{00000000-0005-0000-0000-0000152C0000}"/>
    <cellStyle name="40% - Accent1 3 2 7" xfId="2869" xr:uid="{00000000-0005-0000-0000-0000162C0000}"/>
    <cellStyle name="40% - Accent1 3 2 7 2" xfId="13602" xr:uid="{00000000-0005-0000-0000-0000172C0000}"/>
    <cellStyle name="40% - Accent1 3 2 7 2 2" xfId="27151" xr:uid="{00000000-0005-0000-0000-0000182C0000}"/>
    <cellStyle name="40% - Accent1 3 2 7 3" xfId="20193" xr:uid="{00000000-0005-0000-0000-0000192C0000}"/>
    <cellStyle name="40% - Accent1 3 2 8" xfId="2870" xr:uid="{00000000-0005-0000-0000-00001A2C0000}"/>
    <cellStyle name="40% - Accent1 3 2 8 2" xfId="14183" xr:uid="{00000000-0005-0000-0000-00001B2C0000}"/>
    <cellStyle name="40% - Accent1 3 2 8 2 2" xfId="27732" xr:uid="{00000000-0005-0000-0000-00001C2C0000}"/>
    <cellStyle name="40% - Accent1 3 2 8 3" xfId="20194" xr:uid="{00000000-0005-0000-0000-00001D2C0000}"/>
    <cellStyle name="40% - Accent1 3 2 9" xfId="2871" xr:uid="{00000000-0005-0000-0000-00001E2C0000}"/>
    <cellStyle name="40% - Accent1 3 2 9 2" xfId="15105" xr:uid="{00000000-0005-0000-0000-00001F2C0000}"/>
    <cellStyle name="40% - Accent1 3 2 9 2 2" xfId="28654" xr:uid="{00000000-0005-0000-0000-0000202C0000}"/>
    <cellStyle name="40% - Accent1 3 2 9 3" xfId="20195" xr:uid="{00000000-0005-0000-0000-0000212C0000}"/>
    <cellStyle name="40% - Accent1 3 3" xfId="2872" xr:uid="{00000000-0005-0000-0000-0000222C0000}"/>
    <cellStyle name="40% - Accent1 3 3 10" xfId="9232" xr:uid="{00000000-0005-0000-0000-0000232C0000}"/>
    <cellStyle name="40% - Accent1 3 3 10 2" xfId="23707" xr:uid="{00000000-0005-0000-0000-0000242C0000}"/>
    <cellStyle name="40% - Accent1 3 3 11" xfId="20196" xr:uid="{00000000-0005-0000-0000-0000252C0000}"/>
    <cellStyle name="40% - Accent1 3 3 2" xfId="2873" xr:uid="{00000000-0005-0000-0000-0000262C0000}"/>
    <cellStyle name="40% - Accent1 3 3 2 2" xfId="2874" xr:uid="{00000000-0005-0000-0000-0000272C0000}"/>
    <cellStyle name="40% - Accent1 3 3 2 2 2" xfId="10959" xr:uid="{00000000-0005-0000-0000-0000282C0000}"/>
    <cellStyle name="40% - Accent1 3 3 2 2 2 2" xfId="24901" xr:uid="{00000000-0005-0000-0000-0000292C0000}"/>
    <cellStyle name="40% - Accent1 3 3 2 2 3" xfId="20198" xr:uid="{00000000-0005-0000-0000-00002A2C0000}"/>
    <cellStyle name="40% - Accent1 3 3 2 3" xfId="2875" xr:uid="{00000000-0005-0000-0000-00002B2C0000}"/>
    <cellStyle name="40% - Accent1 3 3 2 3 2" xfId="12460" xr:uid="{00000000-0005-0000-0000-00002C2C0000}"/>
    <cellStyle name="40% - Accent1 3 3 2 3 2 2" xfId="26172" xr:uid="{00000000-0005-0000-0000-00002D2C0000}"/>
    <cellStyle name="40% - Accent1 3 3 2 3 3" xfId="20199" xr:uid="{00000000-0005-0000-0000-00002E2C0000}"/>
    <cellStyle name="40% - Accent1 3 3 2 4" xfId="2876" xr:uid="{00000000-0005-0000-0000-00002F2C0000}"/>
    <cellStyle name="40% - Accent1 3 3 2 4 2" xfId="15112" xr:uid="{00000000-0005-0000-0000-0000302C0000}"/>
    <cellStyle name="40% - Accent1 3 3 2 4 2 2" xfId="28661" xr:uid="{00000000-0005-0000-0000-0000312C0000}"/>
    <cellStyle name="40% - Accent1 3 3 2 4 3" xfId="20200" xr:uid="{00000000-0005-0000-0000-0000322C0000}"/>
    <cellStyle name="40% - Accent1 3 3 2 5" xfId="2877" xr:uid="{00000000-0005-0000-0000-0000332C0000}"/>
    <cellStyle name="40% - Accent1 3 3 2 5 2" xfId="16796" xr:uid="{00000000-0005-0000-0000-0000342C0000}"/>
    <cellStyle name="40% - Accent1 3 3 2 5 2 2" xfId="30203" xr:uid="{00000000-0005-0000-0000-0000352C0000}"/>
    <cellStyle name="40% - Accent1 3 3 2 5 3" xfId="20201" xr:uid="{00000000-0005-0000-0000-0000362C0000}"/>
    <cellStyle name="40% - Accent1 3 3 2 6" xfId="9233" xr:uid="{00000000-0005-0000-0000-0000372C0000}"/>
    <cellStyle name="40% - Accent1 3 3 2 6 2" xfId="23708" xr:uid="{00000000-0005-0000-0000-0000382C0000}"/>
    <cellStyle name="40% - Accent1 3 3 2 7" xfId="20197" xr:uid="{00000000-0005-0000-0000-0000392C0000}"/>
    <cellStyle name="40% - Accent1 3 3 3" xfId="2878" xr:uid="{00000000-0005-0000-0000-00003A2C0000}"/>
    <cellStyle name="40% - Accent1 3 3 3 2" xfId="2879" xr:uid="{00000000-0005-0000-0000-00003B2C0000}"/>
    <cellStyle name="40% - Accent1 3 3 3 2 2" xfId="15113" xr:uid="{00000000-0005-0000-0000-00003C2C0000}"/>
    <cellStyle name="40% - Accent1 3 3 3 2 2 2" xfId="28662" xr:uid="{00000000-0005-0000-0000-00003D2C0000}"/>
    <cellStyle name="40% - Accent1 3 3 3 2 3" xfId="20203" xr:uid="{00000000-0005-0000-0000-00003E2C0000}"/>
    <cellStyle name="40% - Accent1 3 3 3 3" xfId="10958" xr:uid="{00000000-0005-0000-0000-00003F2C0000}"/>
    <cellStyle name="40% - Accent1 3 3 3 3 2" xfId="24900" xr:uid="{00000000-0005-0000-0000-0000402C0000}"/>
    <cellStyle name="40% - Accent1 3 3 3 4" xfId="20202" xr:uid="{00000000-0005-0000-0000-0000412C0000}"/>
    <cellStyle name="40% - Accent1 3 3 4" xfId="2880" xr:uid="{00000000-0005-0000-0000-0000422C0000}"/>
    <cellStyle name="40% - Accent1 3 3 4 2" xfId="12184" xr:uid="{00000000-0005-0000-0000-0000432C0000}"/>
    <cellStyle name="40% - Accent1 3 3 4 2 2" xfId="25896" xr:uid="{00000000-0005-0000-0000-0000442C0000}"/>
    <cellStyle name="40% - Accent1 3 3 4 3" xfId="20204" xr:uid="{00000000-0005-0000-0000-0000452C0000}"/>
    <cellStyle name="40% - Accent1 3 3 5" xfId="2881" xr:uid="{00000000-0005-0000-0000-0000462C0000}"/>
    <cellStyle name="40% - Accent1 3 3 5 2" xfId="12696" xr:uid="{00000000-0005-0000-0000-0000472C0000}"/>
    <cellStyle name="40% - Accent1 3 3 5 2 2" xfId="26408" xr:uid="{00000000-0005-0000-0000-0000482C0000}"/>
    <cellStyle name="40% - Accent1 3 3 5 3" xfId="20205" xr:uid="{00000000-0005-0000-0000-0000492C0000}"/>
    <cellStyle name="40% - Accent1 3 3 6" xfId="2882" xr:uid="{00000000-0005-0000-0000-00004A2C0000}"/>
    <cellStyle name="40% - Accent1 3 3 6 2" xfId="13748" xr:uid="{00000000-0005-0000-0000-00004B2C0000}"/>
    <cellStyle name="40% - Accent1 3 3 6 2 2" xfId="27297" xr:uid="{00000000-0005-0000-0000-00004C2C0000}"/>
    <cellStyle name="40% - Accent1 3 3 6 3" xfId="20206" xr:uid="{00000000-0005-0000-0000-00004D2C0000}"/>
    <cellStyle name="40% - Accent1 3 3 7" xfId="2883" xr:uid="{00000000-0005-0000-0000-00004E2C0000}"/>
    <cellStyle name="40% - Accent1 3 3 7 2" xfId="14329" xr:uid="{00000000-0005-0000-0000-00004F2C0000}"/>
    <cellStyle name="40% - Accent1 3 3 7 2 2" xfId="27878" xr:uid="{00000000-0005-0000-0000-0000502C0000}"/>
    <cellStyle name="40% - Accent1 3 3 7 3" xfId="20207" xr:uid="{00000000-0005-0000-0000-0000512C0000}"/>
    <cellStyle name="40% - Accent1 3 3 8" xfId="2884" xr:uid="{00000000-0005-0000-0000-0000522C0000}"/>
    <cellStyle name="40% - Accent1 3 3 8 2" xfId="15111" xr:uid="{00000000-0005-0000-0000-0000532C0000}"/>
    <cellStyle name="40% - Accent1 3 3 8 2 2" xfId="28660" xr:uid="{00000000-0005-0000-0000-0000542C0000}"/>
    <cellStyle name="40% - Accent1 3 3 8 3" xfId="20208" xr:uid="{00000000-0005-0000-0000-0000552C0000}"/>
    <cellStyle name="40% - Accent1 3 3 9" xfId="2885" xr:uid="{00000000-0005-0000-0000-0000562C0000}"/>
    <cellStyle name="40% - Accent1 3 3 9 2" xfId="16215" xr:uid="{00000000-0005-0000-0000-0000572C0000}"/>
    <cellStyle name="40% - Accent1 3 3 9 2 2" xfId="29622" xr:uid="{00000000-0005-0000-0000-0000582C0000}"/>
    <cellStyle name="40% - Accent1 3 3 9 3" xfId="20209" xr:uid="{00000000-0005-0000-0000-0000592C0000}"/>
    <cellStyle name="40% - Accent1 3 4" xfId="2886" xr:uid="{00000000-0005-0000-0000-00005A2C0000}"/>
    <cellStyle name="40% - Accent1 3 4 2" xfId="2887" xr:uid="{00000000-0005-0000-0000-00005B2C0000}"/>
    <cellStyle name="40% - Accent1 3 4 2 2" xfId="10960" xr:uid="{00000000-0005-0000-0000-00005C2C0000}"/>
    <cellStyle name="40% - Accent1 3 4 2 2 2" xfId="24902" xr:uid="{00000000-0005-0000-0000-00005D2C0000}"/>
    <cellStyle name="40% - Accent1 3 4 2 3" xfId="20211" xr:uid="{00000000-0005-0000-0000-00005E2C0000}"/>
    <cellStyle name="40% - Accent1 3 4 3" xfId="2888" xr:uid="{00000000-0005-0000-0000-00005F2C0000}"/>
    <cellStyle name="40% - Accent1 3 4 3 2" xfId="12589" xr:uid="{00000000-0005-0000-0000-0000602C0000}"/>
    <cellStyle name="40% - Accent1 3 4 3 2 2" xfId="26301" xr:uid="{00000000-0005-0000-0000-0000612C0000}"/>
    <cellStyle name="40% - Accent1 3 4 3 3" xfId="20212" xr:uid="{00000000-0005-0000-0000-0000622C0000}"/>
    <cellStyle name="40% - Accent1 3 4 4" xfId="2889" xr:uid="{00000000-0005-0000-0000-0000632C0000}"/>
    <cellStyle name="40% - Accent1 3 4 4 2" xfId="15114" xr:uid="{00000000-0005-0000-0000-0000642C0000}"/>
    <cellStyle name="40% - Accent1 3 4 4 2 2" xfId="28663" xr:uid="{00000000-0005-0000-0000-0000652C0000}"/>
    <cellStyle name="40% - Accent1 3 4 4 3" xfId="20213" xr:uid="{00000000-0005-0000-0000-0000662C0000}"/>
    <cellStyle name="40% - Accent1 3 4 5" xfId="2890" xr:uid="{00000000-0005-0000-0000-0000672C0000}"/>
    <cellStyle name="40% - Accent1 3 4 5 2" xfId="17143" xr:uid="{00000000-0005-0000-0000-0000682C0000}"/>
    <cellStyle name="40% - Accent1 3 4 5 2 2" xfId="30502" xr:uid="{00000000-0005-0000-0000-0000692C0000}"/>
    <cellStyle name="40% - Accent1 3 4 5 3" xfId="20214" xr:uid="{00000000-0005-0000-0000-00006A2C0000}"/>
    <cellStyle name="40% - Accent1 3 4 6" xfId="9234" xr:uid="{00000000-0005-0000-0000-00006B2C0000}"/>
    <cellStyle name="40% - Accent1 3 4 6 2" xfId="23709" xr:uid="{00000000-0005-0000-0000-00006C2C0000}"/>
    <cellStyle name="40% - Accent1 3 4 7" xfId="20210" xr:uid="{00000000-0005-0000-0000-00006D2C0000}"/>
    <cellStyle name="40% - Accent1 3 5" xfId="2891" xr:uid="{00000000-0005-0000-0000-00006E2C0000}"/>
    <cellStyle name="40% - Accent1 3 5 2" xfId="2892" xr:uid="{00000000-0005-0000-0000-00006F2C0000}"/>
    <cellStyle name="40% - Accent1 3 5 2 2" xfId="10961" xr:uid="{00000000-0005-0000-0000-0000702C0000}"/>
    <cellStyle name="40% - Accent1 3 5 2 2 2" xfId="24903" xr:uid="{00000000-0005-0000-0000-0000712C0000}"/>
    <cellStyle name="40% - Accent1 3 5 2 3" xfId="20216" xr:uid="{00000000-0005-0000-0000-0000722C0000}"/>
    <cellStyle name="40% - Accent1 3 5 3" xfId="2893" xr:uid="{00000000-0005-0000-0000-0000732C0000}"/>
    <cellStyle name="40% - Accent1 3 5 3 2" xfId="12410" xr:uid="{00000000-0005-0000-0000-0000742C0000}"/>
    <cellStyle name="40% - Accent1 3 5 3 2 2" xfId="26122" xr:uid="{00000000-0005-0000-0000-0000752C0000}"/>
    <cellStyle name="40% - Accent1 3 5 3 3" xfId="20217" xr:uid="{00000000-0005-0000-0000-0000762C0000}"/>
    <cellStyle name="40% - Accent1 3 5 4" xfId="2894" xr:uid="{00000000-0005-0000-0000-0000772C0000}"/>
    <cellStyle name="40% - Accent1 3 5 4 2" xfId="15115" xr:uid="{00000000-0005-0000-0000-0000782C0000}"/>
    <cellStyle name="40% - Accent1 3 5 4 2 2" xfId="28664" xr:uid="{00000000-0005-0000-0000-0000792C0000}"/>
    <cellStyle name="40% - Accent1 3 5 4 3" xfId="20218" xr:uid="{00000000-0005-0000-0000-00007A2C0000}"/>
    <cellStyle name="40% - Accent1 3 5 5" xfId="2895" xr:uid="{00000000-0005-0000-0000-00007B2C0000}"/>
    <cellStyle name="40% - Accent1 3 5 5 2" xfId="17232" xr:uid="{00000000-0005-0000-0000-00007C2C0000}"/>
    <cellStyle name="40% - Accent1 3 5 5 2 2" xfId="30591" xr:uid="{00000000-0005-0000-0000-00007D2C0000}"/>
    <cellStyle name="40% - Accent1 3 5 5 3" xfId="20219" xr:uid="{00000000-0005-0000-0000-00007E2C0000}"/>
    <cellStyle name="40% - Accent1 3 5 6" xfId="9235" xr:uid="{00000000-0005-0000-0000-00007F2C0000}"/>
    <cellStyle name="40% - Accent1 3 5 6 2" xfId="23710" xr:uid="{00000000-0005-0000-0000-0000802C0000}"/>
    <cellStyle name="40% - Accent1 3 5 7" xfId="20215" xr:uid="{00000000-0005-0000-0000-0000812C0000}"/>
    <cellStyle name="40% - Accent1 3 6" xfId="2896" xr:uid="{00000000-0005-0000-0000-0000822C0000}"/>
    <cellStyle name="40% - Accent1 3 6 2" xfId="2897" xr:uid="{00000000-0005-0000-0000-0000832C0000}"/>
    <cellStyle name="40% - Accent1 3 6 2 2" xfId="15116" xr:uid="{00000000-0005-0000-0000-0000842C0000}"/>
    <cellStyle name="40% - Accent1 3 6 2 2 2" xfId="28665" xr:uid="{00000000-0005-0000-0000-0000852C0000}"/>
    <cellStyle name="40% - Accent1 3 6 2 3" xfId="20221" xr:uid="{00000000-0005-0000-0000-0000862C0000}"/>
    <cellStyle name="40% - Accent1 3 6 3" xfId="2898" xr:uid="{00000000-0005-0000-0000-0000872C0000}"/>
    <cellStyle name="40% - Accent1 3 6 3 2" xfId="16507" xr:uid="{00000000-0005-0000-0000-0000882C0000}"/>
    <cellStyle name="40% - Accent1 3 6 3 2 2" xfId="29914" xr:uid="{00000000-0005-0000-0000-0000892C0000}"/>
    <cellStyle name="40% - Accent1 3 6 3 3" xfId="20222" xr:uid="{00000000-0005-0000-0000-00008A2C0000}"/>
    <cellStyle name="40% - Accent1 3 6 4" xfId="10953" xr:uid="{00000000-0005-0000-0000-00008B2C0000}"/>
    <cellStyle name="40% - Accent1 3 6 4 2" xfId="24895" xr:uid="{00000000-0005-0000-0000-00008C2C0000}"/>
    <cellStyle name="40% - Accent1 3 6 5" xfId="20220" xr:uid="{00000000-0005-0000-0000-00008D2C0000}"/>
    <cellStyle name="40% - Accent1 3 7" xfId="2899" xr:uid="{00000000-0005-0000-0000-00008E2C0000}"/>
    <cellStyle name="40% - Accent1 3 7 2" xfId="11879" xr:uid="{00000000-0005-0000-0000-00008F2C0000}"/>
    <cellStyle name="40% - Accent1 3 7 2 2" xfId="25594" xr:uid="{00000000-0005-0000-0000-0000902C0000}"/>
    <cellStyle name="40% - Accent1 3 7 3" xfId="20223" xr:uid="{00000000-0005-0000-0000-0000912C0000}"/>
    <cellStyle name="40% - Accent1 3 8" xfId="2900" xr:uid="{00000000-0005-0000-0000-0000922C0000}"/>
    <cellStyle name="40% - Accent1 3 8 2" xfId="11756" xr:uid="{00000000-0005-0000-0000-0000932C0000}"/>
    <cellStyle name="40% - Accent1 3 8 2 2" xfId="25471" xr:uid="{00000000-0005-0000-0000-0000942C0000}"/>
    <cellStyle name="40% - Accent1 3 8 3" xfId="20224" xr:uid="{00000000-0005-0000-0000-0000952C0000}"/>
    <cellStyle name="40% - Accent1 3 9" xfId="2901" xr:uid="{00000000-0005-0000-0000-0000962C0000}"/>
    <cellStyle name="40% - Accent1 3 9 2" xfId="13459" xr:uid="{00000000-0005-0000-0000-0000972C0000}"/>
    <cellStyle name="40% - Accent1 3 9 2 2" xfId="27008" xr:uid="{00000000-0005-0000-0000-0000982C0000}"/>
    <cellStyle name="40% - Accent1 3 9 3" xfId="20225" xr:uid="{00000000-0005-0000-0000-0000992C0000}"/>
    <cellStyle name="40% - Accent1 30" xfId="23247" xr:uid="{00000000-0005-0000-0000-00009A2C0000}"/>
    <cellStyle name="40% - Accent1 4" xfId="2902" xr:uid="{00000000-0005-0000-0000-00009B2C0000}"/>
    <cellStyle name="40% - Accent1 4 10" xfId="2903" xr:uid="{00000000-0005-0000-0000-00009C2C0000}"/>
    <cellStyle name="40% - Accent1 4 10 2" xfId="15117" xr:uid="{00000000-0005-0000-0000-00009D2C0000}"/>
    <cellStyle name="40% - Accent1 4 10 2 2" xfId="28666" xr:uid="{00000000-0005-0000-0000-00009E2C0000}"/>
    <cellStyle name="40% - Accent1 4 10 3" xfId="20227" xr:uid="{00000000-0005-0000-0000-00009F2C0000}"/>
    <cellStyle name="40% - Accent1 4 11" xfId="2904" xr:uid="{00000000-0005-0000-0000-0000A02C0000}"/>
    <cellStyle name="40% - Accent1 4 11 2" xfId="15885" xr:uid="{00000000-0005-0000-0000-0000A12C0000}"/>
    <cellStyle name="40% - Accent1 4 11 2 2" xfId="29292" xr:uid="{00000000-0005-0000-0000-0000A22C0000}"/>
    <cellStyle name="40% - Accent1 4 11 3" xfId="20228" xr:uid="{00000000-0005-0000-0000-0000A32C0000}"/>
    <cellStyle name="40% - Accent1 4 12" xfId="9236" xr:uid="{00000000-0005-0000-0000-0000A42C0000}"/>
    <cellStyle name="40% - Accent1 4 12 2" xfId="23711" xr:uid="{00000000-0005-0000-0000-0000A52C0000}"/>
    <cellStyle name="40% - Accent1 4 13" xfId="20226" xr:uid="{00000000-0005-0000-0000-0000A62C0000}"/>
    <cellStyle name="40% - Accent1 4 2" xfId="2905" xr:uid="{00000000-0005-0000-0000-0000A72C0000}"/>
    <cellStyle name="40% - Accent1 4 2 10" xfId="2906" xr:uid="{00000000-0005-0000-0000-0000A82C0000}"/>
    <cellStyle name="40% - Accent1 4 2 10 2" xfId="16028" xr:uid="{00000000-0005-0000-0000-0000A92C0000}"/>
    <cellStyle name="40% - Accent1 4 2 10 2 2" xfId="29435" xr:uid="{00000000-0005-0000-0000-0000AA2C0000}"/>
    <cellStyle name="40% - Accent1 4 2 10 3" xfId="20230" xr:uid="{00000000-0005-0000-0000-0000AB2C0000}"/>
    <cellStyle name="40% - Accent1 4 2 11" xfId="9237" xr:uid="{00000000-0005-0000-0000-0000AC2C0000}"/>
    <cellStyle name="40% - Accent1 4 2 11 2" xfId="23712" xr:uid="{00000000-0005-0000-0000-0000AD2C0000}"/>
    <cellStyle name="40% - Accent1 4 2 12" xfId="20229" xr:uid="{00000000-0005-0000-0000-0000AE2C0000}"/>
    <cellStyle name="40% - Accent1 4 2 2" xfId="2907" xr:uid="{00000000-0005-0000-0000-0000AF2C0000}"/>
    <cellStyle name="40% - Accent1 4 2 2 10" xfId="9238" xr:uid="{00000000-0005-0000-0000-0000B02C0000}"/>
    <cellStyle name="40% - Accent1 4 2 2 10 2" xfId="23713" xr:uid="{00000000-0005-0000-0000-0000B12C0000}"/>
    <cellStyle name="40% - Accent1 4 2 2 11" xfId="20231" xr:uid="{00000000-0005-0000-0000-0000B22C0000}"/>
    <cellStyle name="40% - Accent1 4 2 2 2" xfId="2908" xr:uid="{00000000-0005-0000-0000-0000B32C0000}"/>
    <cellStyle name="40% - Accent1 4 2 2 2 2" xfId="2909" xr:uid="{00000000-0005-0000-0000-0000B42C0000}"/>
    <cellStyle name="40% - Accent1 4 2 2 2 2 2" xfId="10965" xr:uid="{00000000-0005-0000-0000-0000B52C0000}"/>
    <cellStyle name="40% - Accent1 4 2 2 2 2 2 2" xfId="24907" xr:uid="{00000000-0005-0000-0000-0000B62C0000}"/>
    <cellStyle name="40% - Accent1 4 2 2 2 2 3" xfId="20233" xr:uid="{00000000-0005-0000-0000-0000B72C0000}"/>
    <cellStyle name="40% - Accent1 4 2 2 2 3" xfId="2910" xr:uid="{00000000-0005-0000-0000-0000B82C0000}"/>
    <cellStyle name="40% - Accent1 4 2 2 2 3 2" xfId="12519" xr:uid="{00000000-0005-0000-0000-0000B92C0000}"/>
    <cellStyle name="40% - Accent1 4 2 2 2 3 2 2" xfId="26231" xr:uid="{00000000-0005-0000-0000-0000BA2C0000}"/>
    <cellStyle name="40% - Accent1 4 2 2 2 3 3" xfId="20234" xr:uid="{00000000-0005-0000-0000-0000BB2C0000}"/>
    <cellStyle name="40% - Accent1 4 2 2 2 4" xfId="2911" xr:uid="{00000000-0005-0000-0000-0000BC2C0000}"/>
    <cellStyle name="40% - Accent1 4 2 2 2 4 2" xfId="15120" xr:uid="{00000000-0005-0000-0000-0000BD2C0000}"/>
    <cellStyle name="40% - Accent1 4 2 2 2 4 2 2" xfId="28669" xr:uid="{00000000-0005-0000-0000-0000BE2C0000}"/>
    <cellStyle name="40% - Accent1 4 2 2 2 4 3" xfId="20235" xr:uid="{00000000-0005-0000-0000-0000BF2C0000}"/>
    <cellStyle name="40% - Accent1 4 2 2 2 5" xfId="2912" xr:uid="{00000000-0005-0000-0000-0000C02C0000}"/>
    <cellStyle name="40% - Accent1 4 2 2 2 5 2" xfId="16898" xr:uid="{00000000-0005-0000-0000-0000C12C0000}"/>
    <cellStyle name="40% - Accent1 4 2 2 2 5 2 2" xfId="30305" xr:uid="{00000000-0005-0000-0000-0000C22C0000}"/>
    <cellStyle name="40% - Accent1 4 2 2 2 5 3" xfId="20236" xr:uid="{00000000-0005-0000-0000-0000C32C0000}"/>
    <cellStyle name="40% - Accent1 4 2 2 2 6" xfId="9239" xr:uid="{00000000-0005-0000-0000-0000C42C0000}"/>
    <cellStyle name="40% - Accent1 4 2 2 2 6 2" xfId="23714" xr:uid="{00000000-0005-0000-0000-0000C52C0000}"/>
    <cellStyle name="40% - Accent1 4 2 2 2 7" xfId="20232" xr:uid="{00000000-0005-0000-0000-0000C62C0000}"/>
    <cellStyle name="40% - Accent1 4 2 2 3" xfId="2913" xr:uid="{00000000-0005-0000-0000-0000C72C0000}"/>
    <cellStyle name="40% - Accent1 4 2 2 3 2" xfId="2914" xr:uid="{00000000-0005-0000-0000-0000C82C0000}"/>
    <cellStyle name="40% - Accent1 4 2 2 3 2 2" xfId="15121" xr:uid="{00000000-0005-0000-0000-0000C92C0000}"/>
    <cellStyle name="40% - Accent1 4 2 2 3 2 2 2" xfId="28670" xr:uid="{00000000-0005-0000-0000-0000CA2C0000}"/>
    <cellStyle name="40% - Accent1 4 2 2 3 2 3" xfId="20238" xr:uid="{00000000-0005-0000-0000-0000CB2C0000}"/>
    <cellStyle name="40% - Accent1 4 2 2 3 3" xfId="10964" xr:uid="{00000000-0005-0000-0000-0000CC2C0000}"/>
    <cellStyle name="40% - Accent1 4 2 2 3 3 2" xfId="24906" xr:uid="{00000000-0005-0000-0000-0000CD2C0000}"/>
    <cellStyle name="40% - Accent1 4 2 2 3 4" xfId="20237" xr:uid="{00000000-0005-0000-0000-0000CE2C0000}"/>
    <cellStyle name="40% - Accent1 4 2 2 4" xfId="2915" xr:uid="{00000000-0005-0000-0000-0000CF2C0000}"/>
    <cellStyle name="40% - Accent1 4 2 2 4 2" xfId="12286" xr:uid="{00000000-0005-0000-0000-0000D02C0000}"/>
    <cellStyle name="40% - Accent1 4 2 2 4 2 2" xfId="25998" xr:uid="{00000000-0005-0000-0000-0000D12C0000}"/>
    <cellStyle name="40% - Accent1 4 2 2 4 3" xfId="20239" xr:uid="{00000000-0005-0000-0000-0000D22C0000}"/>
    <cellStyle name="40% - Accent1 4 2 2 5" xfId="2916" xr:uid="{00000000-0005-0000-0000-0000D32C0000}"/>
    <cellStyle name="40% - Accent1 4 2 2 5 2" xfId="11787" xr:uid="{00000000-0005-0000-0000-0000D42C0000}"/>
    <cellStyle name="40% - Accent1 4 2 2 5 2 2" xfId="25502" xr:uid="{00000000-0005-0000-0000-0000D52C0000}"/>
    <cellStyle name="40% - Accent1 4 2 2 5 3" xfId="20240" xr:uid="{00000000-0005-0000-0000-0000D62C0000}"/>
    <cellStyle name="40% - Accent1 4 2 2 6" xfId="2917" xr:uid="{00000000-0005-0000-0000-0000D72C0000}"/>
    <cellStyle name="40% - Accent1 4 2 2 6 2" xfId="13850" xr:uid="{00000000-0005-0000-0000-0000D82C0000}"/>
    <cellStyle name="40% - Accent1 4 2 2 6 2 2" xfId="27399" xr:uid="{00000000-0005-0000-0000-0000D92C0000}"/>
    <cellStyle name="40% - Accent1 4 2 2 6 3" xfId="20241" xr:uid="{00000000-0005-0000-0000-0000DA2C0000}"/>
    <cellStyle name="40% - Accent1 4 2 2 7" xfId="2918" xr:uid="{00000000-0005-0000-0000-0000DB2C0000}"/>
    <cellStyle name="40% - Accent1 4 2 2 7 2" xfId="14431" xr:uid="{00000000-0005-0000-0000-0000DC2C0000}"/>
    <cellStyle name="40% - Accent1 4 2 2 7 2 2" xfId="27980" xr:uid="{00000000-0005-0000-0000-0000DD2C0000}"/>
    <cellStyle name="40% - Accent1 4 2 2 7 3" xfId="20242" xr:uid="{00000000-0005-0000-0000-0000DE2C0000}"/>
    <cellStyle name="40% - Accent1 4 2 2 8" xfId="2919" xr:uid="{00000000-0005-0000-0000-0000DF2C0000}"/>
    <cellStyle name="40% - Accent1 4 2 2 8 2" xfId="15119" xr:uid="{00000000-0005-0000-0000-0000E02C0000}"/>
    <cellStyle name="40% - Accent1 4 2 2 8 2 2" xfId="28668" xr:uid="{00000000-0005-0000-0000-0000E12C0000}"/>
    <cellStyle name="40% - Accent1 4 2 2 8 3" xfId="20243" xr:uid="{00000000-0005-0000-0000-0000E22C0000}"/>
    <cellStyle name="40% - Accent1 4 2 2 9" xfId="2920" xr:uid="{00000000-0005-0000-0000-0000E32C0000}"/>
    <cellStyle name="40% - Accent1 4 2 2 9 2" xfId="16317" xr:uid="{00000000-0005-0000-0000-0000E42C0000}"/>
    <cellStyle name="40% - Accent1 4 2 2 9 2 2" xfId="29724" xr:uid="{00000000-0005-0000-0000-0000E52C0000}"/>
    <cellStyle name="40% - Accent1 4 2 2 9 3" xfId="20244" xr:uid="{00000000-0005-0000-0000-0000E62C0000}"/>
    <cellStyle name="40% - Accent1 4 2 3" xfId="2921" xr:uid="{00000000-0005-0000-0000-0000E72C0000}"/>
    <cellStyle name="40% - Accent1 4 2 3 2" xfId="2922" xr:uid="{00000000-0005-0000-0000-0000E82C0000}"/>
    <cellStyle name="40% - Accent1 4 2 3 2 2" xfId="10966" xr:uid="{00000000-0005-0000-0000-0000E92C0000}"/>
    <cellStyle name="40% - Accent1 4 2 3 2 2 2" xfId="24908" xr:uid="{00000000-0005-0000-0000-0000EA2C0000}"/>
    <cellStyle name="40% - Accent1 4 2 3 2 3" xfId="20246" xr:uid="{00000000-0005-0000-0000-0000EB2C0000}"/>
    <cellStyle name="40% - Accent1 4 2 3 3" xfId="2923" xr:uid="{00000000-0005-0000-0000-0000EC2C0000}"/>
    <cellStyle name="40% - Accent1 4 2 3 3 2" xfId="12443" xr:uid="{00000000-0005-0000-0000-0000ED2C0000}"/>
    <cellStyle name="40% - Accent1 4 2 3 3 2 2" xfId="26155" xr:uid="{00000000-0005-0000-0000-0000EE2C0000}"/>
    <cellStyle name="40% - Accent1 4 2 3 3 3" xfId="20247" xr:uid="{00000000-0005-0000-0000-0000EF2C0000}"/>
    <cellStyle name="40% - Accent1 4 2 3 4" xfId="2924" xr:uid="{00000000-0005-0000-0000-0000F02C0000}"/>
    <cellStyle name="40% - Accent1 4 2 3 4 2" xfId="15122" xr:uid="{00000000-0005-0000-0000-0000F12C0000}"/>
    <cellStyle name="40% - Accent1 4 2 3 4 2 2" xfId="28671" xr:uid="{00000000-0005-0000-0000-0000F22C0000}"/>
    <cellStyle name="40% - Accent1 4 2 3 4 3" xfId="20248" xr:uid="{00000000-0005-0000-0000-0000F32C0000}"/>
    <cellStyle name="40% - Accent1 4 2 3 5" xfId="2925" xr:uid="{00000000-0005-0000-0000-0000F42C0000}"/>
    <cellStyle name="40% - Accent1 4 2 3 5 2" xfId="16609" xr:uid="{00000000-0005-0000-0000-0000F52C0000}"/>
    <cellStyle name="40% - Accent1 4 2 3 5 2 2" xfId="30016" xr:uid="{00000000-0005-0000-0000-0000F62C0000}"/>
    <cellStyle name="40% - Accent1 4 2 3 5 3" xfId="20249" xr:uid="{00000000-0005-0000-0000-0000F72C0000}"/>
    <cellStyle name="40% - Accent1 4 2 3 6" xfId="9240" xr:uid="{00000000-0005-0000-0000-0000F82C0000}"/>
    <cellStyle name="40% - Accent1 4 2 3 6 2" xfId="23715" xr:uid="{00000000-0005-0000-0000-0000F92C0000}"/>
    <cellStyle name="40% - Accent1 4 2 3 7" xfId="20245" xr:uid="{00000000-0005-0000-0000-0000FA2C0000}"/>
    <cellStyle name="40% - Accent1 4 2 4" xfId="2926" xr:uid="{00000000-0005-0000-0000-0000FB2C0000}"/>
    <cellStyle name="40% - Accent1 4 2 4 2" xfId="2927" xr:uid="{00000000-0005-0000-0000-0000FC2C0000}"/>
    <cellStyle name="40% - Accent1 4 2 4 2 2" xfId="15123" xr:uid="{00000000-0005-0000-0000-0000FD2C0000}"/>
    <cellStyle name="40% - Accent1 4 2 4 2 2 2" xfId="28672" xr:uid="{00000000-0005-0000-0000-0000FE2C0000}"/>
    <cellStyle name="40% - Accent1 4 2 4 2 3" xfId="20251" xr:uid="{00000000-0005-0000-0000-0000FF2C0000}"/>
    <cellStyle name="40% - Accent1 4 2 4 3" xfId="10963" xr:uid="{00000000-0005-0000-0000-0000002D0000}"/>
    <cellStyle name="40% - Accent1 4 2 4 3 2" xfId="24905" xr:uid="{00000000-0005-0000-0000-0000012D0000}"/>
    <cellStyle name="40% - Accent1 4 2 4 4" xfId="20250" xr:uid="{00000000-0005-0000-0000-0000022D0000}"/>
    <cellStyle name="40% - Accent1 4 2 5" xfId="2928" xr:uid="{00000000-0005-0000-0000-0000032D0000}"/>
    <cellStyle name="40% - Accent1 4 2 5 2" xfId="11986" xr:uid="{00000000-0005-0000-0000-0000042D0000}"/>
    <cellStyle name="40% - Accent1 4 2 5 2 2" xfId="25701" xr:uid="{00000000-0005-0000-0000-0000052D0000}"/>
    <cellStyle name="40% - Accent1 4 2 5 3" xfId="20252" xr:uid="{00000000-0005-0000-0000-0000062D0000}"/>
    <cellStyle name="40% - Accent1 4 2 6" xfId="2929" xr:uid="{00000000-0005-0000-0000-0000072D0000}"/>
    <cellStyle name="40% - Accent1 4 2 6 2" xfId="12436" xr:uid="{00000000-0005-0000-0000-0000082D0000}"/>
    <cellStyle name="40% - Accent1 4 2 6 2 2" xfId="26148" xr:uid="{00000000-0005-0000-0000-0000092D0000}"/>
    <cellStyle name="40% - Accent1 4 2 6 3" xfId="20253" xr:uid="{00000000-0005-0000-0000-00000A2D0000}"/>
    <cellStyle name="40% - Accent1 4 2 7" xfId="2930" xr:uid="{00000000-0005-0000-0000-00000B2D0000}"/>
    <cellStyle name="40% - Accent1 4 2 7 2" xfId="13561" xr:uid="{00000000-0005-0000-0000-00000C2D0000}"/>
    <cellStyle name="40% - Accent1 4 2 7 2 2" xfId="27110" xr:uid="{00000000-0005-0000-0000-00000D2D0000}"/>
    <cellStyle name="40% - Accent1 4 2 7 3" xfId="20254" xr:uid="{00000000-0005-0000-0000-00000E2D0000}"/>
    <cellStyle name="40% - Accent1 4 2 8" xfId="2931" xr:uid="{00000000-0005-0000-0000-00000F2D0000}"/>
    <cellStyle name="40% - Accent1 4 2 8 2" xfId="14142" xr:uid="{00000000-0005-0000-0000-0000102D0000}"/>
    <cellStyle name="40% - Accent1 4 2 8 2 2" xfId="27691" xr:uid="{00000000-0005-0000-0000-0000112D0000}"/>
    <cellStyle name="40% - Accent1 4 2 8 3" xfId="20255" xr:uid="{00000000-0005-0000-0000-0000122D0000}"/>
    <cellStyle name="40% - Accent1 4 2 9" xfId="2932" xr:uid="{00000000-0005-0000-0000-0000132D0000}"/>
    <cellStyle name="40% - Accent1 4 2 9 2" xfId="15118" xr:uid="{00000000-0005-0000-0000-0000142D0000}"/>
    <cellStyle name="40% - Accent1 4 2 9 2 2" xfId="28667" xr:uid="{00000000-0005-0000-0000-0000152D0000}"/>
    <cellStyle name="40% - Accent1 4 2 9 3" xfId="20256" xr:uid="{00000000-0005-0000-0000-0000162D0000}"/>
    <cellStyle name="40% - Accent1 4 3" xfId="2933" xr:uid="{00000000-0005-0000-0000-0000172D0000}"/>
    <cellStyle name="40% - Accent1 4 3 10" xfId="9241" xr:uid="{00000000-0005-0000-0000-0000182D0000}"/>
    <cellStyle name="40% - Accent1 4 3 10 2" xfId="23716" xr:uid="{00000000-0005-0000-0000-0000192D0000}"/>
    <cellStyle name="40% - Accent1 4 3 11" xfId="20257" xr:uid="{00000000-0005-0000-0000-00001A2D0000}"/>
    <cellStyle name="40% - Accent1 4 3 2" xfId="2934" xr:uid="{00000000-0005-0000-0000-00001B2D0000}"/>
    <cellStyle name="40% - Accent1 4 3 2 2" xfId="2935" xr:uid="{00000000-0005-0000-0000-00001C2D0000}"/>
    <cellStyle name="40% - Accent1 4 3 2 2 2" xfId="10968" xr:uid="{00000000-0005-0000-0000-00001D2D0000}"/>
    <cellStyle name="40% - Accent1 4 3 2 2 2 2" xfId="24910" xr:uid="{00000000-0005-0000-0000-00001E2D0000}"/>
    <cellStyle name="40% - Accent1 4 3 2 2 3" xfId="20259" xr:uid="{00000000-0005-0000-0000-00001F2D0000}"/>
    <cellStyle name="40% - Accent1 4 3 2 3" xfId="2936" xr:uid="{00000000-0005-0000-0000-0000202D0000}"/>
    <cellStyle name="40% - Accent1 4 3 2 3 2" xfId="12478" xr:uid="{00000000-0005-0000-0000-0000212D0000}"/>
    <cellStyle name="40% - Accent1 4 3 2 3 2 2" xfId="26190" xr:uid="{00000000-0005-0000-0000-0000222D0000}"/>
    <cellStyle name="40% - Accent1 4 3 2 3 3" xfId="20260" xr:uid="{00000000-0005-0000-0000-0000232D0000}"/>
    <cellStyle name="40% - Accent1 4 3 2 4" xfId="2937" xr:uid="{00000000-0005-0000-0000-0000242D0000}"/>
    <cellStyle name="40% - Accent1 4 3 2 4 2" xfId="15125" xr:uid="{00000000-0005-0000-0000-0000252D0000}"/>
    <cellStyle name="40% - Accent1 4 3 2 4 2 2" xfId="28674" xr:uid="{00000000-0005-0000-0000-0000262D0000}"/>
    <cellStyle name="40% - Accent1 4 3 2 4 3" xfId="20261" xr:uid="{00000000-0005-0000-0000-0000272D0000}"/>
    <cellStyle name="40% - Accent1 4 3 2 5" xfId="2938" xr:uid="{00000000-0005-0000-0000-0000282D0000}"/>
    <cellStyle name="40% - Accent1 4 3 2 5 2" xfId="16758" xr:uid="{00000000-0005-0000-0000-0000292D0000}"/>
    <cellStyle name="40% - Accent1 4 3 2 5 2 2" xfId="30165" xr:uid="{00000000-0005-0000-0000-00002A2D0000}"/>
    <cellStyle name="40% - Accent1 4 3 2 5 3" xfId="20262" xr:uid="{00000000-0005-0000-0000-00002B2D0000}"/>
    <cellStyle name="40% - Accent1 4 3 2 6" xfId="9242" xr:uid="{00000000-0005-0000-0000-00002C2D0000}"/>
    <cellStyle name="40% - Accent1 4 3 2 6 2" xfId="23717" xr:uid="{00000000-0005-0000-0000-00002D2D0000}"/>
    <cellStyle name="40% - Accent1 4 3 2 7" xfId="20258" xr:uid="{00000000-0005-0000-0000-00002E2D0000}"/>
    <cellStyle name="40% - Accent1 4 3 3" xfId="2939" xr:uid="{00000000-0005-0000-0000-00002F2D0000}"/>
    <cellStyle name="40% - Accent1 4 3 3 2" xfId="2940" xr:uid="{00000000-0005-0000-0000-0000302D0000}"/>
    <cellStyle name="40% - Accent1 4 3 3 2 2" xfId="15126" xr:uid="{00000000-0005-0000-0000-0000312D0000}"/>
    <cellStyle name="40% - Accent1 4 3 3 2 2 2" xfId="28675" xr:uid="{00000000-0005-0000-0000-0000322D0000}"/>
    <cellStyle name="40% - Accent1 4 3 3 2 3" xfId="20264" xr:uid="{00000000-0005-0000-0000-0000332D0000}"/>
    <cellStyle name="40% - Accent1 4 3 3 3" xfId="10967" xr:uid="{00000000-0005-0000-0000-0000342D0000}"/>
    <cellStyle name="40% - Accent1 4 3 3 3 2" xfId="24909" xr:uid="{00000000-0005-0000-0000-0000352D0000}"/>
    <cellStyle name="40% - Accent1 4 3 3 4" xfId="20263" xr:uid="{00000000-0005-0000-0000-0000362D0000}"/>
    <cellStyle name="40% - Accent1 4 3 4" xfId="2941" xr:uid="{00000000-0005-0000-0000-0000372D0000}"/>
    <cellStyle name="40% - Accent1 4 3 4 2" xfId="12146" xr:uid="{00000000-0005-0000-0000-0000382D0000}"/>
    <cellStyle name="40% - Accent1 4 3 4 2 2" xfId="25858" xr:uid="{00000000-0005-0000-0000-0000392D0000}"/>
    <cellStyle name="40% - Accent1 4 3 4 3" xfId="20265" xr:uid="{00000000-0005-0000-0000-00003A2D0000}"/>
    <cellStyle name="40% - Accent1 4 3 5" xfId="2942" xr:uid="{00000000-0005-0000-0000-00003B2D0000}"/>
    <cellStyle name="40% - Accent1 4 3 5 2" xfId="12596" xr:uid="{00000000-0005-0000-0000-00003C2D0000}"/>
    <cellStyle name="40% - Accent1 4 3 5 2 2" xfId="26308" xr:uid="{00000000-0005-0000-0000-00003D2D0000}"/>
    <cellStyle name="40% - Accent1 4 3 5 3" xfId="20266" xr:uid="{00000000-0005-0000-0000-00003E2D0000}"/>
    <cellStyle name="40% - Accent1 4 3 6" xfId="2943" xr:uid="{00000000-0005-0000-0000-00003F2D0000}"/>
    <cellStyle name="40% - Accent1 4 3 6 2" xfId="13710" xr:uid="{00000000-0005-0000-0000-0000402D0000}"/>
    <cellStyle name="40% - Accent1 4 3 6 2 2" xfId="27259" xr:uid="{00000000-0005-0000-0000-0000412D0000}"/>
    <cellStyle name="40% - Accent1 4 3 6 3" xfId="20267" xr:uid="{00000000-0005-0000-0000-0000422D0000}"/>
    <cellStyle name="40% - Accent1 4 3 7" xfId="2944" xr:uid="{00000000-0005-0000-0000-0000432D0000}"/>
    <cellStyle name="40% - Accent1 4 3 7 2" xfId="14291" xr:uid="{00000000-0005-0000-0000-0000442D0000}"/>
    <cellStyle name="40% - Accent1 4 3 7 2 2" xfId="27840" xr:uid="{00000000-0005-0000-0000-0000452D0000}"/>
    <cellStyle name="40% - Accent1 4 3 7 3" xfId="20268" xr:uid="{00000000-0005-0000-0000-0000462D0000}"/>
    <cellStyle name="40% - Accent1 4 3 8" xfId="2945" xr:uid="{00000000-0005-0000-0000-0000472D0000}"/>
    <cellStyle name="40% - Accent1 4 3 8 2" xfId="15124" xr:uid="{00000000-0005-0000-0000-0000482D0000}"/>
    <cellStyle name="40% - Accent1 4 3 8 2 2" xfId="28673" xr:uid="{00000000-0005-0000-0000-0000492D0000}"/>
    <cellStyle name="40% - Accent1 4 3 8 3" xfId="20269" xr:uid="{00000000-0005-0000-0000-00004A2D0000}"/>
    <cellStyle name="40% - Accent1 4 3 9" xfId="2946" xr:uid="{00000000-0005-0000-0000-00004B2D0000}"/>
    <cellStyle name="40% - Accent1 4 3 9 2" xfId="16177" xr:uid="{00000000-0005-0000-0000-00004C2D0000}"/>
    <cellStyle name="40% - Accent1 4 3 9 2 2" xfId="29584" xr:uid="{00000000-0005-0000-0000-00004D2D0000}"/>
    <cellStyle name="40% - Accent1 4 3 9 3" xfId="20270" xr:uid="{00000000-0005-0000-0000-00004E2D0000}"/>
    <cellStyle name="40% - Accent1 4 4" xfId="2947" xr:uid="{00000000-0005-0000-0000-00004F2D0000}"/>
    <cellStyle name="40% - Accent1 4 4 2" xfId="2948" xr:uid="{00000000-0005-0000-0000-0000502D0000}"/>
    <cellStyle name="40% - Accent1 4 4 2 2" xfId="10969" xr:uid="{00000000-0005-0000-0000-0000512D0000}"/>
    <cellStyle name="40% - Accent1 4 4 2 2 2" xfId="24911" xr:uid="{00000000-0005-0000-0000-0000522D0000}"/>
    <cellStyle name="40% - Accent1 4 4 2 3" xfId="20272" xr:uid="{00000000-0005-0000-0000-0000532D0000}"/>
    <cellStyle name="40% - Accent1 4 4 3" xfId="2949" xr:uid="{00000000-0005-0000-0000-0000542D0000}"/>
    <cellStyle name="40% - Accent1 4 4 3 2" xfId="12463" xr:uid="{00000000-0005-0000-0000-0000552D0000}"/>
    <cellStyle name="40% - Accent1 4 4 3 2 2" xfId="26175" xr:uid="{00000000-0005-0000-0000-0000562D0000}"/>
    <cellStyle name="40% - Accent1 4 4 3 3" xfId="20273" xr:uid="{00000000-0005-0000-0000-0000572D0000}"/>
    <cellStyle name="40% - Accent1 4 4 4" xfId="2950" xr:uid="{00000000-0005-0000-0000-0000582D0000}"/>
    <cellStyle name="40% - Accent1 4 4 4 2" xfId="15127" xr:uid="{00000000-0005-0000-0000-0000592D0000}"/>
    <cellStyle name="40% - Accent1 4 4 4 2 2" xfId="28676" xr:uid="{00000000-0005-0000-0000-00005A2D0000}"/>
    <cellStyle name="40% - Accent1 4 4 4 3" xfId="20274" xr:uid="{00000000-0005-0000-0000-00005B2D0000}"/>
    <cellStyle name="40% - Accent1 4 4 5" xfId="2951" xr:uid="{00000000-0005-0000-0000-00005C2D0000}"/>
    <cellStyle name="40% - Accent1 4 4 5 2" xfId="16466" xr:uid="{00000000-0005-0000-0000-00005D2D0000}"/>
    <cellStyle name="40% - Accent1 4 4 5 2 2" xfId="29873" xr:uid="{00000000-0005-0000-0000-00005E2D0000}"/>
    <cellStyle name="40% - Accent1 4 4 5 3" xfId="20275" xr:uid="{00000000-0005-0000-0000-00005F2D0000}"/>
    <cellStyle name="40% - Accent1 4 4 6" xfId="9243" xr:uid="{00000000-0005-0000-0000-0000602D0000}"/>
    <cellStyle name="40% - Accent1 4 4 6 2" xfId="23718" xr:uid="{00000000-0005-0000-0000-0000612D0000}"/>
    <cellStyle name="40% - Accent1 4 4 7" xfId="20271" xr:uid="{00000000-0005-0000-0000-0000622D0000}"/>
    <cellStyle name="40% - Accent1 4 5" xfId="2952" xr:uid="{00000000-0005-0000-0000-0000632D0000}"/>
    <cellStyle name="40% - Accent1 4 5 2" xfId="2953" xr:uid="{00000000-0005-0000-0000-0000642D0000}"/>
    <cellStyle name="40% - Accent1 4 5 2 2" xfId="15128" xr:uid="{00000000-0005-0000-0000-0000652D0000}"/>
    <cellStyle name="40% - Accent1 4 5 2 2 2" xfId="28677" xr:uid="{00000000-0005-0000-0000-0000662D0000}"/>
    <cellStyle name="40% - Accent1 4 5 2 3" xfId="20277" xr:uid="{00000000-0005-0000-0000-0000672D0000}"/>
    <cellStyle name="40% - Accent1 4 5 3" xfId="10962" xr:uid="{00000000-0005-0000-0000-0000682D0000}"/>
    <cellStyle name="40% - Accent1 4 5 3 2" xfId="24904" xr:uid="{00000000-0005-0000-0000-0000692D0000}"/>
    <cellStyle name="40% - Accent1 4 5 4" xfId="20276" xr:uid="{00000000-0005-0000-0000-00006A2D0000}"/>
    <cellStyle name="40% - Accent1 4 6" xfId="2954" xr:uid="{00000000-0005-0000-0000-00006B2D0000}"/>
    <cellStyle name="40% - Accent1 4 6 2" xfId="11817" xr:uid="{00000000-0005-0000-0000-00006C2D0000}"/>
    <cellStyle name="40% - Accent1 4 6 2 2" xfId="25532" xr:uid="{00000000-0005-0000-0000-00006D2D0000}"/>
    <cellStyle name="40% - Accent1 4 6 3" xfId="20278" xr:uid="{00000000-0005-0000-0000-00006E2D0000}"/>
    <cellStyle name="40% - Accent1 4 7" xfId="2955" xr:uid="{00000000-0005-0000-0000-00006F2D0000}"/>
    <cellStyle name="40% - Accent1 4 7 2" xfId="12649" xr:uid="{00000000-0005-0000-0000-0000702D0000}"/>
    <cellStyle name="40% - Accent1 4 7 2 2" xfId="26361" xr:uid="{00000000-0005-0000-0000-0000712D0000}"/>
    <cellStyle name="40% - Accent1 4 7 3" xfId="20279" xr:uid="{00000000-0005-0000-0000-0000722D0000}"/>
    <cellStyle name="40% - Accent1 4 8" xfId="2956" xr:uid="{00000000-0005-0000-0000-0000732D0000}"/>
    <cellStyle name="40% - Accent1 4 8 2" xfId="13418" xr:uid="{00000000-0005-0000-0000-0000742D0000}"/>
    <cellStyle name="40% - Accent1 4 8 2 2" xfId="26967" xr:uid="{00000000-0005-0000-0000-0000752D0000}"/>
    <cellStyle name="40% - Accent1 4 8 3" xfId="20280" xr:uid="{00000000-0005-0000-0000-0000762D0000}"/>
    <cellStyle name="40% - Accent1 4 9" xfId="2957" xr:uid="{00000000-0005-0000-0000-0000772D0000}"/>
    <cellStyle name="40% - Accent1 4 9 2" xfId="13999" xr:uid="{00000000-0005-0000-0000-0000782D0000}"/>
    <cellStyle name="40% - Accent1 4 9 2 2" xfId="27548" xr:uid="{00000000-0005-0000-0000-0000792D0000}"/>
    <cellStyle name="40% - Accent1 4 9 3" xfId="20281" xr:uid="{00000000-0005-0000-0000-00007A2D0000}"/>
    <cellStyle name="40% - Accent1 5" xfId="2958" xr:uid="{00000000-0005-0000-0000-00007B2D0000}"/>
    <cellStyle name="40% - Accent1 5 10" xfId="2959" xr:uid="{00000000-0005-0000-0000-00007C2D0000}"/>
    <cellStyle name="40% - Accent1 5 10 2" xfId="15129" xr:uid="{00000000-0005-0000-0000-00007D2D0000}"/>
    <cellStyle name="40% - Accent1 5 10 2 2" xfId="28678" xr:uid="{00000000-0005-0000-0000-00007E2D0000}"/>
    <cellStyle name="40% - Accent1 5 10 3" xfId="20283" xr:uid="{00000000-0005-0000-0000-00007F2D0000}"/>
    <cellStyle name="40% - Accent1 5 11" xfId="2960" xr:uid="{00000000-0005-0000-0000-0000802D0000}"/>
    <cellStyle name="40% - Accent1 5 11 2" xfId="15868" xr:uid="{00000000-0005-0000-0000-0000812D0000}"/>
    <cellStyle name="40% - Accent1 5 11 2 2" xfId="29275" xr:uid="{00000000-0005-0000-0000-0000822D0000}"/>
    <cellStyle name="40% - Accent1 5 11 3" xfId="20284" xr:uid="{00000000-0005-0000-0000-0000832D0000}"/>
    <cellStyle name="40% - Accent1 5 12" xfId="9244" xr:uid="{00000000-0005-0000-0000-0000842D0000}"/>
    <cellStyle name="40% - Accent1 5 12 2" xfId="23719" xr:uid="{00000000-0005-0000-0000-0000852D0000}"/>
    <cellStyle name="40% - Accent1 5 13" xfId="20282" xr:uid="{00000000-0005-0000-0000-0000862D0000}"/>
    <cellStyle name="40% - Accent1 5 2" xfId="2961" xr:uid="{00000000-0005-0000-0000-0000872D0000}"/>
    <cellStyle name="40% - Accent1 5 2 10" xfId="2962" xr:uid="{00000000-0005-0000-0000-0000882D0000}"/>
    <cellStyle name="40% - Accent1 5 2 10 2" xfId="16011" xr:uid="{00000000-0005-0000-0000-0000892D0000}"/>
    <cellStyle name="40% - Accent1 5 2 10 2 2" xfId="29418" xr:uid="{00000000-0005-0000-0000-00008A2D0000}"/>
    <cellStyle name="40% - Accent1 5 2 10 3" xfId="20286" xr:uid="{00000000-0005-0000-0000-00008B2D0000}"/>
    <cellStyle name="40% - Accent1 5 2 11" xfId="9245" xr:uid="{00000000-0005-0000-0000-00008C2D0000}"/>
    <cellStyle name="40% - Accent1 5 2 11 2" xfId="23720" xr:uid="{00000000-0005-0000-0000-00008D2D0000}"/>
    <cellStyle name="40% - Accent1 5 2 12" xfId="20285" xr:uid="{00000000-0005-0000-0000-00008E2D0000}"/>
    <cellStyle name="40% - Accent1 5 2 2" xfId="2963" xr:uid="{00000000-0005-0000-0000-00008F2D0000}"/>
    <cellStyle name="40% - Accent1 5 2 2 10" xfId="9246" xr:uid="{00000000-0005-0000-0000-0000902D0000}"/>
    <cellStyle name="40% - Accent1 5 2 2 10 2" xfId="23721" xr:uid="{00000000-0005-0000-0000-0000912D0000}"/>
    <cellStyle name="40% - Accent1 5 2 2 11" xfId="20287" xr:uid="{00000000-0005-0000-0000-0000922D0000}"/>
    <cellStyle name="40% - Accent1 5 2 2 2" xfId="2964" xr:uid="{00000000-0005-0000-0000-0000932D0000}"/>
    <cellStyle name="40% - Accent1 5 2 2 2 2" xfId="2965" xr:uid="{00000000-0005-0000-0000-0000942D0000}"/>
    <cellStyle name="40% - Accent1 5 2 2 2 2 2" xfId="10973" xr:uid="{00000000-0005-0000-0000-0000952D0000}"/>
    <cellStyle name="40% - Accent1 5 2 2 2 2 2 2" xfId="24915" xr:uid="{00000000-0005-0000-0000-0000962D0000}"/>
    <cellStyle name="40% - Accent1 5 2 2 2 2 3" xfId="20289" xr:uid="{00000000-0005-0000-0000-0000972D0000}"/>
    <cellStyle name="40% - Accent1 5 2 2 2 3" xfId="2966" xr:uid="{00000000-0005-0000-0000-0000982D0000}"/>
    <cellStyle name="40% - Accent1 5 2 2 2 3 2" xfId="12517" xr:uid="{00000000-0005-0000-0000-0000992D0000}"/>
    <cellStyle name="40% - Accent1 5 2 2 2 3 2 2" xfId="26229" xr:uid="{00000000-0005-0000-0000-00009A2D0000}"/>
    <cellStyle name="40% - Accent1 5 2 2 2 3 3" xfId="20290" xr:uid="{00000000-0005-0000-0000-00009B2D0000}"/>
    <cellStyle name="40% - Accent1 5 2 2 2 4" xfId="2967" xr:uid="{00000000-0005-0000-0000-00009C2D0000}"/>
    <cellStyle name="40% - Accent1 5 2 2 2 4 2" xfId="15132" xr:uid="{00000000-0005-0000-0000-00009D2D0000}"/>
    <cellStyle name="40% - Accent1 5 2 2 2 4 2 2" xfId="28681" xr:uid="{00000000-0005-0000-0000-00009E2D0000}"/>
    <cellStyle name="40% - Accent1 5 2 2 2 4 3" xfId="20291" xr:uid="{00000000-0005-0000-0000-00009F2D0000}"/>
    <cellStyle name="40% - Accent1 5 2 2 2 5" xfId="2968" xr:uid="{00000000-0005-0000-0000-0000A02D0000}"/>
    <cellStyle name="40% - Accent1 5 2 2 2 5 2" xfId="16881" xr:uid="{00000000-0005-0000-0000-0000A12D0000}"/>
    <cellStyle name="40% - Accent1 5 2 2 2 5 2 2" xfId="30288" xr:uid="{00000000-0005-0000-0000-0000A22D0000}"/>
    <cellStyle name="40% - Accent1 5 2 2 2 5 3" xfId="20292" xr:uid="{00000000-0005-0000-0000-0000A32D0000}"/>
    <cellStyle name="40% - Accent1 5 2 2 2 6" xfId="9247" xr:uid="{00000000-0005-0000-0000-0000A42D0000}"/>
    <cellStyle name="40% - Accent1 5 2 2 2 6 2" xfId="23722" xr:uid="{00000000-0005-0000-0000-0000A52D0000}"/>
    <cellStyle name="40% - Accent1 5 2 2 2 7" xfId="20288" xr:uid="{00000000-0005-0000-0000-0000A62D0000}"/>
    <cellStyle name="40% - Accent1 5 2 2 3" xfId="2969" xr:uid="{00000000-0005-0000-0000-0000A72D0000}"/>
    <cellStyle name="40% - Accent1 5 2 2 3 2" xfId="2970" xr:uid="{00000000-0005-0000-0000-0000A82D0000}"/>
    <cellStyle name="40% - Accent1 5 2 2 3 2 2" xfId="15133" xr:uid="{00000000-0005-0000-0000-0000A92D0000}"/>
    <cellStyle name="40% - Accent1 5 2 2 3 2 2 2" xfId="28682" xr:uid="{00000000-0005-0000-0000-0000AA2D0000}"/>
    <cellStyle name="40% - Accent1 5 2 2 3 2 3" xfId="20294" xr:uid="{00000000-0005-0000-0000-0000AB2D0000}"/>
    <cellStyle name="40% - Accent1 5 2 2 3 3" xfId="10972" xr:uid="{00000000-0005-0000-0000-0000AC2D0000}"/>
    <cellStyle name="40% - Accent1 5 2 2 3 3 2" xfId="24914" xr:uid="{00000000-0005-0000-0000-0000AD2D0000}"/>
    <cellStyle name="40% - Accent1 5 2 2 3 4" xfId="20293" xr:uid="{00000000-0005-0000-0000-0000AE2D0000}"/>
    <cellStyle name="40% - Accent1 5 2 2 4" xfId="2971" xr:uid="{00000000-0005-0000-0000-0000AF2D0000}"/>
    <cellStyle name="40% - Accent1 5 2 2 4 2" xfId="12269" xr:uid="{00000000-0005-0000-0000-0000B02D0000}"/>
    <cellStyle name="40% - Accent1 5 2 2 4 2 2" xfId="25981" xr:uid="{00000000-0005-0000-0000-0000B12D0000}"/>
    <cellStyle name="40% - Accent1 5 2 2 4 3" xfId="20295" xr:uid="{00000000-0005-0000-0000-0000B22D0000}"/>
    <cellStyle name="40% - Accent1 5 2 2 5" xfId="2972" xr:uid="{00000000-0005-0000-0000-0000B32D0000}"/>
    <cellStyle name="40% - Accent1 5 2 2 5 2" xfId="12469" xr:uid="{00000000-0005-0000-0000-0000B42D0000}"/>
    <cellStyle name="40% - Accent1 5 2 2 5 2 2" xfId="26181" xr:uid="{00000000-0005-0000-0000-0000B52D0000}"/>
    <cellStyle name="40% - Accent1 5 2 2 5 3" xfId="20296" xr:uid="{00000000-0005-0000-0000-0000B62D0000}"/>
    <cellStyle name="40% - Accent1 5 2 2 6" xfId="2973" xr:uid="{00000000-0005-0000-0000-0000B72D0000}"/>
    <cellStyle name="40% - Accent1 5 2 2 6 2" xfId="13833" xr:uid="{00000000-0005-0000-0000-0000B82D0000}"/>
    <cellStyle name="40% - Accent1 5 2 2 6 2 2" xfId="27382" xr:uid="{00000000-0005-0000-0000-0000B92D0000}"/>
    <cellStyle name="40% - Accent1 5 2 2 6 3" xfId="20297" xr:uid="{00000000-0005-0000-0000-0000BA2D0000}"/>
    <cellStyle name="40% - Accent1 5 2 2 7" xfId="2974" xr:uid="{00000000-0005-0000-0000-0000BB2D0000}"/>
    <cellStyle name="40% - Accent1 5 2 2 7 2" xfId="14414" xr:uid="{00000000-0005-0000-0000-0000BC2D0000}"/>
    <cellStyle name="40% - Accent1 5 2 2 7 2 2" xfId="27963" xr:uid="{00000000-0005-0000-0000-0000BD2D0000}"/>
    <cellStyle name="40% - Accent1 5 2 2 7 3" xfId="20298" xr:uid="{00000000-0005-0000-0000-0000BE2D0000}"/>
    <cellStyle name="40% - Accent1 5 2 2 8" xfId="2975" xr:uid="{00000000-0005-0000-0000-0000BF2D0000}"/>
    <cellStyle name="40% - Accent1 5 2 2 8 2" xfId="15131" xr:uid="{00000000-0005-0000-0000-0000C02D0000}"/>
    <cellStyle name="40% - Accent1 5 2 2 8 2 2" xfId="28680" xr:uid="{00000000-0005-0000-0000-0000C12D0000}"/>
    <cellStyle name="40% - Accent1 5 2 2 8 3" xfId="20299" xr:uid="{00000000-0005-0000-0000-0000C22D0000}"/>
    <cellStyle name="40% - Accent1 5 2 2 9" xfId="2976" xr:uid="{00000000-0005-0000-0000-0000C32D0000}"/>
    <cellStyle name="40% - Accent1 5 2 2 9 2" xfId="16300" xr:uid="{00000000-0005-0000-0000-0000C42D0000}"/>
    <cellStyle name="40% - Accent1 5 2 2 9 2 2" xfId="29707" xr:uid="{00000000-0005-0000-0000-0000C52D0000}"/>
    <cellStyle name="40% - Accent1 5 2 2 9 3" xfId="20300" xr:uid="{00000000-0005-0000-0000-0000C62D0000}"/>
    <cellStyle name="40% - Accent1 5 2 3" xfId="2977" xr:uid="{00000000-0005-0000-0000-0000C72D0000}"/>
    <cellStyle name="40% - Accent1 5 2 3 2" xfId="2978" xr:uid="{00000000-0005-0000-0000-0000C82D0000}"/>
    <cellStyle name="40% - Accent1 5 2 3 2 2" xfId="10974" xr:uid="{00000000-0005-0000-0000-0000C92D0000}"/>
    <cellStyle name="40% - Accent1 5 2 3 2 2 2" xfId="24916" xr:uid="{00000000-0005-0000-0000-0000CA2D0000}"/>
    <cellStyle name="40% - Accent1 5 2 3 2 3" xfId="20302" xr:uid="{00000000-0005-0000-0000-0000CB2D0000}"/>
    <cellStyle name="40% - Accent1 5 2 3 3" xfId="2979" xr:uid="{00000000-0005-0000-0000-0000CC2D0000}"/>
    <cellStyle name="40% - Accent1 5 2 3 3 2" xfId="11771" xr:uid="{00000000-0005-0000-0000-0000CD2D0000}"/>
    <cellStyle name="40% - Accent1 5 2 3 3 2 2" xfId="25486" xr:uid="{00000000-0005-0000-0000-0000CE2D0000}"/>
    <cellStyle name="40% - Accent1 5 2 3 3 3" xfId="20303" xr:uid="{00000000-0005-0000-0000-0000CF2D0000}"/>
    <cellStyle name="40% - Accent1 5 2 3 4" xfId="2980" xr:uid="{00000000-0005-0000-0000-0000D02D0000}"/>
    <cellStyle name="40% - Accent1 5 2 3 4 2" xfId="15134" xr:uid="{00000000-0005-0000-0000-0000D12D0000}"/>
    <cellStyle name="40% - Accent1 5 2 3 4 2 2" xfId="28683" xr:uid="{00000000-0005-0000-0000-0000D22D0000}"/>
    <cellStyle name="40% - Accent1 5 2 3 4 3" xfId="20304" xr:uid="{00000000-0005-0000-0000-0000D32D0000}"/>
    <cellStyle name="40% - Accent1 5 2 3 5" xfId="2981" xr:uid="{00000000-0005-0000-0000-0000D42D0000}"/>
    <cellStyle name="40% - Accent1 5 2 3 5 2" xfId="16592" xr:uid="{00000000-0005-0000-0000-0000D52D0000}"/>
    <cellStyle name="40% - Accent1 5 2 3 5 2 2" xfId="29999" xr:uid="{00000000-0005-0000-0000-0000D62D0000}"/>
    <cellStyle name="40% - Accent1 5 2 3 5 3" xfId="20305" xr:uid="{00000000-0005-0000-0000-0000D72D0000}"/>
    <cellStyle name="40% - Accent1 5 2 3 6" xfId="9248" xr:uid="{00000000-0005-0000-0000-0000D82D0000}"/>
    <cellStyle name="40% - Accent1 5 2 3 6 2" xfId="23723" xr:uid="{00000000-0005-0000-0000-0000D92D0000}"/>
    <cellStyle name="40% - Accent1 5 2 3 7" xfId="20301" xr:uid="{00000000-0005-0000-0000-0000DA2D0000}"/>
    <cellStyle name="40% - Accent1 5 2 4" xfId="2982" xr:uid="{00000000-0005-0000-0000-0000DB2D0000}"/>
    <cellStyle name="40% - Accent1 5 2 4 2" xfId="2983" xr:uid="{00000000-0005-0000-0000-0000DC2D0000}"/>
    <cellStyle name="40% - Accent1 5 2 4 2 2" xfId="15135" xr:uid="{00000000-0005-0000-0000-0000DD2D0000}"/>
    <cellStyle name="40% - Accent1 5 2 4 2 2 2" xfId="28684" xr:uid="{00000000-0005-0000-0000-0000DE2D0000}"/>
    <cellStyle name="40% - Accent1 5 2 4 2 3" xfId="20307" xr:uid="{00000000-0005-0000-0000-0000DF2D0000}"/>
    <cellStyle name="40% - Accent1 5 2 4 3" xfId="10971" xr:uid="{00000000-0005-0000-0000-0000E02D0000}"/>
    <cellStyle name="40% - Accent1 5 2 4 3 2" xfId="24913" xr:uid="{00000000-0005-0000-0000-0000E12D0000}"/>
    <cellStyle name="40% - Accent1 5 2 4 4" xfId="20306" xr:uid="{00000000-0005-0000-0000-0000E22D0000}"/>
    <cellStyle name="40% - Accent1 5 2 5" xfId="2984" xr:uid="{00000000-0005-0000-0000-0000E32D0000}"/>
    <cellStyle name="40% - Accent1 5 2 5 2" xfId="11969" xr:uid="{00000000-0005-0000-0000-0000E42D0000}"/>
    <cellStyle name="40% - Accent1 5 2 5 2 2" xfId="25684" xr:uid="{00000000-0005-0000-0000-0000E52D0000}"/>
    <cellStyle name="40% - Accent1 5 2 5 3" xfId="20308" xr:uid="{00000000-0005-0000-0000-0000E62D0000}"/>
    <cellStyle name="40% - Accent1 5 2 6" xfId="2985" xr:uid="{00000000-0005-0000-0000-0000E72D0000}"/>
    <cellStyle name="40% - Accent1 5 2 6 2" xfId="12686" xr:uid="{00000000-0005-0000-0000-0000E82D0000}"/>
    <cellStyle name="40% - Accent1 5 2 6 2 2" xfId="26398" xr:uid="{00000000-0005-0000-0000-0000E92D0000}"/>
    <cellStyle name="40% - Accent1 5 2 6 3" xfId="20309" xr:uid="{00000000-0005-0000-0000-0000EA2D0000}"/>
    <cellStyle name="40% - Accent1 5 2 7" xfId="2986" xr:uid="{00000000-0005-0000-0000-0000EB2D0000}"/>
    <cellStyle name="40% - Accent1 5 2 7 2" xfId="13544" xr:uid="{00000000-0005-0000-0000-0000EC2D0000}"/>
    <cellStyle name="40% - Accent1 5 2 7 2 2" xfId="27093" xr:uid="{00000000-0005-0000-0000-0000ED2D0000}"/>
    <cellStyle name="40% - Accent1 5 2 7 3" xfId="20310" xr:uid="{00000000-0005-0000-0000-0000EE2D0000}"/>
    <cellStyle name="40% - Accent1 5 2 8" xfId="2987" xr:uid="{00000000-0005-0000-0000-0000EF2D0000}"/>
    <cellStyle name="40% - Accent1 5 2 8 2" xfId="14125" xr:uid="{00000000-0005-0000-0000-0000F02D0000}"/>
    <cellStyle name="40% - Accent1 5 2 8 2 2" xfId="27674" xr:uid="{00000000-0005-0000-0000-0000F12D0000}"/>
    <cellStyle name="40% - Accent1 5 2 8 3" xfId="20311" xr:uid="{00000000-0005-0000-0000-0000F22D0000}"/>
    <cellStyle name="40% - Accent1 5 2 9" xfId="2988" xr:uid="{00000000-0005-0000-0000-0000F32D0000}"/>
    <cellStyle name="40% - Accent1 5 2 9 2" xfId="15130" xr:uid="{00000000-0005-0000-0000-0000F42D0000}"/>
    <cellStyle name="40% - Accent1 5 2 9 2 2" xfId="28679" xr:uid="{00000000-0005-0000-0000-0000F52D0000}"/>
    <cellStyle name="40% - Accent1 5 2 9 3" xfId="20312" xr:uid="{00000000-0005-0000-0000-0000F62D0000}"/>
    <cellStyle name="40% - Accent1 5 3" xfId="2989" xr:uid="{00000000-0005-0000-0000-0000F72D0000}"/>
    <cellStyle name="40% - Accent1 5 3 10" xfId="9249" xr:uid="{00000000-0005-0000-0000-0000F82D0000}"/>
    <cellStyle name="40% - Accent1 5 3 10 2" xfId="23724" xr:uid="{00000000-0005-0000-0000-0000F92D0000}"/>
    <cellStyle name="40% - Accent1 5 3 11" xfId="20313" xr:uid="{00000000-0005-0000-0000-0000FA2D0000}"/>
    <cellStyle name="40% - Accent1 5 3 2" xfId="2990" xr:uid="{00000000-0005-0000-0000-0000FB2D0000}"/>
    <cellStyle name="40% - Accent1 5 3 2 2" xfId="2991" xr:uid="{00000000-0005-0000-0000-0000FC2D0000}"/>
    <cellStyle name="40% - Accent1 5 3 2 2 2" xfId="10976" xr:uid="{00000000-0005-0000-0000-0000FD2D0000}"/>
    <cellStyle name="40% - Accent1 5 3 2 2 2 2" xfId="24918" xr:uid="{00000000-0005-0000-0000-0000FE2D0000}"/>
    <cellStyle name="40% - Accent1 5 3 2 2 3" xfId="20315" xr:uid="{00000000-0005-0000-0000-0000FF2D0000}"/>
    <cellStyle name="40% - Accent1 5 3 2 3" xfId="2992" xr:uid="{00000000-0005-0000-0000-0000002E0000}"/>
    <cellStyle name="40% - Accent1 5 3 2 3 2" xfId="12727" xr:uid="{00000000-0005-0000-0000-0000012E0000}"/>
    <cellStyle name="40% - Accent1 5 3 2 3 2 2" xfId="26439" xr:uid="{00000000-0005-0000-0000-0000022E0000}"/>
    <cellStyle name="40% - Accent1 5 3 2 3 3" xfId="20316" xr:uid="{00000000-0005-0000-0000-0000032E0000}"/>
    <cellStyle name="40% - Accent1 5 3 2 4" xfId="2993" xr:uid="{00000000-0005-0000-0000-0000042E0000}"/>
    <cellStyle name="40% - Accent1 5 3 2 4 2" xfId="15137" xr:uid="{00000000-0005-0000-0000-0000052E0000}"/>
    <cellStyle name="40% - Accent1 5 3 2 4 2 2" xfId="28686" xr:uid="{00000000-0005-0000-0000-0000062E0000}"/>
    <cellStyle name="40% - Accent1 5 3 2 4 3" xfId="20317" xr:uid="{00000000-0005-0000-0000-0000072E0000}"/>
    <cellStyle name="40% - Accent1 5 3 2 5" xfId="2994" xr:uid="{00000000-0005-0000-0000-0000082E0000}"/>
    <cellStyle name="40% - Accent1 5 3 2 5 2" xfId="16741" xr:uid="{00000000-0005-0000-0000-0000092E0000}"/>
    <cellStyle name="40% - Accent1 5 3 2 5 2 2" xfId="30148" xr:uid="{00000000-0005-0000-0000-00000A2E0000}"/>
    <cellStyle name="40% - Accent1 5 3 2 5 3" xfId="20318" xr:uid="{00000000-0005-0000-0000-00000B2E0000}"/>
    <cellStyle name="40% - Accent1 5 3 2 6" xfId="9250" xr:uid="{00000000-0005-0000-0000-00000C2E0000}"/>
    <cellStyle name="40% - Accent1 5 3 2 6 2" xfId="23725" xr:uid="{00000000-0005-0000-0000-00000D2E0000}"/>
    <cellStyle name="40% - Accent1 5 3 2 7" xfId="20314" xr:uid="{00000000-0005-0000-0000-00000E2E0000}"/>
    <cellStyle name="40% - Accent1 5 3 3" xfId="2995" xr:uid="{00000000-0005-0000-0000-00000F2E0000}"/>
    <cellStyle name="40% - Accent1 5 3 3 2" xfId="2996" xr:uid="{00000000-0005-0000-0000-0000102E0000}"/>
    <cellStyle name="40% - Accent1 5 3 3 2 2" xfId="15138" xr:uid="{00000000-0005-0000-0000-0000112E0000}"/>
    <cellStyle name="40% - Accent1 5 3 3 2 2 2" xfId="28687" xr:uid="{00000000-0005-0000-0000-0000122E0000}"/>
    <cellStyle name="40% - Accent1 5 3 3 2 3" xfId="20320" xr:uid="{00000000-0005-0000-0000-0000132E0000}"/>
    <cellStyle name="40% - Accent1 5 3 3 3" xfId="10975" xr:uid="{00000000-0005-0000-0000-0000142E0000}"/>
    <cellStyle name="40% - Accent1 5 3 3 3 2" xfId="24917" xr:uid="{00000000-0005-0000-0000-0000152E0000}"/>
    <cellStyle name="40% - Accent1 5 3 3 4" xfId="20319" xr:uid="{00000000-0005-0000-0000-0000162E0000}"/>
    <cellStyle name="40% - Accent1 5 3 4" xfId="2997" xr:uid="{00000000-0005-0000-0000-0000172E0000}"/>
    <cellStyle name="40% - Accent1 5 3 4 2" xfId="12129" xr:uid="{00000000-0005-0000-0000-0000182E0000}"/>
    <cellStyle name="40% - Accent1 5 3 4 2 2" xfId="25841" xr:uid="{00000000-0005-0000-0000-0000192E0000}"/>
    <cellStyle name="40% - Accent1 5 3 4 3" xfId="20321" xr:uid="{00000000-0005-0000-0000-00001A2E0000}"/>
    <cellStyle name="40% - Accent1 5 3 5" xfId="2998" xr:uid="{00000000-0005-0000-0000-00001B2E0000}"/>
    <cellStyle name="40% - Accent1 5 3 5 2" xfId="12732" xr:uid="{00000000-0005-0000-0000-00001C2E0000}"/>
    <cellStyle name="40% - Accent1 5 3 5 2 2" xfId="26444" xr:uid="{00000000-0005-0000-0000-00001D2E0000}"/>
    <cellStyle name="40% - Accent1 5 3 5 3" xfId="20322" xr:uid="{00000000-0005-0000-0000-00001E2E0000}"/>
    <cellStyle name="40% - Accent1 5 3 6" xfId="2999" xr:uid="{00000000-0005-0000-0000-00001F2E0000}"/>
    <cellStyle name="40% - Accent1 5 3 6 2" xfId="13693" xr:uid="{00000000-0005-0000-0000-0000202E0000}"/>
    <cellStyle name="40% - Accent1 5 3 6 2 2" xfId="27242" xr:uid="{00000000-0005-0000-0000-0000212E0000}"/>
    <cellStyle name="40% - Accent1 5 3 6 3" xfId="20323" xr:uid="{00000000-0005-0000-0000-0000222E0000}"/>
    <cellStyle name="40% - Accent1 5 3 7" xfId="3000" xr:uid="{00000000-0005-0000-0000-0000232E0000}"/>
    <cellStyle name="40% - Accent1 5 3 7 2" xfId="14274" xr:uid="{00000000-0005-0000-0000-0000242E0000}"/>
    <cellStyle name="40% - Accent1 5 3 7 2 2" xfId="27823" xr:uid="{00000000-0005-0000-0000-0000252E0000}"/>
    <cellStyle name="40% - Accent1 5 3 7 3" xfId="20324" xr:uid="{00000000-0005-0000-0000-0000262E0000}"/>
    <cellStyle name="40% - Accent1 5 3 8" xfId="3001" xr:uid="{00000000-0005-0000-0000-0000272E0000}"/>
    <cellStyle name="40% - Accent1 5 3 8 2" xfId="15136" xr:uid="{00000000-0005-0000-0000-0000282E0000}"/>
    <cellStyle name="40% - Accent1 5 3 8 2 2" xfId="28685" xr:uid="{00000000-0005-0000-0000-0000292E0000}"/>
    <cellStyle name="40% - Accent1 5 3 8 3" xfId="20325" xr:uid="{00000000-0005-0000-0000-00002A2E0000}"/>
    <cellStyle name="40% - Accent1 5 3 9" xfId="3002" xr:uid="{00000000-0005-0000-0000-00002B2E0000}"/>
    <cellStyle name="40% - Accent1 5 3 9 2" xfId="16160" xr:uid="{00000000-0005-0000-0000-00002C2E0000}"/>
    <cellStyle name="40% - Accent1 5 3 9 2 2" xfId="29567" xr:uid="{00000000-0005-0000-0000-00002D2E0000}"/>
    <cellStyle name="40% - Accent1 5 3 9 3" xfId="20326" xr:uid="{00000000-0005-0000-0000-00002E2E0000}"/>
    <cellStyle name="40% - Accent1 5 4" xfId="3003" xr:uid="{00000000-0005-0000-0000-00002F2E0000}"/>
    <cellStyle name="40% - Accent1 5 4 2" xfId="3004" xr:uid="{00000000-0005-0000-0000-0000302E0000}"/>
    <cellStyle name="40% - Accent1 5 4 2 2" xfId="10977" xr:uid="{00000000-0005-0000-0000-0000312E0000}"/>
    <cellStyle name="40% - Accent1 5 4 2 2 2" xfId="24919" xr:uid="{00000000-0005-0000-0000-0000322E0000}"/>
    <cellStyle name="40% - Accent1 5 4 2 3" xfId="20328" xr:uid="{00000000-0005-0000-0000-0000332E0000}"/>
    <cellStyle name="40% - Accent1 5 4 3" xfId="3005" xr:uid="{00000000-0005-0000-0000-0000342E0000}"/>
    <cellStyle name="40% - Accent1 5 4 3 2" xfId="12524" xr:uid="{00000000-0005-0000-0000-0000352E0000}"/>
    <cellStyle name="40% - Accent1 5 4 3 2 2" xfId="26236" xr:uid="{00000000-0005-0000-0000-0000362E0000}"/>
    <cellStyle name="40% - Accent1 5 4 3 3" xfId="20329" xr:uid="{00000000-0005-0000-0000-0000372E0000}"/>
    <cellStyle name="40% - Accent1 5 4 4" xfId="3006" xr:uid="{00000000-0005-0000-0000-0000382E0000}"/>
    <cellStyle name="40% - Accent1 5 4 4 2" xfId="15139" xr:uid="{00000000-0005-0000-0000-0000392E0000}"/>
    <cellStyle name="40% - Accent1 5 4 4 2 2" xfId="28688" xr:uid="{00000000-0005-0000-0000-00003A2E0000}"/>
    <cellStyle name="40% - Accent1 5 4 4 3" xfId="20330" xr:uid="{00000000-0005-0000-0000-00003B2E0000}"/>
    <cellStyle name="40% - Accent1 5 4 5" xfId="3007" xr:uid="{00000000-0005-0000-0000-00003C2E0000}"/>
    <cellStyle name="40% - Accent1 5 4 5 2" xfId="16449" xr:uid="{00000000-0005-0000-0000-00003D2E0000}"/>
    <cellStyle name="40% - Accent1 5 4 5 2 2" xfId="29856" xr:uid="{00000000-0005-0000-0000-00003E2E0000}"/>
    <cellStyle name="40% - Accent1 5 4 5 3" xfId="20331" xr:uid="{00000000-0005-0000-0000-00003F2E0000}"/>
    <cellStyle name="40% - Accent1 5 4 6" xfId="9251" xr:uid="{00000000-0005-0000-0000-0000402E0000}"/>
    <cellStyle name="40% - Accent1 5 4 6 2" xfId="23726" xr:uid="{00000000-0005-0000-0000-0000412E0000}"/>
    <cellStyle name="40% - Accent1 5 4 7" xfId="20327" xr:uid="{00000000-0005-0000-0000-0000422E0000}"/>
    <cellStyle name="40% - Accent1 5 5" xfId="3008" xr:uid="{00000000-0005-0000-0000-0000432E0000}"/>
    <cellStyle name="40% - Accent1 5 5 2" xfId="3009" xr:uid="{00000000-0005-0000-0000-0000442E0000}"/>
    <cellStyle name="40% - Accent1 5 5 2 2" xfId="15140" xr:uid="{00000000-0005-0000-0000-0000452E0000}"/>
    <cellStyle name="40% - Accent1 5 5 2 2 2" xfId="28689" xr:uid="{00000000-0005-0000-0000-0000462E0000}"/>
    <cellStyle name="40% - Accent1 5 5 2 3" xfId="20333" xr:uid="{00000000-0005-0000-0000-0000472E0000}"/>
    <cellStyle name="40% - Accent1 5 5 3" xfId="10970" xr:uid="{00000000-0005-0000-0000-0000482E0000}"/>
    <cellStyle name="40% - Accent1 5 5 3 2" xfId="24912" xr:uid="{00000000-0005-0000-0000-0000492E0000}"/>
    <cellStyle name="40% - Accent1 5 5 4" xfId="20332" xr:uid="{00000000-0005-0000-0000-00004A2E0000}"/>
    <cellStyle name="40% - Accent1 5 6" xfId="3010" xr:uid="{00000000-0005-0000-0000-00004B2E0000}"/>
    <cellStyle name="40% - Accent1 5 6 2" xfId="11800" xr:uid="{00000000-0005-0000-0000-00004C2E0000}"/>
    <cellStyle name="40% - Accent1 5 6 2 2" xfId="25515" xr:uid="{00000000-0005-0000-0000-00004D2E0000}"/>
    <cellStyle name="40% - Accent1 5 6 3" xfId="20334" xr:uid="{00000000-0005-0000-0000-00004E2E0000}"/>
    <cellStyle name="40% - Accent1 5 7" xfId="3011" xr:uid="{00000000-0005-0000-0000-00004F2E0000}"/>
    <cellStyle name="40% - Accent1 5 7 2" xfId="12418" xr:uid="{00000000-0005-0000-0000-0000502E0000}"/>
    <cellStyle name="40% - Accent1 5 7 2 2" xfId="26130" xr:uid="{00000000-0005-0000-0000-0000512E0000}"/>
    <cellStyle name="40% - Accent1 5 7 3" xfId="20335" xr:uid="{00000000-0005-0000-0000-0000522E0000}"/>
    <cellStyle name="40% - Accent1 5 8" xfId="3012" xr:uid="{00000000-0005-0000-0000-0000532E0000}"/>
    <cellStyle name="40% - Accent1 5 8 2" xfId="13401" xr:uid="{00000000-0005-0000-0000-0000542E0000}"/>
    <cellStyle name="40% - Accent1 5 8 2 2" xfId="26950" xr:uid="{00000000-0005-0000-0000-0000552E0000}"/>
    <cellStyle name="40% - Accent1 5 8 3" xfId="20336" xr:uid="{00000000-0005-0000-0000-0000562E0000}"/>
    <cellStyle name="40% - Accent1 5 9" xfId="3013" xr:uid="{00000000-0005-0000-0000-0000572E0000}"/>
    <cellStyle name="40% - Accent1 5 9 2" xfId="13982" xr:uid="{00000000-0005-0000-0000-0000582E0000}"/>
    <cellStyle name="40% - Accent1 5 9 2 2" xfId="27531" xr:uid="{00000000-0005-0000-0000-0000592E0000}"/>
    <cellStyle name="40% - Accent1 5 9 3" xfId="20337" xr:uid="{00000000-0005-0000-0000-00005A2E0000}"/>
    <cellStyle name="40% - Accent1 6" xfId="3014" xr:uid="{00000000-0005-0000-0000-00005B2E0000}"/>
    <cellStyle name="40% - Accent1 6 10" xfId="3015" xr:uid="{00000000-0005-0000-0000-00005C2E0000}"/>
    <cellStyle name="40% - Accent1 6 10 2" xfId="15141" xr:uid="{00000000-0005-0000-0000-00005D2E0000}"/>
    <cellStyle name="40% - Accent1 6 10 2 2" xfId="28690" xr:uid="{00000000-0005-0000-0000-00005E2E0000}"/>
    <cellStyle name="40% - Accent1 6 10 3" xfId="20339" xr:uid="{00000000-0005-0000-0000-00005F2E0000}"/>
    <cellStyle name="40% - Accent1 6 11" xfId="3016" xr:uid="{00000000-0005-0000-0000-0000602E0000}"/>
    <cellStyle name="40% - Accent1 6 11 2" xfId="15974" xr:uid="{00000000-0005-0000-0000-0000612E0000}"/>
    <cellStyle name="40% - Accent1 6 11 2 2" xfId="29381" xr:uid="{00000000-0005-0000-0000-0000622E0000}"/>
    <cellStyle name="40% - Accent1 6 11 3" xfId="20340" xr:uid="{00000000-0005-0000-0000-0000632E0000}"/>
    <cellStyle name="40% - Accent1 6 12" xfId="9252" xr:uid="{00000000-0005-0000-0000-0000642E0000}"/>
    <cellStyle name="40% - Accent1 6 12 2" xfId="23727" xr:uid="{00000000-0005-0000-0000-0000652E0000}"/>
    <cellStyle name="40% - Accent1 6 13" xfId="20338" xr:uid="{00000000-0005-0000-0000-0000662E0000}"/>
    <cellStyle name="40% - Accent1 6 2" xfId="3017" xr:uid="{00000000-0005-0000-0000-0000672E0000}"/>
    <cellStyle name="40% - Accent1 6 2 10" xfId="3018" xr:uid="{00000000-0005-0000-0000-0000682E0000}"/>
    <cellStyle name="40% - Accent1 6 2 10 2" xfId="16117" xr:uid="{00000000-0005-0000-0000-0000692E0000}"/>
    <cellStyle name="40% - Accent1 6 2 10 2 2" xfId="29524" xr:uid="{00000000-0005-0000-0000-00006A2E0000}"/>
    <cellStyle name="40% - Accent1 6 2 10 3" xfId="20342" xr:uid="{00000000-0005-0000-0000-00006B2E0000}"/>
    <cellStyle name="40% - Accent1 6 2 11" xfId="9253" xr:uid="{00000000-0005-0000-0000-00006C2E0000}"/>
    <cellStyle name="40% - Accent1 6 2 11 2" xfId="23728" xr:uid="{00000000-0005-0000-0000-00006D2E0000}"/>
    <cellStyle name="40% - Accent1 6 2 12" xfId="20341" xr:uid="{00000000-0005-0000-0000-00006E2E0000}"/>
    <cellStyle name="40% - Accent1 6 2 2" xfId="3019" xr:uid="{00000000-0005-0000-0000-00006F2E0000}"/>
    <cellStyle name="40% - Accent1 6 2 2 10" xfId="9254" xr:uid="{00000000-0005-0000-0000-0000702E0000}"/>
    <cellStyle name="40% - Accent1 6 2 2 10 2" xfId="23729" xr:uid="{00000000-0005-0000-0000-0000712E0000}"/>
    <cellStyle name="40% - Accent1 6 2 2 11" xfId="20343" xr:uid="{00000000-0005-0000-0000-0000722E0000}"/>
    <cellStyle name="40% - Accent1 6 2 2 2" xfId="3020" xr:uid="{00000000-0005-0000-0000-0000732E0000}"/>
    <cellStyle name="40% - Accent1 6 2 2 2 2" xfId="3021" xr:uid="{00000000-0005-0000-0000-0000742E0000}"/>
    <cellStyle name="40% - Accent1 6 2 2 2 2 2" xfId="10981" xr:uid="{00000000-0005-0000-0000-0000752E0000}"/>
    <cellStyle name="40% - Accent1 6 2 2 2 2 2 2" xfId="24923" xr:uid="{00000000-0005-0000-0000-0000762E0000}"/>
    <cellStyle name="40% - Accent1 6 2 2 2 2 3" xfId="20345" xr:uid="{00000000-0005-0000-0000-0000772E0000}"/>
    <cellStyle name="40% - Accent1 6 2 2 2 3" xfId="3022" xr:uid="{00000000-0005-0000-0000-0000782E0000}"/>
    <cellStyle name="40% - Accent1 6 2 2 2 3 2" xfId="12505" xr:uid="{00000000-0005-0000-0000-0000792E0000}"/>
    <cellStyle name="40% - Accent1 6 2 2 2 3 2 2" xfId="26217" xr:uid="{00000000-0005-0000-0000-00007A2E0000}"/>
    <cellStyle name="40% - Accent1 6 2 2 2 3 3" xfId="20346" xr:uid="{00000000-0005-0000-0000-00007B2E0000}"/>
    <cellStyle name="40% - Accent1 6 2 2 2 4" xfId="3023" xr:uid="{00000000-0005-0000-0000-00007C2E0000}"/>
    <cellStyle name="40% - Accent1 6 2 2 2 4 2" xfId="15144" xr:uid="{00000000-0005-0000-0000-00007D2E0000}"/>
    <cellStyle name="40% - Accent1 6 2 2 2 4 2 2" xfId="28693" xr:uid="{00000000-0005-0000-0000-00007E2E0000}"/>
    <cellStyle name="40% - Accent1 6 2 2 2 4 3" xfId="20347" xr:uid="{00000000-0005-0000-0000-00007F2E0000}"/>
    <cellStyle name="40% - Accent1 6 2 2 2 5" xfId="3024" xr:uid="{00000000-0005-0000-0000-0000802E0000}"/>
    <cellStyle name="40% - Accent1 6 2 2 2 5 2" xfId="16987" xr:uid="{00000000-0005-0000-0000-0000812E0000}"/>
    <cellStyle name="40% - Accent1 6 2 2 2 5 2 2" xfId="30394" xr:uid="{00000000-0005-0000-0000-0000822E0000}"/>
    <cellStyle name="40% - Accent1 6 2 2 2 5 3" xfId="20348" xr:uid="{00000000-0005-0000-0000-0000832E0000}"/>
    <cellStyle name="40% - Accent1 6 2 2 2 6" xfId="9255" xr:uid="{00000000-0005-0000-0000-0000842E0000}"/>
    <cellStyle name="40% - Accent1 6 2 2 2 6 2" xfId="23730" xr:uid="{00000000-0005-0000-0000-0000852E0000}"/>
    <cellStyle name="40% - Accent1 6 2 2 2 7" xfId="20344" xr:uid="{00000000-0005-0000-0000-0000862E0000}"/>
    <cellStyle name="40% - Accent1 6 2 2 3" xfId="3025" xr:uid="{00000000-0005-0000-0000-0000872E0000}"/>
    <cellStyle name="40% - Accent1 6 2 2 3 2" xfId="3026" xr:uid="{00000000-0005-0000-0000-0000882E0000}"/>
    <cellStyle name="40% - Accent1 6 2 2 3 2 2" xfId="15145" xr:uid="{00000000-0005-0000-0000-0000892E0000}"/>
    <cellStyle name="40% - Accent1 6 2 2 3 2 2 2" xfId="28694" xr:uid="{00000000-0005-0000-0000-00008A2E0000}"/>
    <cellStyle name="40% - Accent1 6 2 2 3 2 3" xfId="20350" xr:uid="{00000000-0005-0000-0000-00008B2E0000}"/>
    <cellStyle name="40% - Accent1 6 2 2 3 3" xfId="10980" xr:uid="{00000000-0005-0000-0000-00008C2E0000}"/>
    <cellStyle name="40% - Accent1 6 2 2 3 3 2" xfId="24922" xr:uid="{00000000-0005-0000-0000-00008D2E0000}"/>
    <cellStyle name="40% - Accent1 6 2 2 3 4" xfId="20349" xr:uid="{00000000-0005-0000-0000-00008E2E0000}"/>
    <cellStyle name="40% - Accent1 6 2 2 4" xfId="3027" xr:uid="{00000000-0005-0000-0000-00008F2E0000}"/>
    <cellStyle name="40% - Accent1 6 2 2 4 2" xfId="12375" xr:uid="{00000000-0005-0000-0000-0000902E0000}"/>
    <cellStyle name="40% - Accent1 6 2 2 4 2 2" xfId="26087" xr:uid="{00000000-0005-0000-0000-0000912E0000}"/>
    <cellStyle name="40% - Accent1 6 2 2 4 3" xfId="20351" xr:uid="{00000000-0005-0000-0000-0000922E0000}"/>
    <cellStyle name="40% - Accent1 6 2 2 5" xfId="3028" xr:uid="{00000000-0005-0000-0000-0000932E0000}"/>
    <cellStyle name="40% - Accent1 6 2 2 5 2" xfId="12704" xr:uid="{00000000-0005-0000-0000-0000942E0000}"/>
    <cellStyle name="40% - Accent1 6 2 2 5 2 2" xfId="26416" xr:uid="{00000000-0005-0000-0000-0000952E0000}"/>
    <cellStyle name="40% - Accent1 6 2 2 5 3" xfId="20352" xr:uid="{00000000-0005-0000-0000-0000962E0000}"/>
    <cellStyle name="40% - Accent1 6 2 2 6" xfId="3029" xr:uid="{00000000-0005-0000-0000-0000972E0000}"/>
    <cellStyle name="40% - Accent1 6 2 2 6 2" xfId="13939" xr:uid="{00000000-0005-0000-0000-0000982E0000}"/>
    <cellStyle name="40% - Accent1 6 2 2 6 2 2" xfId="27488" xr:uid="{00000000-0005-0000-0000-0000992E0000}"/>
    <cellStyle name="40% - Accent1 6 2 2 6 3" xfId="20353" xr:uid="{00000000-0005-0000-0000-00009A2E0000}"/>
    <cellStyle name="40% - Accent1 6 2 2 7" xfId="3030" xr:uid="{00000000-0005-0000-0000-00009B2E0000}"/>
    <cellStyle name="40% - Accent1 6 2 2 7 2" xfId="14520" xr:uid="{00000000-0005-0000-0000-00009C2E0000}"/>
    <cellStyle name="40% - Accent1 6 2 2 7 2 2" xfId="28069" xr:uid="{00000000-0005-0000-0000-00009D2E0000}"/>
    <cellStyle name="40% - Accent1 6 2 2 7 3" xfId="20354" xr:uid="{00000000-0005-0000-0000-00009E2E0000}"/>
    <cellStyle name="40% - Accent1 6 2 2 8" xfId="3031" xr:uid="{00000000-0005-0000-0000-00009F2E0000}"/>
    <cellStyle name="40% - Accent1 6 2 2 8 2" xfId="15143" xr:uid="{00000000-0005-0000-0000-0000A02E0000}"/>
    <cellStyle name="40% - Accent1 6 2 2 8 2 2" xfId="28692" xr:uid="{00000000-0005-0000-0000-0000A12E0000}"/>
    <cellStyle name="40% - Accent1 6 2 2 8 3" xfId="20355" xr:uid="{00000000-0005-0000-0000-0000A22E0000}"/>
    <cellStyle name="40% - Accent1 6 2 2 9" xfId="3032" xr:uid="{00000000-0005-0000-0000-0000A32E0000}"/>
    <cellStyle name="40% - Accent1 6 2 2 9 2" xfId="16406" xr:uid="{00000000-0005-0000-0000-0000A42E0000}"/>
    <cellStyle name="40% - Accent1 6 2 2 9 2 2" xfId="29813" xr:uid="{00000000-0005-0000-0000-0000A52E0000}"/>
    <cellStyle name="40% - Accent1 6 2 2 9 3" xfId="20356" xr:uid="{00000000-0005-0000-0000-0000A62E0000}"/>
    <cellStyle name="40% - Accent1 6 2 3" xfId="3033" xr:uid="{00000000-0005-0000-0000-0000A72E0000}"/>
    <cellStyle name="40% - Accent1 6 2 3 2" xfId="3034" xr:uid="{00000000-0005-0000-0000-0000A82E0000}"/>
    <cellStyle name="40% - Accent1 6 2 3 2 2" xfId="10982" xr:uid="{00000000-0005-0000-0000-0000A92E0000}"/>
    <cellStyle name="40% - Accent1 6 2 3 2 2 2" xfId="24924" xr:uid="{00000000-0005-0000-0000-0000AA2E0000}"/>
    <cellStyle name="40% - Accent1 6 2 3 2 3" xfId="20358" xr:uid="{00000000-0005-0000-0000-0000AB2E0000}"/>
    <cellStyle name="40% - Accent1 6 2 3 3" xfId="3035" xr:uid="{00000000-0005-0000-0000-0000AC2E0000}"/>
    <cellStyle name="40% - Accent1 6 2 3 3 2" xfId="11833" xr:uid="{00000000-0005-0000-0000-0000AD2E0000}"/>
    <cellStyle name="40% - Accent1 6 2 3 3 2 2" xfId="25548" xr:uid="{00000000-0005-0000-0000-0000AE2E0000}"/>
    <cellStyle name="40% - Accent1 6 2 3 3 3" xfId="20359" xr:uid="{00000000-0005-0000-0000-0000AF2E0000}"/>
    <cellStyle name="40% - Accent1 6 2 3 4" xfId="3036" xr:uid="{00000000-0005-0000-0000-0000B02E0000}"/>
    <cellStyle name="40% - Accent1 6 2 3 4 2" xfId="15146" xr:uid="{00000000-0005-0000-0000-0000B12E0000}"/>
    <cellStyle name="40% - Accent1 6 2 3 4 2 2" xfId="28695" xr:uid="{00000000-0005-0000-0000-0000B22E0000}"/>
    <cellStyle name="40% - Accent1 6 2 3 4 3" xfId="20360" xr:uid="{00000000-0005-0000-0000-0000B32E0000}"/>
    <cellStyle name="40% - Accent1 6 2 3 5" xfId="3037" xr:uid="{00000000-0005-0000-0000-0000B42E0000}"/>
    <cellStyle name="40% - Accent1 6 2 3 5 2" xfId="16698" xr:uid="{00000000-0005-0000-0000-0000B52E0000}"/>
    <cellStyle name="40% - Accent1 6 2 3 5 2 2" xfId="30105" xr:uid="{00000000-0005-0000-0000-0000B62E0000}"/>
    <cellStyle name="40% - Accent1 6 2 3 5 3" xfId="20361" xr:uid="{00000000-0005-0000-0000-0000B72E0000}"/>
    <cellStyle name="40% - Accent1 6 2 3 6" xfId="9256" xr:uid="{00000000-0005-0000-0000-0000B82E0000}"/>
    <cellStyle name="40% - Accent1 6 2 3 6 2" xfId="23731" xr:uid="{00000000-0005-0000-0000-0000B92E0000}"/>
    <cellStyle name="40% - Accent1 6 2 3 7" xfId="20357" xr:uid="{00000000-0005-0000-0000-0000BA2E0000}"/>
    <cellStyle name="40% - Accent1 6 2 4" xfId="3038" xr:uid="{00000000-0005-0000-0000-0000BB2E0000}"/>
    <cellStyle name="40% - Accent1 6 2 4 2" xfId="3039" xr:uid="{00000000-0005-0000-0000-0000BC2E0000}"/>
    <cellStyle name="40% - Accent1 6 2 4 2 2" xfId="15147" xr:uid="{00000000-0005-0000-0000-0000BD2E0000}"/>
    <cellStyle name="40% - Accent1 6 2 4 2 2 2" xfId="28696" xr:uid="{00000000-0005-0000-0000-0000BE2E0000}"/>
    <cellStyle name="40% - Accent1 6 2 4 2 3" xfId="20363" xr:uid="{00000000-0005-0000-0000-0000BF2E0000}"/>
    <cellStyle name="40% - Accent1 6 2 4 3" xfId="10979" xr:uid="{00000000-0005-0000-0000-0000C02E0000}"/>
    <cellStyle name="40% - Accent1 6 2 4 3 2" xfId="24921" xr:uid="{00000000-0005-0000-0000-0000C12E0000}"/>
    <cellStyle name="40% - Accent1 6 2 4 4" xfId="20362" xr:uid="{00000000-0005-0000-0000-0000C22E0000}"/>
    <cellStyle name="40% - Accent1 6 2 5" xfId="3040" xr:uid="{00000000-0005-0000-0000-0000C32E0000}"/>
    <cellStyle name="40% - Accent1 6 2 5 2" xfId="12075" xr:uid="{00000000-0005-0000-0000-0000C42E0000}"/>
    <cellStyle name="40% - Accent1 6 2 5 2 2" xfId="25790" xr:uid="{00000000-0005-0000-0000-0000C52E0000}"/>
    <cellStyle name="40% - Accent1 6 2 5 3" xfId="20364" xr:uid="{00000000-0005-0000-0000-0000C62E0000}"/>
    <cellStyle name="40% - Accent1 6 2 6" xfId="3041" xr:uid="{00000000-0005-0000-0000-0000C72E0000}"/>
    <cellStyle name="40% - Accent1 6 2 6 2" xfId="12703" xr:uid="{00000000-0005-0000-0000-0000C82E0000}"/>
    <cellStyle name="40% - Accent1 6 2 6 2 2" xfId="26415" xr:uid="{00000000-0005-0000-0000-0000C92E0000}"/>
    <cellStyle name="40% - Accent1 6 2 6 3" xfId="20365" xr:uid="{00000000-0005-0000-0000-0000CA2E0000}"/>
    <cellStyle name="40% - Accent1 6 2 7" xfId="3042" xr:uid="{00000000-0005-0000-0000-0000CB2E0000}"/>
    <cellStyle name="40% - Accent1 6 2 7 2" xfId="13650" xr:uid="{00000000-0005-0000-0000-0000CC2E0000}"/>
    <cellStyle name="40% - Accent1 6 2 7 2 2" xfId="27199" xr:uid="{00000000-0005-0000-0000-0000CD2E0000}"/>
    <cellStyle name="40% - Accent1 6 2 7 3" xfId="20366" xr:uid="{00000000-0005-0000-0000-0000CE2E0000}"/>
    <cellStyle name="40% - Accent1 6 2 8" xfId="3043" xr:uid="{00000000-0005-0000-0000-0000CF2E0000}"/>
    <cellStyle name="40% - Accent1 6 2 8 2" xfId="14231" xr:uid="{00000000-0005-0000-0000-0000D02E0000}"/>
    <cellStyle name="40% - Accent1 6 2 8 2 2" xfId="27780" xr:uid="{00000000-0005-0000-0000-0000D12E0000}"/>
    <cellStyle name="40% - Accent1 6 2 8 3" xfId="20367" xr:uid="{00000000-0005-0000-0000-0000D22E0000}"/>
    <cellStyle name="40% - Accent1 6 2 9" xfId="3044" xr:uid="{00000000-0005-0000-0000-0000D32E0000}"/>
    <cellStyle name="40% - Accent1 6 2 9 2" xfId="15142" xr:uid="{00000000-0005-0000-0000-0000D42E0000}"/>
    <cellStyle name="40% - Accent1 6 2 9 2 2" xfId="28691" xr:uid="{00000000-0005-0000-0000-0000D52E0000}"/>
    <cellStyle name="40% - Accent1 6 2 9 3" xfId="20368" xr:uid="{00000000-0005-0000-0000-0000D62E0000}"/>
    <cellStyle name="40% - Accent1 6 3" xfId="3045" xr:uid="{00000000-0005-0000-0000-0000D72E0000}"/>
    <cellStyle name="40% - Accent1 6 3 10" xfId="9257" xr:uid="{00000000-0005-0000-0000-0000D82E0000}"/>
    <cellStyle name="40% - Accent1 6 3 10 2" xfId="23732" xr:uid="{00000000-0005-0000-0000-0000D92E0000}"/>
    <cellStyle name="40% - Accent1 6 3 11" xfId="20369" xr:uid="{00000000-0005-0000-0000-0000DA2E0000}"/>
    <cellStyle name="40% - Accent1 6 3 2" xfId="3046" xr:uid="{00000000-0005-0000-0000-0000DB2E0000}"/>
    <cellStyle name="40% - Accent1 6 3 2 2" xfId="3047" xr:uid="{00000000-0005-0000-0000-0000DC2E0000}"/>
    <cellStyle name="40% - Accent1 6 3 2 2 2" xfId="10984" xr:uid="{00000000-0005-0000-0000-0000DD2E0000}"/>
    <cellStyle name="40% - Accent1 6 3 2 2 2 2" xfId="24926" xr:uid="{00000000-0005-0000-0000-0000DE2E0000}"/>
    <cellStyle name="40% - Accent1 6 3 2 2 3" xfId="20371" xr:uid="{00000000-0005-0000-0000-0000DF2E0000}"/>
    <cellStyle name="40% - Accent1 6 3 2 3" xfId="3048" xr:uid="{00000000-0005-0000-0000-0000E02E0000}"/>
    <cellStyle name="40% - Accent1 6 3 2 3 2" xfId="12530" xr:uid="{00000000-0005-0000-0000-0000E12E0000}"/>
    <cellStyle name="40% - Accent1 6 3 2 3 2 2" xfId="26242" xr:uid="{00000000-0005-0000-0000-0000E22E0000}"/>
    <cellStyle name="40% - Accent1 6 3 2 3 3" xfId="20372" xr:uid="{00000000-0005-0000-0000-0000E32E0000}"/>
    <cellStyle name="40% - Accent1 6 3 2 4" xfId="3049" xr:uid="{00000000-0005-0000-0000-0000E42E0000}"/>
    <cellStyle name="40% - Accent1 6 3 2 4 2" xfId="15149" xr:uid="{00000000-0005-0000-0000-0000E52E0000}"/>
    <cellStyle name="40% - Accent1 6 3 2 4 2 2" xfId="28698" xr:uid="{00000000-0005-0000-0000-0000E62E0000}"/>
    <cellStyle name="40% - Accent1 6 3 2 4 3" xfId="20373" xr:uid="{00000000-0005-0000-0000-0000E72E0000}"/>
    <cellStyle name="40% - Accent1 6 3 2 5" xfId="3050" xr:uid="{00000000-0005-0000-0000-0000E82E0000}"/>
    <cellStyle name="40% - Accent1 6 3 2 5 2" xfId="16844" xr:uid="{00000000-0005-0000-0000-0000E92E0000}"/>
    <cellStyle name="40% - Accent1 6 3 2 5 2 2" xfId="30251" xr:uid="{00000000-0005-0000-0000-0000EA2E0000}"/>
    <cellStyle name="40% - Accent1 6 3 2 5 3" xfId="20374" xr:uid="{00000000-0005-0000-0000-0000EB2E0000}"/>
    <cellStyle name="40% - Accent1 6 3 2 6" xfId="9258" xr:uid="{00000000-0005-0000-0000-0000EC2E0000}"/>
    <cellStyle name="40% - Accent1 6 3 2 6 2" xfId="23733" xr:uid="{00000000-0005-0000-0000-0000ED2E0000}"/>
    <cellStyle name="40% - Accent1 6 3 2 7" xfId="20370" xr:uid="{00000000-0005-0000-0000-0000EE2E0000}"/>
    <cellStyle name="40% - Accent1 6 3 3" xfId="3051" xr:uid="{00000000-0005-0000-0000-0000EF2E0000}"/>
    <cellStyle name="40% - Accent1 6 3 3 2" xfId="3052" xr:uid="{00000000-0005-0000-0000-0000F02E0000}"/>
    <cellStyle name="40% - Accent1 6 3 3 2 2" xfId="15150" xr:uid="{00000000-0005-0000-0000-0000F12E0000}"/>
    <cellStyle name="40% - Accent1 6 3 3 2 2 2" xfId="28699" xr:uid="{00000000-0005-0000-0000-0000F22E0000}"/>
    <cellStyle name="40% - Accent1 6 3 3 2 3" xfId="20376" xr:uid="{00000000-0005-0000-0000-0000F32E0000}"/>
    <cellStyle name="40% - Accent1 6 3 3 3" xfId="10983" xr:uid="{00000000-0005-0000-0000-0000F42E0000}"/>
    <cellStyle name="40% - Accent1 6 3 3 3 2" xfId="24925" xr:uid="{00000000-0005-0000-0000-0000F52E0000}"/>
    <cellStyle name="40% - Accent1 6 3 3 4" xfId="20375" xr:uid="{00000000-0005-0000-0000-0000F62E0000}"/>
    <cellStyle name="40% - Accent1 6 3 4" xfId="3053" xr:uid="{00000000-0005-0000-0000-0000F72E0000}"/>
    <cellStyle name="40% - Accent1 6 3 4 2" xfId="12232" xr:uid="{00000000-0005-0000-0000-0000F82E0000}"/>
    <cellStyle name="40% - Accent1 6 3 4 2 2" xfId="25944" xr:uid="{00000000-0005-0000-0000-0000F92E0000}"/>
    <cellStyle name="40% - Accent1 6 3 4 3" xfId="20377" xr:uid="{00000000-0005-0000-0000-0000FA2E0000}"/>
    <cellStyle name="40% - Accent1 6 3 5" xfId="3054" xr:uid="{00000000-0005-0000-0000-0000FB2E0000}"/>
    <cellStyle name="40% - Accent1 6 3 5 2" xfId="12437" xr:uid="{00000000-0005-0000-0000-0000FC2E0000}"/>
    <cellStyle name="40% - Accent1 6 3 5 2 2" xfId="26149" xr:uid="{00000000-0005-0000-0000-0000FD2E0000}"/>
    <cellStyle name="40% - Accent1 6 3 5 3" xfId="20378" xr:uid="{00000000-0005-0000-0000-0000FE2E0000}"/>
    <cellStyle name="40% - Accent1 6 3 6" xfId="3055" xr:uid="{00000000-0005-0000-0000-0000FF2E0000}"/>
    <cellStyle name="40% - Accent1 6 3 6 2" xfId="13796" xr:uid="{00000000-0005-0000-0000-0000002F0000}"/>
    <cellStyle name="40% - Accent1 6 3 6 2 2" xfId="27345" xr:uid="{00000000-0005-0000-0000-0000012F0000}"/>
    <cellStyle name="40% - Accent1 6 3 6 3" xfId="20379" xr:uid="{00000000-0005-0000-0000-0000022F0000}"/>
    <cellStyle name="40% - Accent1 6 3 7" xfId="3056" xr:uid="{00000000-0005-0000-0000-0000032F0000}"/>
    <cellStyle name="40% - Accent1 6 3 7 2" xfId="14377" xr:uid="{00000000-0005-0000-0000-0000042F0000}"/>
    <cellStyle name="40% - Accent1 6 3 7 2 2" xfId="27926" xr:uid="{00000000-0005-0000-0000-0000052F0000}"/>
    <cellStyle name="40% - Accent1 6 3 7 3" xfId="20380" xr:uid="{00000000-0005-0000-0000-0000062F0000}"/>
    <cellStyle name="40% - Accent1 6 3 8" xfId="3057" xr:uid="{00000000-0005-0000-0000-0000072F0000}"/>
    <cellStyle name="40% - Accent1 6 3 8 2" xfId="15148" xr:uid="{00000000-0005-0000-0000-0000082F0000}"/>
    <cellStyle name="40% - Accent1 6 3 8 2 2" xfId="28697" xr:uid="{00000000-0005-0000-0000-0000092F0000}"/>
    <cellStyle name="40% - Accent1 6 3 8 3" xfId="20381" xr:uid="{00000000-0005-0000-0000-00000A2F0000}"/>
    <cellStyle name="40% - Accent1 6 3 9" xfId="3058" xr:uid="{00000000-0005-0000-0000-00000B2F0000}"/>
    <cellStyle name="40% - Accent1 6 3 9 2" xfId="16263" xr:uid="{00000000-0005-0000-0000-00000C2F0000}"/>
    <cellStyle name="40% - Accent1 6 3 9 2 2" xfId="29670" xr:uid="{00000000-0005-0000-0000-00000D2F0000}"/>
    <cellStyle name="40% - Accent1 6 3 9 3" xfId="20382" xr:uid="{00000000-0005-0000-0000-00000E2F0000}"/>
    <cellStyle name="40% - Accent1 6 4" xfId="3059" xr:uid="{00000000-0005-0000-0000-00000F2F0000}"/>
    <cellStyle name="40% - Accent1 6 4 2" xfId="3060" xr:uid="{00000000-0005-0000-0000-0000102F0000}"/>
    <cellStyle name="40% - Accent1 6 4 2 2" xfId="10985" xr:uid="{00000000-0005-0000-0000-0000112F0000}"/>
    <cellStyle name="40% - Accent1 6 4 2 2 2" xfId="24927" xr:uid="{00000000-0005-0000-0000-0000122F0000}"/>
    <cellStyle name="40% - Accent1 6 4 2 3" xfId="20384" xr:uid="{00000000-0005-0000-0000-0000132F0000}"/>
    <cellStyle name="40% - Accent1 6 4 3" xfId="3061" xr:uid="{00000000-0005-0000-0000-0000142F0000}"/>
    <cellStyle name="40% - Accent1 6 4 3 2" xfId="12445" xr:uid="{00000000-0005-0000-0000-0000152F0000}"/>
    <cellStyle name="40% - Accent1 6 4 3 2 2" xfId="26157" xr:uid="{00000000-0005-0000-0000-0000162F0000}"/>
    <cellStyle name="40% - Accent1 6 4 3 3" xfId="20385" xr:uid="{00000000-0005-0000-0000-0000172F0000}"/>
    <cellStyle name="40% - Accent1 6 4 4" xfId="3062" xr:uid="{00000000-0005-0000-0000-0000182F0000}"/>
    <cellStyle name="40% - Accent1 6 4 4 2" xfId="15151" xr:uid="{00000000-0005-0000-0000-0000192F0000}"/>
    <cellStyle name="40% - Accent1 6 4 4 2 2" xfId="28700" xr:uid="{00000000-0005-0000-0000-00001A2F0000}"/>
    <cellStyle name="40% - Accent1 6 4 4 3" xfId="20386" xr:uid="{00000000-0005-0000-0000-00001B2F0000}"/>
    <cellStyle name="40% - Accent1 6 4 5" xfId="3063" xr:uid="{00000000-0005-0000-0000-00001C2F0000}"/>
    <cellStyle name="40% - Accent1 6 4 5 2" xfId="16555" xr:uid="{00000000-0005-0000-0000-00001D2F0000}"/>
    <cellStyle name="40% - Accent1 6 4 5 2 2" xfId="29962" xr:uid="{00000000-0005-0000-0000-00001E2F0000}"/>
    <cellStyle name="40% - Accent1 6 4 5 3" xfId="20387" xr:uid="{00000000-0005-0000-0000-00001F2F0000}"/>
    <cellStyle name="40% - Accent1 6 4 6" xfId="9259" xr:uid="{00000000-0005-0000-0000-0000202F0000}"/>
    <cellStyle name="40% - Accent1 6 4 6 2" xfId="23734" xr:uid="{00000000-0005-0000-0000-0000212F0000}"/>
    <cellStyle name="40% - Accent1 6 4 7" xfId="20383" xr:uid="{00000000-0005-0000-0000-0000222F0000}"/>
    <cellStyle name="40% - Accent1 6 5" xfId="3064" xr:uid="{00000000-0005-0000-0000-0000232F0000}"/>
    <cellStyle name="40% - Accent1 6 5 2" xfId="3065" xr:uid="{00000000-0005-0000-0000-0000242F0000}"/>
    <cellStyle name="40% - Accent1 6 5 2 2" xfId="15152" xr:uid="{00000000-0005-0000-0000-0000252F0000}"/>
    <cellStyle name="40% - Accent1 6 5 2 2 2" xfId="28701" xr:uid="{00000000-0005-0000-0000-0000262F0000}"/>
    <cellStyle name="40% - Accent1 6 5 2 3" xfId="20389" xr:uid="{00000000-0005-0000-0000-0000272F0000}"/>
    <cellStyle name="40% - Accent1 6 5 3" xfId="10978" xr:uid="{00000000-0005-0000-0000-0000282F0000}"/>
    <cellStyle name="40% - Accent1 6 5 3 2" xfId="24920" xr:uid="{00000000-0005-0000-0000-0000292F0000}"/>
    <cellStyle name="40% - Accent1 6 5 4" xfId="20388" xr:uid="{00000000-0005-0000-0000-00002A2F0000}"/>
    <cellStyle name="40% - Accent1 6 6" xfId="3066" xr:uid="{00000000-0005-0000-0000-00002B2F0000}"/>
    <cellStyle name="40% - Accent1 6 6 2" xfId="11930" xr:uid="{00000000-0005-0000-0000-00002C2F0000}"/>
    <cellStyle name="40% - Accent1 6 6 2 2" xfId="25645" xr:uid="{00000000-0005-0000-0000-00002D2F0000}"/>
    <cellStyle name="40% - Accent1 6 6 3" xfId="20390" xr:uid="{00000000-0005-0000-0000-00002E2F0000}"/>
    <cellStyle name="40% - Accent1 6 7" xfId="3067" xr:uid="{00000000-0005-0000-0000-00002F2F0000}"/>
    <cellStyle name="40% - Accent1 6 7 2" xfId="12421" xr:uid="{00000000-0005-0000-0000-0000302F0000}"/>
    <cellStyle name="40% - Accent1 6 7 2 2" xfId="26133" xr:uid="{00000000-0005-0000-0000-0000312F0000}"/>
    <cellStyle name="40% - Accent1 6 7 3" xfId="20391" xr:uid="{00000000-0005-0000-0000-0000322F0000}"/>
    <cellStyle name="40% - Accent1 6 8" xfId="3068" xr:uid="{00000000-0005-0000-0000-0000332F0000}"/>
    <cellStyle name="40% - Accent1 6 8 2" xfId="13507" xr:uid="{00000000-0005-0000-0000-0000342F0000}"/>
    <cellStyle name="40% - Accent1 6 8 2 2" xfId="27056" xr:uid="{00000000-0005-0000-0000-0000352F0000}"/>
    <cellStyle name="40% - Accent1 6 8 3" xfId="20392" xr:uid="{00000000-0005-0000-0000-0000362F0000}"/>
    <cellStyle name="40% - Accent1 6 9" xfId="3069" xr:uid="{00000000-0005-0000-0000-0000372F0000}"/>
    <cellStyle name="40% - Accent1 6 9 2" xfId="14088" xr:uid="{00000000-0005-0000-0000-0000382F0000}"/>
    <cellStyle name="40% - Accent1 6 9 2 2" xfId="27637" xr:uid="{00000000-0005-0000-0000-0000392F0000}"/>
    <cellStyle name="40% - Accent1 6 9 3" xfId="20393" xr:uid="{00000000-0005-0000-0000-00003A2F0000}"/>
    <cellStyle name="40% - Accent1 7" xfId="3070" xr:uid="{00000000-0005-0000-0000-00003B2F0000}"/>
    <cellStyle name="40% - Accent1 7 10" xfId="3071" xr:uid="{00000000-0005-0000-0000-00003C2F0000}"/>
    <cellStyle name="40% - Accent1 7 10 2" xfId="15989" xr:uid="{00000000-0005-0000-0000-00003D2F0000}"/>
    <cellStyle name="40% - Accent1 7 10 2 2" xfId="29396" xr:uid="{00000000-0005-0000-0000-00003E2F0000}"/>
    <cellStyle name="40% - Accent1 7 10 3" xfId="20395" xr:uid="{00000000-0005-0000-0000-00003F2F0000}"/>
    <cellStyle name="40% - Accent1 7 11" xfId="9260" xr:uid="{00000000-0005-0000-0000-0000402F0000}"/>
    <cellStyle name="40% - Accent1 7 11 2" xfId="23735" xr:uid="{00000000-0005-0000-0000-0000412F0000}"/>
    <cellStyle name="40% - Accent1 7 12" xfId="20394" xr:uid="{00000000-0005-0000-0000-0000422F0000}"/>
    <cellStyle name="40% - Accent1 7 2" xfId="3072" xr:uid="{00000000-0005-0000-0000-0000432F0000}"/>
    <cellStyle name="40% - Accent1 7 2 10" xfId="9261" xr:uid="{00000000-0005-0000-0000-0000442F0000}"/>
    <cellStyle name="40% - Accent1 7 2 10 2" xfId="23736" xr:uid="{00000000-0005-0000-0000-0000452F0000}"/>
    <cellStyle name="40% - Accent1 7 2 11" xfId="20396" xr:uid="{00000000-0005-0000-0000-0000462F0000}"/>
    <cellStyle name="40% - Accent1 7 2 2" xfId="3073" xr:uid="{00000000-0005-0000-0000-0000472F0000}"/>
    <cellStyle name="40% - Accent1 7 2 2 2" xfId="3074" xr:uid="{00000000-0005-0000-0000-0000482F0000}"/>
    <cellStyle name="40% - Accent1 7 2 2 2 2" xfId="10988" xr:uid="{00000000-0005-0000-0000-0000492F0000}"/>
    <cellStyle name="40% - Accent1 7 2 2 2 2 2" xfId="24930" xr:uid="{00000000-0005-0000-0000-00004A2F0000}"/>
    <cellStyle name="40% - Accent1 7 2 2 2 3" xfId="20398" xr:uid="{00000000-0005-0000-0000-00004B2F0000}"/>
    <cellStyle name="40% - Accent1 7 2 2 3" xfId="3075" xr:uid="{00000000-0005-0000-0000-00004C2F0000}"/>
    <cellStyle name="40% - Accent1 7 2 2 3 2" xfId="12408" xr:uid="{00000000-0005-0000-0000-00004D2F0000}"/>
    <cellStyle name="40% - Accent1 7 2 2 3 2 2" xfId="26120" xr:uid="{00000000-0005-0000-0000-00004E2F0000}"/>
    <cellStyle name="40% - Accent1 7 2 2 3 3" xfId="20399" xr:uid="{00000000-0005-0000-0000-00004F2F0000}"/>
    <cellStyle name="40% - Accent1 7 2 2 4" xfId="3076" xr:uid="{00000000-0005-0000-0000-0000502F0000}"/>
    <cellStyle name="40% - Accent1 7 2 2 4 2" xfId="15155" xr:uid="{00000000-0005-0000-0000-0000512F0000}"/>
    <cellStyle name="40% - Accent1 7 2 2 4 2 2" xfId="28704" xr:uid="{00000000-0005-0000-0000-0000522F0000}"/>
    <cellStyle name="40% - Accent1 7 2 2 4 3" xfId="20400" xr:uid="{00000000-0005-0000-0000-0000532F0000}"/>
    <cellStyle name="40% - Accent1 7 2 2 5" xfId="3077" xr:uid="{00000000-0005-0000-0000-0000542F0000}"/>
    <cellStyle name="40% - Accent1 7 2 2 5 2" xfId="16859" xr:uid="{00000000-0005-0000-0000-0000552F0000}"/>
    <cellStyle name="40% - Accent1 7 2 2 5 2 2" xfId="30266" xr:uid="{00000000-0005-0000-0000-0000562F0000}"/>
    <cellStyle name="40% - Accent1 7 2 2 5 3" xfId="20401" xr:uid="{00000000-0005-0000-0000-0000572F0000}"/>
    <cellStyle name="40% - Accent1 7 2 2 6" xfId="9262" xr:uid="{00000000-0005-0000-0000-0000582F0000}"/>
    <cellStyle name="40% - Accent1 7 2 2 6 2" xfId="23737" xr:uid="{00000000-0005-0000-0000-0000592F0000}"/>
    <cellStyle name="40% - Accent1 7 2 2 7" xfId="20397" xr:uid="{00000000-0005-0000-0000-00005A2F0000}"/>
    <cellStyle name="40% - Accent1 7 2 3" xfId="3078" xr:uid="{00000000-0005-0000-0000-00005B2F0000}"/>
    <cellStyle name="40% - Accent1 7 2 3 2" xfId="3079" xr:uid="{00000000-0005-0000-0000-00005C2F0000}"/>
    <cellStyle name="40% - Accent1 7 2 3 2 2" xfId="15156" xr:uid="{00000000-0005-0000-0000-00005D2F0000}"/>
    <cellStyle name="40% - Accent1 7 2 3 2 2 2" xfId="28705" xr:uid="{00000000-0005-0000-0000-00005E2F0000}"/>
    <cellStyle name="40% - Accent1 7 2 3 2 3" xfId="20403" xr:uid="{00000000-0005-0000-0000-00005F2F0000}"/>
    <cellStyle name="40% - Accent1 7 2 3 3" xfId="10987" xr:uid="{00000000-0005-0000-0000-0000602F0000}"/>
    <cellStyle name="40% - Accent1 7 2 3 3 2" xfId="24929" xr:uid="{00000000-0005-0000-0000-0000612F0000}"/>
    <cellStyle name="40% - Accent1 7 2 3 4" xfId="20402" xr:uid="{00000000-0005-0000-0000-0000622F0000}"/>
    <cellStyle name="40% - Accent1 7 2 4" xfId="3080" xr:uid="{00000000-0005-0000-0000-0000632F0000}"/>
    <cellStyle name="40% - Accent1 7 2 4 2" xfId="12247" xr:uid="{00000000-0005-0000-0000-0000642F0000}"/>
    <cellStyle name="40% - Accent1 7 2 4 2 2" xfId="25959" xr:uid="{00000000-0005-0000-0000-0000652F0000}"/>
    <cellStyle name="40% - Accent1 7 2 4 3" xfId="20404" xr:uid="{00000000-0005-0000-0000-0000662F0000}"/>
    <cellStyle name="40% - Accent1 7 2 5" xfId="3081" xr:uid="{00000000-0005-0000-0000-0000672F0000}"/>
    <cellStyle name="40% - Accent1 7 2 5 2" xfId="12782" xr:uid="{00000000-0005-0000-0000-0000682F0000}"/>
    <cellStyle name="40% - Accent1 7 2 5 2 2" xfId="26494" xr:uid="{00000000-0005-0000-0000-0000692F0000}"/>
    <cellStyle name="40% - Accent1 7 2 5 3" xfId="20405" xr:uid="{00000000-0005-0000-0000-00006A2F0000}"/>
    <cellStyle name="40% - Accent1 7 2 6" xfId="3082" xr:uid="{00000000-0005-0000-0000-00006B2F0000}"/>
    <cellStyle name="40% - Accent1 7 2 6 2" xfId="13811" xr:uid="{00000000-0005-0000-0000-00006C2F0000}"/>
    <cellStyle name="40% - Accent1 7 2 6 2 2" xfId="27360" xr:uid="{00000000-0005-0000-0000-00006D2F0000}"/>
    <cellStyle name="40% - Accent1 7 2 6 3" xfId="20406" xr:uid="{00000000-0005-0000-0000-00006E2F0000}"/>
    <cellStyle name="40% - Accent1 7 2 7" xfId="3083" xr:uid="{00000000-0005-0000-0000-00006F2F0000}"/>
    <cellStyle name="40% - Accent1 7 2 7 2" xfId="14392" xr:uid="{00000000-0005-0000-0000-0000702F0000}"/>
    <cellStyle name="40% - Accent1 7 2 7 2 2" xfId="27941" xr:uid="{00000000-0005-0000-0000-0000712F0000}"/>
    <cellStyle name="40% - Accent1 7 2 7 3" xfId="20407" xr:uid="{00000000-0005-0000-0000-0000722F0000}"/>
    <cellStyle name="40% - Accent1 7 2 8" xfId="3084" xr:uid="{00000000-0005-0000-0000-0000732F0000}"/>
    <cellStyle name="40% - Accent1 7 2 8 2" xfId="15154" xr:uid="{00000000-0005-0000-0000-0000742F0000}"/>
    <cellStyle name="40% - Accent1 7 2 8 2 2" xfId="28703" xr:uid="{00000000-0005-0000-0000-0000752F0000}"/>
    <cellStyle name="40% - Accent1 7 2 8 3" xfId="20408" xr:uid="{00000000-0005-0000-0000-0000762F0000}"/>
    <cellStyle name="40% - Accent1 7 2 9" xfId="3085" xr:uid="{00000000-0005-0000-0000-0000772F0000}"/>
    <cellStyle name="40% - Accent1 7 2 9 2" xfId="16278" xr:uid="{00000000-0005-0000-0000-0000782F0000}"/>
    <cellStyle name="40% - Accent1 7 2 9 2 2" xfId="29685" xr:uid="{00000000-0005-0000-0000-0000792F0000}"/>
    <cellStyle name="40% - Accent1 7 2 9 3" xfId="20409" xr:uid="{00000000-0005-0000-0000-00007A2F0000}"/>
    <cellStyle name="40% - Accent1 7 3" xfId="3086" xr:uid="{00000000-0005-0000-0000-00007B2F0000}"/>
    <cellStyle name="40% - Accent1 7 3 2" xfId="3087" xr:uid="{00000000-0005-0000-0000-00007C2F0000}"/>
    <cellStyle name="40% - Accent1 7 3 2 2" xfId="10989" xr:uid="{00000000-0005-0000-0000-00007D2F0000}"/>
    <cellStyle name="40% - Accent1 7 3 2 2 2" xfId="24931" xr:uid="{00000000-0005-0000-0000-00007E2F0000}"/>
    <cellStyle name="40% - Accent1 7 3 2 3" xfId="20411" xr:uid="{00000000-0005-0000-0000-00007F2F0000}"/>
    <cellStyle name="40% - Accent1 7 3 3" xfId="3088" xr:uid="{00000000-0005-0000-0000-0000802F0000}"/>
    <cellStyle name="40% - Accent1 7 3 3 2" xfId="12444" xr:uid="{00000000-0005-0000-0000-0000812F0000}"/>
    <cellStyle name="40% - Accent1 7 3 3 2 2" xfId="26156" xr:uid="{00000000-0005-0000-0000-0000822F0000}"/>
    <cellStyle name="40% - Accent1 7 3 3 3" xfId="20412" xr:uid="{00000000-0005-0000-0000-0000832F0000}"/>
    <cellStyle name="40% - Accent1 7 3 4" xfId="3089" xr:uid="{00000000-0005-0000-0000-0000842F0000}"/>
    <cellStyle name="40% - Accent1 7 3 4 2" xfId="15157" xr:uid="{00000000-0005-0000-0000-0000852F0000}"/>
    <cellStyle name="40% - Accent1 7 3 4 2 2" xfId="28706" xr:uid="{00000000-0005-0000-0000-0000862F0000}"/>
    <cellStyle name="40% - Accent1 7 3 4 3" xfId="20413" xr:uid="{00000000-0005-0000-0000-0000872F0000}"/>
    <cellStyle name="40% - Accent1 7 3 5" xfId="3090" xr:uid="{00000000-0005-0000-0000-0000882F0000}"/>
    <cellStyle name="40% - Accent1 7 3 5 2" xfId="16570" xr:uid="{00000000-0005-0000-0000-0000892F0000}"/>
    <cellStyle name="40% - Accent1 7 3 5 2 2" xfId="29977" xr:uid="{00000000-0005-0000-0000-00008A2F0000}"/>
    <cellStyle name="40% - Accent1 7 3 5 3" xfId="20414" xr:uid="{00000000-0005-0000-0000-00008B2F0000}"/>
    <cellStyle name="40% - Accent1 7 3 6" xfId="9263" xr:uid="{00000000-0005-0000-0000-00008C2F0000}"/>
    <cellStyle name="40% - Accent1 7 3 6 2" xfId="23738" xr:uid="{00000000-0005-0000-0000-00008D2F0000}"/>
    <cellStyle name="40% - Accent1 7 3 7" xfId="20410" xr:uid="{00000000-0005-0000-0000-00008E2F0000}"/>
    <cellStyle name="40% - Accent1 7 4" xfId="3091" xr:uid="{00000000-0005-0000-0000-00008F2F0000}"/>
    <cellStyle name="40% - Accent1 7 4 2" xfId="3092" xr:uid="{00000000-0005-0000-0000-0000902F0000}"/>
    <cellStyle name="40% - Accent1 7 4 2 2" xfId="15158" xr:uid="{00000000-0005-0000-0000-0000912F0000}"/>
    <cellStyle name="40% - Accent1 7 4 2 2 2" xfId="28707" xr:uid="{00000000-0005-0000-0000-0000922F0000}"/>
    <cellStyle name="40% - Accent1 7 4 2 3" xfId="20416" xr:uid="{00000000-0005-0000-0000-0000932F0000}"/>
    <cellStyle name="40% - Accent1 7 4 3" xfId="10986" xr:uid="{00000000-0005-0000-0000-0000942F0000}"/>
    <cellStyle name="40% - Accent1 7 4 3 2" xfId="24928" xr:uid="{00000000-0005-0000-0000-0000952F0000}"/>
    <cellStyle name="40% - Accent1 7 4 4" xfId="20415" xr:uid="{00000000-0005-0000-0000-0000962F0000}"/>
    <cellStyle name="40% - Accent1 7 5" xfId="3093" xr:uid="{00000000-0005-0000-0000-0000972F0000}"/>
    <cellStyle name="40% - Accent1 7 5 2" xfId="11945" xr:uid="{00000000-0005-0000-0000-0000982F0000}"/>
    <cellStyle name="40% - Accent1 7 5 2 2" xfId="25660" xr:uid="{00000000-0005-0000-0000-0000992F0000}"/>
    <cellStyle name="40% - Accent1 7 5 3" xfId="20417" xr:uid="{00000000-0005-0000-0000-00009A2F0000}"/>
    <cellStyle name="40% - Accent1 7 6" xfId="3094" xr:uid="{00000000-0005-0000-0000-00009B2F0000}"/>
    <cellStyle name="40% - Accent1 7 6 2" xfId="12737" xr:uid="{00000000-0005-0000-0000-00009C2F0000}"/>
    <cellStyle name="40% - Accent1 7 6 2 2" xfId="26449" xr:uid="{00000000-0005-0000-0000-00009D2F0000}"/>
    <cellStyle name="40% - Accent1 7 6 3" xfId="20418" xr:uid="{00000000-0005-0000-0000-00009E2F0000}"/>
    <cellStyle name="40% - Accent1 7 7" xfId="3095" xr:uid="{00000000-0005-0000-0000-00009F2F0000}"/>
    <cellStyle name="40% - Accent1 7 7 2" xfId="13522" xr:uid="{00000000-0005-0000-0000-0000A02F0000}"/>
    <cellStyle name="40% - Accent1 7 7 2 2" xfId="27071" xr:uid="{00000000-0005-0000-0000-0000A12F0000}"/>
    <cellStyle name="40% - Accent1 7 7 3" xfId="20419" xr:uid="{00000000-0005-0000-0000-0000A22F0000}"/>
    <cellStyle name="40% - Accent1 7 8" xfId="3096" xr:uid="{00000000-0005-0000-0000-0000A32F0000}"/>
    <cellStyle name="40% - Accent1 7 8 2" xfId="14103" xr:uid="{00000000-0005-0000-0000-0000A42F0000}"/>
    <cellStyle name="40% - Accent1 7 8 2 2" xfId="27652" xr:uid="{00000000-0005-0000-0000-0000A52F0000}"/>
    <cellStyle name="40% - Accent1 7 8 3" xfId="20420" xr:uid="{00000000-0005-0000-0000-0000A62F0000}"/>
    <cellStyle name="40% - Accent1 7 9" xfId="3097" xr:uid="{00000000-0005-0000-0000-0000A72F0000}"/>
    <cellStyle name="40% - Accent1 7 9 2" xfId="15153" xr:uid="{00000000-0005-0000-0000-0000A82F0000}"/>
    <cellStyle name="40% - Accent1 7 9 2 2" xfId="28702" xr:uid="{00000000-0005-0000-0000-0000A92F0000}"/>
    <cellStyle name="40% - Accent1 7 9 3" xfId="20421" xr:uid="{00000000-0005-0000-0000-0000AA2F0000}"/>
    <cellStyle name="40% - Accent1 8" xfId="3098" xr:uid="{00000000-0005-0000-0000-0000AB2F0000}"/>
    <cellStyle name="40% - Accent1 8 10" xfId="9264" xr:uid="{00000000-0005-0000-0000-0000AC2F0000}"/>
    <cellStyle name="40% - Accent1 8 10 2" xfId="23739" xr:uid="{00000000-0005-0000-0000-0000AD2F0000}"/>
    <cellStyle name="40% - Accent1 8 11" xfId="20422" xr:uid="{00000000-0005-0000-0000-0000AE2F0000}"/>
    <cellStyle name="40% - Accent1 8 2" xfId="3099" xr:uid="{00000000-0005-0000-0000-0000AF2F0000}"/>
    <cellStyle name="40% - Accent1 8 2 2" xfId="3100" xr:uid="{00000000-0005-0000-0000-0000B02F0000}"/>
    <cellStyle name="40% - Accent1 8 2 2 2" xfId="10991" xr:uid="{00000000-0005-0000-0000-0000B12F0000}"/>
    <cellStyle name="40% - Accent1 8 2 2 2 2" xfId="24933" xr:uid="{00000000-0005-0000-0000-0000B22F0000}"/>
    <cellStyle name="40% - Accent1 8 2 2 3" xfId="20424" xr:uid="{00000000-0005-0000-0000-0000B32F0000}"/>
    <cellStyle name="40% - Accent1 8 2 3" xfId="3101" xr:uid="{00000000-0005-0000-0000-0000B42F0000}"/>
    <cellStyle name="40% - Accent1 8 2 3 2" xfId="12764" xr:uid="{00000000-0005-0000-0000-0000B52F0000}"/>
    <cellStyle name="40% - Accent1 8 2 3 2 2" xfId="26476" xr:uid="{00000000-0005-0000-0000-0000B62F0000}"/>
    <cellStyle name="40% - Accent1 8 2 3 3" xfId="20425" xr:uid="{00000000-0005-0000-0000-0000B72F0000}"/>
    <cellStyle name="40% - Accent1 8 2 4" xfId="3102" xr:uid="{00000000-0005-0000-0000-0000B82F0000}"/>
    <cellStyle name="40% - Accent1 8 2 4 2" xfId="15160" xr:uid="{00000000-0005-0000-0000-0000B92F0000}"/>
    <cellStyle name="40% - Accent1 8 2 4 2 2" xfId="28709" xr:uid="{00000000-0005-0000-0000-0000BA2F0000}"/>
    <cellStyle name="40% - Accent1 8 2 4 3" xfId="20426" xr:uid="{00000000-0005-0000-0000-0000BB2F0000}"/>
    <cellStyle name="40% - Accent1 8 2 5" xfId="3103" xr:uid="{00000000-0005-0000-0000-0000BC2F0000}"/>
    <cellStyle name="40% - Accent1 8 2 5 2" xfId="16718" xr:uid="{00000000-0005-0000-0000-0000BD2F0000}"/>
    <cellStyle name="40% - Accent1 8 2 5 2 2" xfId="30125" xr:uid="{00000000-0005-0000-0000-0000BE2F0000}"/>
    <cellStyle name="40% - Accent1 8 2 5 3" xfId="20427" xr:uid="{00000000-0005-0000-0000-0000BF2F0000}"/>
    <cellStyle name="40% - Accent1 8 2 6" xfId="9265" xr:uid="{00000000-0005-0000-0000-0000C02F0000}"/>
    <cellStyle name="40% - Accent1 8 2 6 2" xfId="23740" xr:uid="{00000000-0005-0000-0000-0000C12F0000}"/>
    <cellStyle name="40% - Accent1 8 2 7" xfId="20423" xr:uid="{00000000-0005-0000-0000-0000C22F0000}"/>
    <cellStyle name="40% - Accent1 8 3" xfId="3104" xr:uid="{00000000-0005-0000-0000-0000C32F0000}"/>
    <cellStyle name="40% - Accent1 8 3 2" xfId="3105" xr:uid="{00000000-0005-0000-0000-0000C42F0000}"/>
    <cellStyle name="40% - Accent1 8 3 2 2" xfId="15161" xr:uid="{00000000-0005-0000-0000-0000C52F0000}"/>
    <cellStyle name="40% - Accent1 8 3 2 2 2" xfId="28710" xr:uid="{00000000-0005-0000-0000-0000C62F0000}"/>
    <cellStyle name="40% - Accent1 8 3 2 3" xfId="20429" xr:uid="{00000000-0005-0000-0000-0000C72F0000}"/>
    <cellStyle name="40% - Accent1 8 3 3" xfId="10990" xr:uid="{00000000-0005-0000-0000-0000C82F0000}"/>
    <cellStyle name="40% - Accent1 8 3 3 2" xfId="24932" xr:uid="{00000000-0005-0000-0000-0000C92F0000}"/>
    <cellStyle name="40% - Accent1 8 3 4" xfId="20428" xr:uid="{00000000-0005-0000-0000-0000CA2F0000}"/>
    <cellStyle name="40% - Accent1 8 4" xfId="3106" xr:uid="{00000000-0005-0000-0000-0000CB2F0000}"/>
    <cellStyle name="40% - Accent1 8 4 2" xfId="12096" xr:uid="{00000000-0005-0000-0000-0000CC2F0000}"/>
    <cellStyle name="40% - Accent1 8 4 2 2" xfId="25810" xr:uid="{00000000-0005-0000-0000-0000CD2F0000}"/>
    <cellStyle name="40% - Accent1 8 4 3" xfId="20430" xr:uid="{00000000-0005-0000-0000-0000CE2F0000}"/>
    <cellStyle name="40% - Accent1 8 5" xfId="3107" xr:uid="{00000000-0005-0000-0000-0000CF2F0000}"/>
    <cellStyle name="40% - Accent1 8 5 2" xfId="12513" xr:uid="{00000000-0005-0000-0000-0000D02F0000}"/>
    <cellStyle name="40% - Accent1 8 5 2 2" xfId="26225" xr:uid="{00000000-0005-0000-0000-0000D12F0000}"/>
    <cellStyle name="40% - Accent1 8 5 3" xfId="20431" xr:uid="{00000000-0005-0000-0000-0000D22F0000}"/>
    <cellStyle name="40% - Accent1 8 6" xfId="3108" xr:uid="{00000000-0005-0000-0000-0000D32F0000}"/>
    <cellStyle name="40% - Accent1 8 6 2" xfId="13670" xr:uid="{00000000-0005-0000-0000-0000D42F0000}"/>
    <cellStyle name="40% - Accent1 8 6 2 2" xfId="27219" xr:uid="{00000000-0005-0000-0000-0000D52F0000}"/>
    <cellStyle name="40% - Accent1 8 6 3" xfId="20432" xr:uid="{00000000-0005-0000-0000-0000D62F0000}"/>
    <cellStyle name="40% - Accent1 8 7" xfId="3109" xr:uid="{00000000-0005-0000-0000-0000D72F0000}"/>
    <cellStyle name="40% - Accent1 8 7 2" xfId="14251" xr:uid="{00000000-0005-0000-0000-0000D82F0000}"/>
    <cellStyle name="40% - Accent1 8 7 2 2" xfId="27800" xr:uid="{00000000-0005-0000-0000-0000D92F0000}"/>
    <cellStyle name="40% - Accent1 8 7 3" xfId="20433" xr:uid="{00000000-0005-0000-0000-0000DA2F0000}"/>
    <cellStyle name="40% - Accent1 8 8" xfId="3110" xr:uid="{00000000-0005-0000-0000-0000DB2F0000}"/>
    <cellStyle name="40% - Accent1 8 8 2" xfId="15159" xr:uid="{00000000-0005-0000-0000-0000DC2F0000}"/>
    <cellStyle name="40% - Accent1 8 8 2 2" xfId="28708" xr:uid="{00000000-0005-0000-0000-0000DD2F0000}"/>
    <cellStyle name="40% - Accent1 8 8 3" xfId="20434" xr:uid="{00000000-0005-0000-0000-0000DE2F0000}"/>
    <cellStyle name="40% - Accent1 8 9" xfId="3111" xr:uid="{00000000-0005-0000-0000-0000DF2F0000}"/>
    <cellStyle name="40% - Accent1 8 9 2" xfId="16137" xr:uid="{00000000-0005-0000-0000-0000E02F0000}"/>
    <cellStyle name="40% - Accent1 8 9 2 2" xfId="29544" xr:uid="{00000000-0005-0000-0000-0000E12F0000}"/>
    <cellStyle name="40% - Accent1 8 9 3" xfId="20435" xr:uid="{00000000-0005-0000-0000-0000E22F0000}"/>
    <cellStyle name="40% - Accent1 9" xfId="3112" xr:uid="{00000000-0005-0000-0000-0000E32F0000}"/>
    <cellStyle name="40% - Accent1 9 2" xfId="3113" xr:uid="{00000000-0005-0000-0000-0000E42F0000}"/>
    <cellStyle name="40% - Accent1 9 2 2" xfId="10992" xr:uid="{00000000-0005-0000-0000-0000E52F0000}"/>
    <cellStyle name="40% - Accent1 9 2 2 2" xfId="24934" xr:uid="{00000000-0005-0000-0000-0000E62F0000}"/>
    <cellStyle name="40% - Accent1 9 2 3" xfId="20437" xr:uid="{00000000-0005-0000-0000-0000E72F0000}"/>
    <cellStyle name="40% - Accent1 9 3" xfId="3114" xr:uid="{00000000-0005-0000-0000-0000E82F0000}"/>
    <cellStyle name="40% - Accent1 9 3 2" xfId="11786" xr:uid="{00000000-0005-0000-0000-0000E92F0000}"/>
    <cellStyle name="40% - Accent1 9 3 2 2" xfId="25501" xr:uid="{00000000-0005-0000-0000-0000EA2F0000}"/>
    <cellStyle name="40% - Accent1 9 3 3" xfId="20438" xr:uid="{00000000-0005-0000-0000-0000EB2F0000}"/>
    <cellStyle name="40% - Accent1 9 4" xfId="3115" xr:uid="{00000000-0005-0000-0000-0000EC2F0000}"/>
    <cellStyle name="40% - Accent1 9 4 2" xfId="15162" xr:uid="{00000000-0005-0000-0000-0000ED2F0000}"/>
    <cellStyle name="40% - Accent1 9 4 2 2" xfId="28711" xr:uid="{00000000-0005-0000-0000-0000EE2F0000}"/>
    <cellStyle name="40% - Accent1 9 4 3" xfId="20439" xr:uid="{00000000-0005-0000-0000-0000EF2F0000}"/>
    <cellStyle name="40% - Accent1 9 5" xfId="3116" xr:uid="{00000000-0005-0000-0000-0000F02F0000}"/>
    <cellStyle name="40% - Accent1 9 5 2" xfId="17102" xr:uid="{00000000-0005-0000-0000-0000F12F0000}"/>
    <cellStyle name="40% - Accent1 9 5 2 2" xfId="30461" xr:uid="{00000000-0005-0000-0000-0000F22F0000}"/>
    <cellStyle name="40% - Accent1 9 5 3" xfId="20440" xr:uid="{00000000-0005-0000-0000-0000F32F0000}"/>
    <cellStyle name="40% - Accent1 9 6" xfId="9266" xr:uid="{00000000-0005-0000-0000-0000F42F0000}"/>
    <cellStyle name="40% - Accent1 9 6 2" xfId="23741" xr:uid="{00000000-0005-0000-0000-0000F52F0000}"/>
    <cellStyle name="40% - Accent1 9 7" xfId="20436" xr:uid="{00000000-0005-0000-0000-0000F62F0000}"/>
    <cellStyle name="40% - Accent2" xfId="33" builtinId="35" customBuiltin="1"/>
    <cellStyle name="40% - Accent2 10" xfId="3117" xr:uid="{00000000-0005-0000-0000-0000F82F0000}"/>
    <cellStyle name="40% - Accent2 10 2" xfId="3118" xr:uid="{00000000-0005-0000-0000-0000F92F0000}"/>
    <cellStyle name="40% - Accent2 10 2 2" xfId="11770" xr:uid="{00000000-0005-0000-0000-0000FA2F0000}"/>
    <cellStyle name="40% - Accent2 10 2 2 2" xfId="25485" xr:uid="{00000000-0005-0000-0000-0000FB2F0000}"/>
    <cellStyle name="40% - Accent2 10 2 3" xfId="20443" xr:uid="{00000000-0005-0000-0000-0000FC2F0000}"/>
    <cellStyle name="40% - Accent2 10 3" xfId="3119" xr:uid="{00000000-0005-0000-0000-0000FD2F0000}"/>
    <cellStyle name="40% - Accent2 10 3 2" xfId="15163" xr:uid="{00000000-0005-0000-0000-0000FE2F0000}"/>
    <cellStyle name="40% - Accent2 10 3 2 2" xfId="28712" xr:uid="{00000000-0005-0000-0000-0000FF2F0000}"/>
    <cellStyle name="40% - Accent2 10 3 3" xfId="20444" xr:uid="{00000000-0005-0000-0000-000000300000}"/>
    <cellStyle name="40% - Accent2 10 4" xfId="3120" xr:uid="{00000000-0005-0000-0000-000001300000}"/>
    <cellStyle name="40% - Accent2 10 4 2" xfId="17192" xr:uid="{00000000-0005-0000-0000-000002300000}"/>
    <cellStyle name="40% - Accent2 10 4 2 2" xfId="30551" xr:uid="{00000000-0005-0000-0000-000003300000}"/>
    <cellStyle name="40% - Accent2 10 4 3" xfId="20445" xr:uid="{00000000-0005-0000-0000-000004300000}"/>
    <cellStyle name="40% - Accent2 10 5" xfId="10510" xr:uid="{00000000-0005-0000-0000-000005300000}"/>
    <cellStyle name="40% - Accent2 10 5 2" xfId="24458" xr:uid="{00000000-0005-0000-0000-000006300000}"/>
    <cellStyle name="40% - Accent2 10 6" xfId="20442" xr:uid="{00000000-0005-0000-0000-000007300000}"/>
    <cellStyle name="40% - Accent2 11" xfId="3121" xr:uid="{00000000-0005-0000-0000-000008300000}"/>
    <cellStyle name="40% - Accent2 11 2" xfId="3122" xr:uid="{00000000-0005-0000-0000-000009300000}"/>
    <cellStyle name="40% - Accent2 11 2 2" xfId="12606" xr:uid="{00000000-0005-0000-0000-00000A300000}"/>
    <cellStyle name="40% - Accent2 11 2 2 2" xfId="26318" xr:uid="{00000000-0005-0000-0000-00000B300000}"/>
    <cellStyle name="40% - Accent2 11 2 3" xfId="20447" xr:uid="{00000000-0005-0000-0000-00000C300000}"/>
    <cellStyle name="40% - Accent2 11 3" xfId="3123" xr:uid="{00000000-0005-0000-0000-00000D300000}"/>
    <cellStyle name="40% - Accent2 11 3 2" xfId="15164" xr:uid="{00000000-0005-0000-0000-00000E300000}"/>
    <cellStyle name="40% - Accent2 11 3 2 2" xfId="28713" xr:uid="{00000000-0005-0000-0000-00000F300000}"/>
    <cellStyle name="40% - Accent2 11 3 3" xfId="20448" xr:uid="{00000000-0005-0000-0000-000010300000}"/>
    <cellStyle name="40% - Accent2 11 4" xfId="3124" xr:uid="{00000000-0005-0000-0000-000011300000}"/>
    <cellStyle name="40% - Accent2 11 4 2" xfId="17281" xr:uid="{00000000-0005-0000-0000-000012300000}"/>
    <cellStyle name="40% - Accent2 11 4 2 2" xfId="30640" xr:uid="{00000000-0005-0000-0000-000013300000}"/>
    <cellStyle name="40% - Accent2 11 4 3" xfId="20449" xr:uid="{00000000-0005-0000-0000-000014300000}"/>
    <cellStyle name="40% - Accent2 11 5" xfId="10993" xr:uid="{00000000-0005-0000-0000-000015300000}"/>
    <cellStyle name="40% - Accent2 11 5 2" xfId="24935" xr:uid="{00000000-0005-0000-0000-000016300000}"/>
    <cellStyle name="40% - Accent2 11 6" xfId="20446" xr:uid="{00000000-0005-0000-0000-000017300000}"/>
    <cellStyle name="40% - Accent2 12" xfId="3125" xr:uid="{00000000-0005-0000-0000-000018300000}"/>
    <cellStyle name="40% - Accent2 12 2" xfId="3126" xr:uid="{00000000-0005-0000-0000-000019300000}"/>
    <cellStyle name="40% - Accent2 12 2 2" xfId="16433" xr:uid="{00000000-0005-0000-0000-00001A300000}"/>
    <cellStyle name="40% - Accent2 12 2 2 2" xfId="29840" xr:uid="{00000000-0005-0000-0000-00001B300000}"/>
    <cellStyle name="40% - Accent2 12 2 3" xfId="20451" xr:uid="{00000000-0005-0000-0000-00001C300000}"/>
    <cellStyle name="40% - Accent2 12 3" xfId="11746" xr:uid="{00000000-0005-0000-0000-00001D300000}"/>
    <cellStyle name="40% - Accent2 12 3 2" xfId="25461" xr:uid="{00000000-0005-0000-0000-00001E300000}"/>
    <cellStyle name="40% - Accent2 12 4" xfId="20450" xr:uid="{00000000-0005-0000-0000-00001F300000}"/>
    <cellStyle name="40% - Accent2 13" xfId="3127" xr:uid="{00000000-0005-0000-0000-000020300000}"/>
    <cellStyle name="40% - Accent2 13 2" xfId="13385" xr:uid="{00000000-0005-0000-0000-000021300000}"/>
    <cellStyle name="40% - Accent2 13 2 2" xfId="26934" xr:uid="{00000000-0005-0000-0000-000022300000}"/>
    <cellStyle name="40% - Accent2 13 3" xfId="20452" xr:uid="{00000000-0005-0000-0000-000023300000}"/>
    <cellStyle name="40% - Accent2 14" xfId="3128" xr:uid="{00000000-0005-0000-0000-000024300000}"/>
    <cellStyle name="40% - Accent2 14 2" xfId="13966" xr:uid="{00000000-0005-0000-0000-000025300000}"/>
    <cellStyle name="40% - Accent2 14 2 2" xfId="27515" xr:uid="{00000000-0005-0000-0000-000026300000}"/>
    <cellStyle name="40% - Accent2 14 3" xfId="20453" xr:uid="{00000000-0005-0000-0000-000027300000}"/>
    <cellStyle name="40% - Accent2 15" xfId="3129" xr:uid="{00000000-0005-0000-0000-000028300000}"/>
    <cellStyle name="40% - Accent2 15 2" xfId="15834" xr:uid="{00000000-0005-0000-0000-000029300000}"/>
    <cellStyle name="40% - Accent2 15 2 2" xfId="29241" xr:uid="{00000000-0005-0000-0000-00002A300000}"/>
    <cellStyle name="40% - Accent2 15 3" xfId="20454" xr:uid="{00000000-0005-0000-0000-00002B300000}"/>
    <cellStyle name="40% - Accent2 16" xfId="3130" xr:uid="{00000000-0005-0000-0000-00002C300000}"/>
    <cellStyle name="40% - Accent2 16 2" xfId="15852" xr:uid="{00000000-0005-0000-0000-00002D300000}"/>
    <cellStyle name="40% - Accent2 16 2 2" xfId="29259" xr:uid="{00000000-0005-0000-0000-00002E300000}"/>
    <cellStyle name="40% - Accent2 16 3" xfId="20455" xr:uid="{00000000-0005-0000-0000-00002F300000}"/>
    <cellStyle name="40% - Accent2 17" xfId="8816" xr:uid="{00000000-0005-0000-0000-000030300000}"/>
    <cellStyle name="40% - Accent2 17 2" xfId="23292" xr:uid="{00000000-0005-0000-0000-000031300000}"/>
    <cellStyle name="40% - Accent2 18" xfId="20441" xr:uid="{00000000-0005-0000-0000-000032300000}"/>
    <cellStyle name="40% - Accent2 2" xfId="3131" xr:uid="{00000000-0005-0000-0000-000033300000}"/>
    <cellStyle name="40% - Accent2 2 10" xfId="3132" xr:uid="{00000000-0005-0000-0000-000034300000}"/>
    <cellStyle name="40% - Accent2 2 10 2" xfId="15905" xr:uid="{00000000-0005-0000-0000-000035300000}"/>
    <cellStyle name="40% - Accent2 2 10 2 2" xfId="29312" xr:uid="{00000000-0005-0000-0000-000036300000}"/>
    <cellStyle name="40% - Accent2 2 10 3" xfId="20457" xr:uid="{00000000-0005-0000-0000-000037300000}"/>
    <cellStyle name="40% - Accent2 2 11" xfId="9267" xr:uid="{00000000-0005-0000-0000-000038300000}"/>
    <cellStyle name="40% - Accent2 2 11 2" xfId="23742" xr:uid="{00000000-0005-0000-0000-000039300000}"/>
    <cellStyle name="40% - Accent2 2 12" xfId="20456" xr:uid="{00000000-0005-0000-0000-00003A300000}"/>
    <cellStyle name="40% - Accent2 2 13" xfId="33067" xr:uid="{00000000-0005-0000-0000-00003B300000}"/>
    <cellStyle name="40% - Accent2 2 2" xfId="3133" xr:uid="{00000000-0005-0000-0000-00003C300000}"/>
    <cellStyle name="40% - Accent2 2 2 10" xfId="20458" xr:uid="{00000000-0005-0000-0000-00003D300000}"/>
    <cellStyle name="40% - Accent2 2 2 2" xfId="3134" xr:uid="{00000000-0005-0000-0000-00003E300000}"/>
    <cellStyle name="40% - Accent2 2 2 2 2" xfId="3135" xr:uid="{00000000-0005-0000-0000-00003F300000}"/>
    <cellStyle name="40% - Accent2 2 2 2 2 2" xfId="3136" xr:uid="{00000000-0005-0000-0000-000040300000}"/>
    <cellStyle name="40% - Accent2 2 2 2 2 2 2" xfId="3137" xr:uid="{00000000-0005-0000-0000-000041300000}"/>
    <cellStyle name="40% - Accent2 2 2 2 2 2 2 2" xfId="16964" xr:uid="{00000000-0005-0000-0000-000042300000}"/>
    <cellStyle name="40% - Accent2 2 2 2 2 2 2 2 2" xfId="30371" xr:uid="{00000000-0005-0000-0000-000043300000}"/>
    <cellStyle name="40% - Accent2 2 2 2 2 2 2 3" xfId="20462" xr:uid="{00000000-0005-0000-0000-000044300000}"/>
    <cellStyle name="40% - Accent2 2 2 2 2 2 3" xfId="10997" xr:uid="{00000000-0005-0000-0000-000045300000}"/>
    <cellStyle name="40% - Accent2 2 2 2 2 2 3 2" xfId="24939" xr:uid="{00000000-0005-0000-0000-000046300000}"/>
    <cellStyle name="40% - Accent2 2 2 2 2 2 4" xfId="20461" xr:uid="{00000000-0005-0000-0000-000047300000}"/>
    <cellStyle name="40% - Accent2 2 2 2 2 3" xfId="3138" xr:uid="{00000000-0005-0000-0000-000048300000}"/>
    <cellStyle name="40% - Accent2 2 2 2 2 3 2" xfId="12352" xr:uid="{00000000-0005-0000-0000-000049300000}"/>
    <cellStyle name="40% - Accent2 2 2 2 2 3 2 2" xfId="26064" xr:uid="{00000000-0005-0000-0000-00004A300000}"/>
    <cellStyle name="40% - Accent2 2 2 2 2 3 3" xfId="20463" xr:uid="{00000000-0005-0000-0000-00004B300000}"/>
    <cellStyle name="40% - Accent2 2 2 2 2 4" xfId="3139" xr:uid="{00000000-0005-0000-0000-00004C300000}"/>
    <cellStyle name="40% - Accent2 2 2 2 2 4 2" xfId="13916" xr:uid="{00000000-0005-0000-0000-00004D300000}"/>
    <cellStyle name="40% - Accent2 2 2 2 2 4 2 2" xfId="27465" xr:uid="{00000000-0005-0000-0000-00004E300000}"/>
    <cellStyle name="40% - Accent2 2 2 2 2 4 3" xfId="20464" xr:uid="{00000000-0005-0000-0000-00004F300000}"/>
    <cellStyle name="40% - Accent2 2 2 2 2 5" xfId="3140" xr:uid="{00000000-0005-0000-0000-000050300000}"/>
    <cellStyle name="40% - Accent2 2 2 2 2 5 2" xfId="14497" xr:uid="{00000000-0005-0000-0000-000051300000}"/>
    <cellStyle name="40% - Accent2 2 2 2 2 5 2 2" xfId="28046" xr:uid="{00000000-0005-0000-0000-000052300000}"/>
    <cellStyle name="40% - Accent2 2 2 2 2 5 3" xfId="20465" xr:uid="{00000000-0005-0000-0000-000053300000}"/>
    <cellStyle name="40% - Accent2 2 2 2 2 6" xfId="3141" xr:uid="{00000000-0005-0000-0000-000054300000}"/>
    <cellStyle name="40% - Accent2 2 2 2 2 6 2" xfId="16383" xr:uid="{00000000-0005-0000-0000-000055300000}"/>
    <cellStyle name="40% - Accent2 2 2 2 2 6 2 2" xfId="29790" xr:uid="{00000000-0005-0000-0000-000056300000}"/>
    <cellStyle name="40% - Accent2 2 2 2 2 6 3" xfId="20466" xr:uid="{00000000-0005-0000-0000-000057300000}"/>
    <cellStyle name="40% - Accent2 2 2 2 2 7" xfId="9270" xr:uid="{00000000-0005-0000-0000-000058300000}"/>
    <cellStyle name="40% - Accent2 2 2 2 2 7 2" xfId="23745" xr:uid="{00000000-0005-0000-0000-000059300000}"/>
    <cellStyle name="40% - Accent2 2 2 2 2 8" xfId="20460" xr:uid="{00000000-0005-0000-0000-00005A300000}"/>
    <cellStyle name="40% - Accent2 2 2 2 3" xfId="3142" xr:uid="{00000000-0005-0000-0000-00005B300000}"/>
    <cellStyle name="40% - Accent2 2 2 2 3 2" xfId="3143" xr:uid="{00000000-0005-0000-0000-00005C300000}"/>
    <cellStyle name="40% - Accent2 2 2 2 3 2 2" xfId="16675" xr:uid="{00000000-0005-0000-0000-00005D300000}"/>
    <cellStyle name="40% - Accent2 2 2 2 3 2 2 2" xfId="30082" xr:uid="{00000000-0005-0000-0000-00005E300000}"/>
    <cellStyle name="40% - Accent2 2 2 2 3 2 3" xfId="20468" xr:uid="{00000000-0005-0000-0000-00005F300000}"/>
    <cellStyle name="40% - Accent2 2 2 2 3 3" xfId="10996" xr:uid="{00000000-0005-0000-0000-000060300000}"/>
    <cellStyle name="40% - Accent2 2 2 2 3 3 2" xfId="24938" xr:uid="{00000000-0005-0000-0000-000061300000}"/>
    <cellStyle name="40% - Accent2 2 2 2 3 4" xfId="20467" xr:uid="{00000000-0005-0000-0000-000062300000}"/>
    <cellStyle name="40% - Accent2 2 2 2 4" xfId="3144" xr:uid="{00000000-0005-0000-0000-000063300000}"/>
    <cellStyle name="40% - Accent2 2 2 2 4 2" xfId="12052" xr:uid="{00000000-0005-0000-0000-000064300000}"/>
    <cellStyle name="40% - Accent2 2 2 2 4 2 2" xfId="25767" xr:uid="{00000000-0005-0000-0000-000065300000}"/>
    <cellStyle name="40% - Accent2 2 2 2 4 3" xfId="20469" xr:uid="{00000000-0005-0000-0000-000066300000}"/>
    <cellStyle name="40% - Accent2 2 2 2 5" xfId="3145" xr:uid="{00000000-0005-0000-0000-000067300000}"/>
    <cellStyle name="40% - Accent2 2 2 2 5 2" xfId="13627" xr:uid="{00000000-0005-0000-0000-000068300000}"/>
    <cellStyle name="40% - Accent2 2 2 2 5 2 2" xfId="27176" xr:uid="{00000000-0005-0000-0000-000069300000}"/>
    <cellStyle name="40% - Accent2 2 2 2 5 3" xfId="20470" xr:uid="{00000000-0005-0000-0000-00006A300000}"/>
    <cellStyle name="40% - Accent2 2 2 2 6" xfId="3146" xr:uid="{00000000-0005-0000-0000-00006B300000}"/>
    <cellStyle name="40% - Accent2 2 2 2 6 2" xfId="14208" xr:uid="{00000000-0005-0000-0000-00006C300000}"/>
    <cellStyle name="40% - Accent2 2 2 2 6 2 2" xfId="27757" xr:uid="{00000000-0005-0000-0000-00006D300000}"/>
    <cellStyle name="40% - Accent2 2 2 2 6 3" xfId="20471" xr:uid="{00000000-0005-0000-0000-00006E300000}"/>
    <cellStyle name="40% - Accent2 2 2 2 7" xfId="3147" xr:uid="{00000000-0005-0000-0000-00006F300000}"/>
    <cellStyle name="40% - Accent2 2 2 2 7 2" xfId="16094" xr:uid="{00000000-0005-0000-0000-000070300000}"/>
    <cellStyle name="40% - Accent2 2 2 2 7 2 2" xfId="29501" xr:uid="{00000000-0005-0000-0000-000071300000}"/>
    <cellStyle name="40% - Accent2 2 2 2 7 3" xfId="20472" xr:uid="{00000000-0005-0000-0000-000072300000}"/>
    <cellStyle name="40% - Accent2 2 2 2 8" xfId="9269" xr:uid="{00000000-0005-0000-0000-000073300000}"/>
    <cellStyle name="40% - Accent2 2 2 2 8 2" xfId="23744" xr:uid="{00000000-0005-0000-0000-000074300000}"/>
    <cellStyle name="40% - Accent2 2 2 2 9" xfId="20459" xr:uid="{00000000-0005-0000-0000-000075300000}"/>
    <cellStyle name="40% - Accent2 2 2 3" xfId="3148" xr:uid="{00000000-0005-0000-0000-000076300000}"/>
    <cellStyle name="40% - Accent2 2 2 3 2" xfId="3149" xr:uid="{00000000-0005-0000-0000-000077300000}"/>
    <cellStyle name="40% - Accent2 2 2 3 2 2" xfId="3150" xr:uid="{00000000-0005-0000-0000-000078300000}"/>
    <cellStyle name="40% - Accent2 2 2 3 2 2 2" xfId="16821" xr:uid="{00000000-0005-0000-0000-000079300000}"/>
    <cellStyle name="40% - Accent2 2 2 3 2 2 2 2" xfId="30228" xr:uid="{00000000-0005-0000-0000-00007A300000}"/>
    <cellStyle name="40% - Accent2 2 2 3 2 2 3" xfId="20475" xr:uid="{00000000-0005-0000-0000-00007B300000}"/>
    <cellStyle name="40% - Accent2 2 2 3 2 3" xfId="10998" xr:uid="{00000000-0005-0000-0000-00007C300000}"/>
    <cellStyle name="40% - Accent2 2 2 3 2 3 2" xfId="24940" xr:uid="{00000000-0005-0000-0000-00007D300000}"/>
    <cellStyle name="40% - Accent2 2 2 3 2 4" xfId="20474" xr:uid="{00000000-0005-0000-0000-00007E300000}"/>
    <cellStyle name="40% - Accent2 2 2 3 3" xfId="3151" xr:uid="{00000000-0005-0000-0000-00007F300000}"/>
    <cellStyle name="40% - Accent2 2 2 3 3 2" xfId="12209" xr:uid="{00000000-0005-0000-0000-000080300000}"/>
    <cellStyle name="40% - Accent2 2 2 3 3 2 2" xfId="25921" xr:uid="{00000000-0005-0000-0000-000081300000}"/>
    <cellStyle name="40% - Accent2 2 2 3 3 3" xfId="20476" xr:uid="{00000000-0005-0000-0000-000082300000}"/>
    <cellStyle name="40% - Accent2 2 2 3 4" xfId="3152" xr:uid="{00000000-0005-0000-0000-000083300000}"/>
    <cellStyle name="40% - Accent2 2 2 3 4 2" xfId="13773" xr:uid="{00000000-0005-0000-0000-000084300000}"/>
    <cellStyle name="40% - Accent2 2 2 3 4 2 2" xfId="27322" xr:uid="{00000000-0005-0000-0000-000085300000}"/>
    <cellStyle name="40% - Accent2 2 2 3 4 3" xfId="20477" xr:uid="{00000000-0005-0000-0000-000086300000}"/>
    <cellStyle name="40% - Accent2 2 2 3 5" xfId="3153" xr:uid="{00000000-0005-0000-0000-000087300000}"/>
    <cellStyle name="40% - Accent2 2 2 3 5 2" xfId="14354" xr:uid="{00000000-0005-0000-0000-000088300000}"/>
    <cellStyle name="40% - Accent2 2 2 3 5 2 2" xfId="27903" xr:uid="{00000000-0005-0000-0000-000089300000}"/>
    <cellStyle name="40% - Accent2 2 2 3 5 3" xfId="20478" xr:uid="{00000000-0005-0000-0000-00008A300000}"/>
    <cellStyle name="40% - Accent2 2 2 3 6" xfId="3154" xr:uid="{00000000-0005-0000-0000-00008B300000}"/>
    <cellStyle name="40% - Accent2 2 2 3 6 2" xfId="16240" xr:uid="{00000000-0005-0000-0000-00008C300000}"/>
    <cellStyle name="40% - Accent2 2 2 3 6 2 2" xfId="29647" xr:uid="{00000000-0005-0000-0000-00008D300000}"/>
    <cellStyle name="40% - Accent2 2 2 3 6 3" xfId="20479" xr:uid="{00000000-0005-0000-0000-00008E300000}"/>
    <cellStyle name="40% - Accent2 2 2 3 7" xfId="9271" xr:uid="{00000000-0005-0000-0000-00008F300000}"/>
    <cellStyle name="40% - Accent2 2 2 3 7 2" xfId="23746" xr:uid="{00000000-0005-0000-0000-000090300000}"/>
    <cellStyle name="40% - Accent2 2 2 3 8" xfId="20473" xr:uid="{00000000-0005-0000-0000-000091300000}"/>
    <cellStyle name="40% - Accent2 2 2 4" xfId="3155" xr:uid="{00000000-0005-0000-0000-000092300000}"/>
    <cellStyle name="40% - Accent2 2 2 4 2" xfId="3156" xr:uid="{00000000-0005-0000-0000-000093300000}"/>
    <cellStyle name="40% - Accent2 2 2 4 2 2" xfId="17168" xr:uid="{00000000-0005-0000-0000-000094300000}"/>
    <cellStyle name="40% - Accent2 2 2 4 2 2 2" xfId="30527" xr:uid="{00000000-0005-0000-0000-000095300000}"/>
    <cellStyle name="40% - Accent2 2 2 4 2 3" xfId="20481" xr:uid="{00000000-0005-0000-0000-000096300000}"/>
    <cellStyle name="40% - Accent2 2 2 4 3" xfId="10995" xr:uid="{00000000-0005-0000-0000-000097300000}"/>
    <cellStyle name="40% - Accent2 2 2 4 3 2" xfId="24937" xr:uid="{00000000-0005-0000-0000-000098300000}"/>
    <cellStyle name="40% - Accent2 2 2 4 4" xfId="20480" xr:uid="{00000000-0005-0000-0000-000099300000}"/>
    <cellStyle name="40% - Accent2 2 2 5" xfId="3157" xr:uid="{00000000-0005-0000-0000-00009A300000}"/>
    <cellStyle name="40% - Accent2 2 2 5 2" xfId="3158" xr:uid="{00000000-0005-0000-0000-00009B300000}"/>
    <cellStyle name="40% - Accent2 2 2 5 2 2" xfId="17257" xr:uid="{00000000-0005-0000-0000-00009C300000}"/>
    <cellStyle name="40% - Accent2 2 2 5 2 2 2" xfId="30616" xr:uid="{00000000-0005-0000-0000-00009D300000}"/>
    <cellStyle name="40% - Accent2 2 2 5 2 3" xfId="20483" xr:uid="{00000000-0005-0000-0000-00009E300000}"/>
    <cellStyle name="40% - Accent2 2 2 5 3" xfId="11907" xr:uid="{00000000-0005-0000-0000-00009F300000}"/>
    <cellStyle name="40% - Accent2 2 2 5 3 2" xfId="25622" xr:uid="{00000000-0005-0000-0000-0000A0300000}"/>
    <cellStyle name="40% - Accent2 2 2 5 4" xfId="20482" xr:uid="{00000000-0005-0000-0000-0000A1300000}"/>
    <cellStyle name="40% - Accent2 2 2 6" xfId="3159" xr:uid="{00000000-0005-0000-0000-0000A2300000}"/>
    <cellStyle name="40% - Accent2 2 2 6 2" xfId="3160" xr:uid="{00000000-0005-0000-0000-0000A3300000}"/>
    <cellStyle name="40% - Accent2 2 2 6 2 2" xfId="16532" xr:uid="{00000000-0005-0000-0000-0000A4300000}"/>
    <cellStyle name="40% - Accent2 2 2 6 2 2 2" xfId="29939" xr:uid="{00000000-0005-0000-0000-0000A5300000}"/>
    <cellStyle name="40% - Accent2 2 2 6 2 3" xfId="20485" xr:uid="{00000000-0005-0000-0000-0000A6300000}"/>
    <cellStyle name="40% - Accent2 2 2 6 3" xfId="13484" xr:uid="{00000000-0005-0000-0000-0000A7300000}"/>
    <cellStyle name="40% - Accent2 2 2 6 3 2" xfId="27033" xr:uid="{00000000-0005-0000-0000-0000A8300000}"/>
    <cellStyle name="40% - Accent2 2 2 6 4" xfId="20484" xr:uid="{00000000-0005-0000-0000-0000A9300000}"/>
    <cellStyle name="40% - Accent2 2 2 7" xfId="3161" xr:uid="{00000000-0005-0000-0000-0000AA300000}"/>
    <cellStyle name="40% - Accent2 2 2 7 2" xfId="14065" xr:uid="{00000000-0005-0000-0000-0000AB300000}"/>
    <cellStyle name="40% - Accent2 2 2 7 2 2" xfId="27614" xr:uid="{00000000-0005-0000-0000-0000AC300000}"/>
    <cellStyle name="40% - Accent2 2 2 7 3" xfId="20486" xr:uid="{00000000-0005-0000-0000-0000AD300000}"/>
    <cellStyle name="40% - Accent2 2 2 8" xfId="3162" xr:uid="{00000000-0005-0000-0000-0000AE300000}"/>
    <cellStyle name="40% - Accent2 2 2 8 2" xfId="15951" xr:uid="{00000000-0005-0000-0000-0000AF300000}"/>
    <cellStyle name="40% - Accent2 2 2 8 2 2" xfId="29358" xr:uid="{00000000-0005-0000-0000-0000B0300000}"/>
    <cellStyle name="40% - Accent2 2 2 8 3" xfId="20487" xr:uid="{00000000-0005-0000-0000-0000B1300000}"/>
    <cellStyle name="40% - Accent2 2 2 9" xfId="9268" xr:uid="{00000000-0005-0000-0000-0000B2300000}"/>
    <cellStyle name="40% - Accent2 2 2 9 2" xfId="23743" xr:uid="{00000000-0005-0000-0000-0000B3300000}"/>
    <cellStyle name="40% - Accent2 2 3" xfId="3163" xr:uid="{00000000-0005-0000-0000-0000B4300000}"/>
    <cellStyle name="40% - Accent2 2 3 2" xfId="3164" xr:uid="{00000000-0005-0000-0000-0000B5300000}"/>
    <cellStyle name="40% - Accent2 2 3 2 2" xfId="3165" xr:uid="{00000000-0005-0000-0000-0000B6300000}"/>
    <cellStyle name="40% - Accent2 2 3 2 2 2" xfId="3166" xr:uid="{00000000-0005-0000-0000-0000B7300000}"/>
    <cellStyle name="40% - Accent2 2 3 2 2 2 2" xfId="16918" xr:uid="{00000000-0005-0000-0000-0000B8300000}"/>
    <cellStyle name="40% - Accent2 2 3 2 2 2 2 2" xfId="30325" xr:uid="{00000000-0005-0000-0000-0000B9300000}"/>
    <cellStyle name="40% - Accent2 2 3 2 2 2 3" xfId="20491" xr:uid="{00000000-0005-0000-0000-0000BA300000}"/>
    <cellStyle name="40% - Accent2 2 3 2 2 3" xfId="11000" xr:uid="{00000000-0005-0000-0000-0000BB300000}"/>
    <cellStyle name="40% - Accent2 2 3 2 2 3 2" xfId="24942" xr:uid="{00000000-0005-0000-0000-0000BC300000}"/>
    <cellStyle name="40% - Accent2 2 3 2 2 4" xfId="20490" xr:uid="{00000000-0005-0000-0000-0000BD300000}"/>
    <cellStyle name="40% - Accent2 2 3 2 3" xfId="3167" xr:uid="{00000000-0005-0000-0000-0000BE300000}"/>
    <cellStyle name="40% - Accent2 2 3 2 3 2" xfId="12306" xr:uid="{00000000-0005-0000-0000-0000BF300000}"/>
    <cellStyle name="40% - Accent2 2 3 2 3 2 2" xfId="26018" xr:uid="{00000000-0005-0000-0000-0000C0300000}"/>
    <cellStyle name="40% - Accent2 2 3 2 3 3" xfId="20492" xr:uid="{00000000-0005-0000-0000-0000C1300000}"/>
    <cellStyle name="40% - Accent2 2 3 2 4" xfId="3168" xr:uid="{00000000-0005-0000-0000-0000C2300000}"/>
    <cellStyle name="40% - Accent2 2 3 2 4 2" xfId="13870" xr:uid="{00000000-0005-0000-0000-0000C3300000}"/>
    <cellStyle name="40% - Accent2 2 3 2 4 2 2" xfId="27419" xr:uid="{00000000-0005-0000-0000-0000C4300000}"/>
    <cellStyle name="40% - Accent2 2 3 2 4 3" xfId="20493" xr:uid="{00000000-0005-0000-0000-0000C5300000}"/>
    <cellStyle name="40% - Accent2 2 3 2 5" xfId="3169" xr:uid="{00000000-0005-0000-0000-0000C6300000}"/>
    <cellStyle name="40% - Accent2 2 3 2 5 2" xfId="14451" xr:uid="{00000000-0005-0000-0000-0000C7300000}"/>
    <cellStyle name="40% - Accent2 2 3 2 5 2 2" xfId="28000" xr:uid="{00000000-0005-0000-0000-0000C8300000}"/>
    <cellStyle name="40% - Accent2 2 3 2 5 3" xfId="20494" xr:uid="{00000000-0005-0000-0000-0000C9300000}"/>
    <cellStyle name="40% - Accent2 2 3 2 6" xfId="3170" xr:uid="{00000000-0005-0000-0000-0000CA300000}"/>
    <cellStyle name="40% - Accent2 2 3 2 6 2" xfId="16337" xr:uid="{00000000-0005-0000-0000-0000CB300000}"/>
    <cellStyle name="40% - Accent2 2 3 2 6 2 2" xfId="29744" xr:uid="{00000000-0005-0000-0000-0000CC300000}"/>
    <cellStyle name="40% - Accent2 2 3 2 6 3" xfId="20495" xr:uid="{00000000-0005-0000-0000-0000CD300000}"/>
    <cellStyle name="40% - Accent2 2 3 2 7" xfId="9273" xr:uid="{00000000-0005-0000-0000-0000CE300000}"/>
    <cellStyle name="40% - Accent2 2 3 2 7 2" xfId="23748" xr:uid="{00000000-0005-0000-0000-0000CF300000}"/>
    <cellStyle name="40% - Accent2 2 3 2 8" xfId="20489" xr:uid="{00000000-0005-0000-0000-0000D0300000}"/>
    <cellStyle name="40% - Accent2 2 3 3" xfId="3171" xr:uid="{00000000-0005-0000-0000-0000D1300000}"/>
    <cellStyle name="40% - Accent2 2 3 3 2" xfId="3172" xr:uid="{00000000-0005-0000-0000-0000D2300000}"/>
    <cellStyle name="40% - Accent2 2 3 3 2 2" xfId="16629" xr:uid="{00000000-0005-0000-0000-0000D3300000}"/>
    <cellStyle name="40% - Accent2 2 3 3 2 2 2" xfId="30036" xr:uid="{00000000-0005-0000-0000-0000D4300000}"/>
    <cellStyle name="40% - Accent2 2 3 3 2 3" xfId="20497" xr:uid="{00000000-0005-0000-0000-0000D5300000}"/>
    <cellStyle name="40% - Accent2 2 3 3 3" xfId="10999" xr:uid="{00000000-0005-0000-0000-0000D6300000}"/>
    <cellStyle name="40% - Accent2 2 3 3 3 2" xfId="24941" xr:uid="{00000000-0005-0000-0000-0000D7300000}"/>
    <cellStyle name="40% - Accent2 2 3 3 4" xfId="20496" xr:uid="{00000000-0005-0000-0000-0000D8300000}"/>
    <cellStyle name="40% - Accent2 2 3 4" xfId="3173" xr:uid="{00000000-0005-0000-0000-0000D9300000}"/>
    <cellStyle name="40% - Accent2 2 3 4 2" xfId="12006" xr:uid="{00000000-0005-0000-0000-0000DA300000}"/>
    <cellStyle name="40% - Accent2 2 3 4 2 2" xfId="25721" xr:uid="{00000000-0005-0000-0000-0000DB300000}"/>
    <cellStyle name="40% - Accent2 2 3 4 3" xfId="20498" xr:uid="{00000000-0005-0000-0000-0000DC300000}"/>
    <cellStyle name="40% - Accent2 2 3 5" xfId="3174" xr:uid="{00000000-0005-0000-0000-0000DD300000}"/>
    <cellStyle name="40% - Accent2 2 3 5 2" xfId="13581" xr:uid="{00000000-0005-0000-0000-0000DE300000}"/>
    <cellStyle name="40% - Accent2 2 3 5 2 2" xfId="27130" xr:uid="{00000000-0005-0000-0000-0000DF300000}"/>
    <cellStyle name="40% - Accent2 2 3 5 3" xfId="20499" xr:uid="{00000000-0005-0000-0000-0000E0300000}"/>
    <cellStyle name="40% - Accent2 2 3 6" xfId="3175" xr:uid="{00000000-0005-0000-0000-0000E1300000}"/>
    <cellStyle name="40% - Accent2 2 3 6 2" xfId="14162" xr:uid="{00000000-0005-0000-0000-0000E2300000}"/>
    <cellStyle name="40% - Accent2 2 3 6 2 2" xfId="27711" xr:uid="{00000000-0005-0000-0000-0000E3300000}"/>
    <cellStyle name="40% - Accent2 2 3 6 3" xfId="20500" xr:uid="{00000000-0005-0000-0000-0000E4300000}"/>
    <cellStyle name="40% - Accent2 2 3 7" xfId="3176" xr:uid="{00000000-0005-0000-0000-0000E5300000}"/>
    <cellStyle name="40% - Accent2 2 3 7 2" xfId="16048" xr:uid="{00000000-0005-0000-0000-0000E6300000}"/>
    <cellStyle name="40% - Accent2 2 3 7 2 2" xfId="29455" xr:uid="{00000000-0005-0000-0000-0000E7300000}"/>
    <cellStyle name="40% - Accent2 2 3 7 3" xfId="20501" xr:uid="{00000000-0005-0000-0000-0000E8300000}"/>
    <cellStyle name="40% - Accent2 2 3 8" xfId="9272" xr:uid="{00000000-0005-0000-0000-0000E9300000}"/>
    <cellStyle name="40% - Accent2 2 3 8 2" xfId="23747" xr:uid="{00000000-0005-0000-0000-0000EA300000}"/>
    <cellStyle name="40% - Accent2 2 3 9" xfId="20488" xr:uid="{00000000-0005-0000-0000-0000EB300000}"/>
    <cellStyle name="40% - Accent2 2 4" xfId="3177" xr:uid="{00000000-0005-0000-0000-0000EC300000}"/>
    <cellStyle name="40% - Accent2 2 4 2" xfId="3178" xr:uid="{00000000-0005-0000-0000-0000ED300000}"/>
    <cellStyle name="40% - Accent2 2 4 2 2" xfId="3179" xr:uid="{00000000-0005-0000-0000-0000EE300000}"/>
    <cellStyle name="40% - Accent2 2 4 2 2 2" xfId="16775" xr:uid="{00000000-0005-0000-0000-0000EF300000}"/>
    <cellStyle name="40% - Accent2 2 4 2 2 2 2" xfId="30182" xr:uid="{00000000-0005-0000-0000-0000F0300000}"/>
    <cellStyle name="40% - Accent2 2 4 2 2 3" xfId="20504" xr:uid="{00000000-0005-0000-0000-0000F1300000}"/>
    <cellStyle name="40% - Accent2 2 4 2 3" xfId="11001" xr:uid="{00000000-0005-0000-0000-0000F2300000}"/>
    <cellStyle name="40% - Accent2 2 4 2 3 2" xfId="24943" xr:uid="{00000000-0005-0000-0000-0000F3300000}"/>
    <cellStyle name="40% - Accent2 2 4 2 4" xfId="20503" xr:uid="{00000000-0005-0000-0000-0000F4300000}"/>
    <cellStyle name="40% - Accent2 2 4 3" xfId="3180" xr:uid="{00000000-0005-0000-0000-0000F5300000}"/>
    <cellStyle name="40% - Accent2 2 4 3 2" xfId="12163" xr:uid="{00000000-0005-0000-0000-0000F6300000}"/>
    <cellStyle name="40% - Accent2 2 4 3 2 2" xfId="25875" xr:uid="{00000000-0005-0000-0000-0000F7300000}"/>
    <cellStyle name="40% - Accent2 2 4 3 3" xfId="20505" xr:uid="{00000000-0005-0000-0000-0000F8300000}"/>
    <cellStyle name="40% - Accent2 2 4 4" xfId="3181" xr:uid="{00000000-0005-0000-0000-0000F9300000}"/>
    <cellStyle name="40% - Accent2 2 4 4 2" xfId="13727" xr:uid="{00000000-0005-0000-0000-0000FA300000}"/>
    <cellStyle name="40% - Accent2 2 4 4 2 2" xfId="27276" xr:uid="{00000000-0005-0000-0000-0000FB300000}"/>
    <cellStyle name="40% - Accent2 2 4 4 3" xfId="20506" xr:uid="{00000000-0005-0000-0000-0000FC300000}"/>
    <cellStyle name="40% - Accent2 2 4 5" xfId="3182" xr:uid="{00000000-0005-0000-0000-0000FD300000}"/>
    <cellStyle name="40% - Accent2 2 4 5 2" xfId="14308" xr:uid="{00000000-0005-0000-0000-0000FE300000}"/>
    <cellStyle name="40% - Accent2 2 4 5 2 2" xfId="27857" xr:uid="{00000000-0005-0000-0000-0000FF300000}"/>
    <cellStyle name="40% - Accent2 2 4 5 3" xfId="20507" xr:uid="{00000000-0005-0000-0000-000000310000}"/>
    <cellStyle name="40% - Accent2 2 4 6" xfId="3183" xr:uid="{00000000-0005-0000-0000-000001310000}"/>
    <cellStyle name="40% - Accent2 2 4 6 2" xfId="16194" xr:uid="{00000000-0005-0000-0000-000002310000}"/>
    <cellStyle name="40% - Accent2 2 4 6 2 2" xfId="29601" xr:uid="{00000000-0005-0000-0000-000003310000}"/>
    <cellStyle name="40% - Accent2 2 4 6 3" xfId="20508" xr:uid="{00000000-0005-0000-0000-000004310000}"/>
    <cellStyle name="40% - Accent2 2 4 7" xfId="9274" xr:uid="{00000000-0005-0000-0000-000005310000}"/>
    <cellStyle name="40% - Accent2 2 4 7 2" xfId="23749" xr:uid="{00000000-0005-0000-0000-000006310000}"/>
    <cellStyle name="40% - Accent2 2 4 8" xfId="20502" xr:uid="{00000000-0005-0000-0000-000007310000}"/>
    <cellStyle name="40% - Accent2 2 5" xfId="3184" xr:uid="{00000000-0005-0000-0000-000008310000}"/>
    <cellStyle name="40% - Accent2 2 5 2" xfId="3185" xr:uid="{00000000-0005-0000-0000-000009310000}"/>
    <cellStyle name="40% - Accent2 2 5 2 2" xfId="12622" xr:uid="{00000000-0005-0000-0000-00000A310000}"/>
    <cellStyle name="40% - Accent2 2 5 2 2 2" xfId="26334" xr:uid="{00000000-0005-0000-0000-00000B310000}"/>
    <cellStyle name="40% - Accent2 2 5 2 3" xfId="20510" xr:uid="{00000000-0005-0000-0000-00000C310000}"/>
    <cellStyle name="40% - Accent2 2 5 3" xfId="3186" xr:uid="{00000000-0005-0000-0000-00000D310000}"/>
    <cellStyle name="40% - Accent2 2 5 3 2" xfId="15165" xr:uid="{00000000-0005-0000-0000-00000E310000}"/>
    <cellStyle name="40% - Accent2 2 5 3 2 2" xfId="28714" xr:uid="{00000000-0005-0000-0000-00000F310000}"/>
    <cellStyle name="40% - Accent2 2 5 3 3" xfId="20511" xr:uid="{00000000-0005-0000-0000-000010310000}"/>
    <cellStyle name="40% - Accent2 2 5 4" xfId="3187" xr:uid="{00000000-0005-0000-0000-000011310000}"/>
    <cellStyle name="40% - Accent2 2 5 4 2" xfId="17014" xr:uid="{00000000-0005-0000-0000-000012310000}"/>
    <cellStyle name="40% - Accent2 2 5 4 2 2" xfId="30421" xr:uid="{00000000-0005-0000-0000-000013310000}"/>
    <cellStyle name="40% - Accent2 2 5 4 3" xfId="20512" xr:uid="{00000000-0005-0000-0000-000014310000}"/>
    <cellStyle name="40% - Accent2 2 5 5" xfId="10535" xr:uid="{00000000-0005-0000-0000-000015310000}"/>
    <cellStyle name="40% - Accent2 2 5 5 2" xfId="24477" xr:uid="{00000000-0005-0000-0000-000016310000}"/>
    <cellStyle name="40% - Accent2 2 5 6" xfId="20509" xr:uid="{00000000-0005-0000-0000-000017310000}"/>
    <cellStyle name="40% - Accent2 2 6" xfId="3188" xr:uid="{00000000-0005-0000-0000-000018310000}"/>
    <cellStyle name="40% - Accent2 2 6 2" xfId="3189" xr:uid="{00000000-0005-0000-0000-000019310000}"/>
    <cellStyle name="40% - Accent2 2 6 2 2" xfId="12739" xr:uid="{00000000-0005-0000-0000-00001A310000}"/>
    <cellStyle name="40% - Accent2 2 6 2 2 2" xfId="26451" xr:uid="{00000000-0005-0000-0000-00001B310000}"/>
    <cellStyle name="40% - Accent2 2 6 2 3" xfId="20514" xr:uid="{00000000-0005-0000-0000-00001C310000}"/>
    <cellStyle name="40% - Accent2 2 6 3" xfId="3190" xr:uid="{00000000-0005-0000-0000-00001D310000}"/>
    <cellStyle name="40% - Accent2 2 6 3 2" xfId="15166" xr:uid="{00000000-0005-0000-0000-00001E310000}"/>
    <cellStyle name="40% - Accent2 2 6 3 2 2" xfId="28715" xr:uid="{00000000-0005-0000-0000-00001F310000}"/>
    <cellStyle name="40% - Accent2 2 6 3 3" xfId="20515" xr:uid="{00000000-0005-0000-0000-000020310000}"/>
    <cellStyle name="40% - Accent2 2 6 4" xfId="3191" xr:uid="{00000000-0005-0000-0000-000021310000}"/>
    <cellStyle name="40% - Accent2 2 6 4 2" xfId="17122" xr:uid="{00000000-0005-0000-0000-000022310000}"/>
    <cellStyle name="40% - Accent2 2 6 4 2 2" xfId="30481" xr:uid="{00000000-0005-0000-0000-000023310000}"/>
    <cellStyle name="40% - Accent2 2 6 4 3" xfId="20516" xr:uid="{00000000-0005-0000-0000-000024310000}"/>
    <cellStyle name="40% - Accent2 2 6 5" xfId="10994" xr:uid="{00000000-0005-0000-0000-000025310000}"/>
    <cellStyle name="40% - Accent2 2 6 5 2" xfId="24936" xr:uid="{00000000-0005-0000-0000-000026310000}"/>
    <cellStyle name="40% - Accent2 2 6 6" xfId="20513" xr:uid="{00000000-0005-0000-0000-000027310000}"/>
    <cellStyle name="40% - Accent2 2 7" xfId="3192" xr:uid="{00000000-0005-0000-0000-000028310000}"/>
    <cellStyle name="40% - Accent2 2 7 2" xfId="3193" xr:uid="{00000000-0005-0000-0000-000029310000}"/>
    <cellStyle name="40% - Accent2 2 7 2 2" xfId="17211" xr:uid="{00000000-0005-0000-0000-00002A310000}"/>
    <cellStyle name="40% - Accent2 2 7 2 2 2" xfId="30570" xr:uid="{00000000-0005-0000-0000-00002B310000}"/>
    <cellStyle name="40% - Accent2 2 7 2 3" xfId="20518" xr:uid="{00000000-0005-0000-0000-00002C310000}"/>
    <cellStyle name="40% - Accent2 2 7 3" xfId="11839" xr:uid="{00000000-0005-0000-0000-00002D310000}"/>
    <cellStyle name="40% - Accent2 2 7 3 2" xfId="25554" xr:uid="{00000000-0005-0000-0000-00002E310000}"/>
    <cellStyle name="40% - Accent2 2 7 4" xfId="20517" xr:uid="{00000000-0005-0000-0000-00002F310000}"/>
    <cellStyle name="40% - Accent2 2 8" xfId="3194" xr:uid="{00000000-0005-0000-0000-000030310000}"/>
    <cellStyle name="40% - Accent2 2 8 2" xfId="3195" xr:uid="{00000000-0005-0000-0000-000031310000}"/>
    <cellStyle name="40% - Accent2 2 8 2 2" xfId="16486" xr:uid="{00000000-0005-0000-0000-000032310000}"/>
    <cellStyle name="40% - Accent2 2 8 2 2 2" xfId="29893" xr:uid="{00000000-0005-0000-0000-000033310000}"/>
    <cellStyle name="40% - Accent2 2 8 2 3" xfId="20520" xr:uid="{00000000-0005-0000-0000-000034310000}"/>
    <cellStyle name="40% - Accent2 2 8 3" xfId="13438" xr:uid="{00000000-0005-0000-0000-000035310000}"/>
    <cellStyle name="40% - Accent2 2 8 3 2" xfId="26987" xr:uid="{00000000-0005-0000-0000-000036310000}"/>
    <cellStyle name="40% - Accent2 2 8 4" xfId="20519" xr:uid="{00000000-0005-0000-0000-000037310000}"/>
    <cellStyle name="40% - Accent2 2 9" xfId="3196" xr:uid="{00000000-0005-0000-0000-000038310000}"/>
    <cellStyle name="40% - Accent2 2 9 2" xfId="14019" xr:uid="{00000000-0005-0000-0000-000039310000}"/>
    <cellStyle name="40% - Accent2 2 9 2 2" xfId="27568" xr:uid="{00000000-0005-0000-0000-00003A310000}"/>
    <cellStyle name="40% - Accent2 2 9 3" xfId="20521" xr:uid="{00000000-0005-0000-0000-00003B310000}"/>
    <cellStyle name="40% - Accent2 3" xfId="3197" xr:uid="{00000000-0005-0000-0000-00003C310000}"/>
    <cellStyle name="40% - Accent2 3 10" xfId="20522" xr:uid="{00000000-0005-0000-0000-00003D310000}"/>
    <cellStyle name="40% - Accent2 3 2" xfId="3198" xr:uid="{00000000-0005-0000-0000-00003E310000}"/>
    <cellStyle name="40% - Accent2 3 2 2" xfId="3199" xr:uid="{00000000-0005-0000-0000-00003F310000}"/>
    <cellStyle name="40% - Accent2 3 2 2 2" xfId="3200" xr:uid="{00000000-0005-0000-0000-000040310000}"/>
    <cellStyle name="40% - Accent2 3 2 2 2 2" xfId="3201" xr:uid="{00000000-0005-0000-0000-000041310000}"/>
    <cellStyle name="40% - Accent2 3 2 2 2 2 2" xfId="16941" xr:uid="{00000000-0005-0000-0000-000042310000}"/>
    <cellStyle name="40% - Accent2 3 2 2 2 2 2 2" xfId="30348" xr:uid="{00000000-0005-0000-0000-000043310000}"/>
    <cellStyle name="40% - Accent2 3 2 2 2 2 3" xfId="20526" xr:uid="{00000000-0005-0000-0000-000044310000}"/>
    <cellStyle name="40% - Accent2 3 2 2 2 3" xfId="11004" xr:uid="{00000000-0005-0000-0000-000045310000}"/>
    <cellStyle name="40% - Accent2 3 2 2 2 3 2" xfId="24946" xr:uid="{00000000-0005-0000-0000-000046310000}"/>
    <cellStyle name="40% - Accent2 3 2 2 2 4" xfId="20525" xr:uid="{00000000-0005-0000-0000-000047310000}"/>
    <cellStyle name="40% - Accent2 3 2 2 3" xfId="3202" xr:uid="{00000000-0005-0000-0000-000048310000}"/>
    <cellStyle name="40% - Accent2 3 2 2 3 2" xfId="12329" xr:uid="{00000000-0005-0000-0000-000049310000}"/>
    <cellStyle name="40% - Accent2 3 2 2 3 2 2" xfId="26041" xr:uid="{00000000-0005-0000-0000-00004A310000}"/>
    <cellStyle name="40% - Accent2 3 2 2 3 3" xfId="20527" xr:uid="{00000000-0005-0000-0000-00004B310000}"/>
    <cellStyle name="40% - Accent2 3 2 2 4" xfId="3203" xr:uid="{00000000-0005-0000-0000-00004C310000}"/>
    <cellStyle name="40% - Accent2 3 2 2 4 2" xfId="13893" xr:uid="{00000000-0005-0000-0000-00004D310000}"/>
    <cellStyle name="40% - Accent2 3 2 2 4 2 2" xfId="27442" xr:uid="{00000000-0005-0000-0000-00004E310000}"/>
    <cellStyle name="40% - Accent2 3 2 2 4 3" xfId="20528" xr:uid="{00000000-0005-0000-0000-00004F310000}"/>
    <cellStyle name="40% - Accent2 3 2 2 5" xfId="3204" xr:uid="{00000000-0005-0000-0000-000050310000}"/>
    <cellStyle name="40% - Accent2 3 2 2 5 2" xfId="14474" xr:uid="{00000000-0005-0000-0000-000051310000}"/>
    <cellStyle name="40% - Accent2 3 2 2 5 2 2" xfId="28023" xr:uid="{00000000-0005-0000-0000-000052310000}"/>
    <cellStyle name="40% - Accent2 3 2 2 5 3" xfId="20529" xr:uid="{00000000-0005-0000-0000-000053310000}"/>
    <cellStyle name="40% - Accent2 3 2 2 6" xfId="3205" xr:uid="{00000000-0005-0000-0000-000054310000}"/>
    <cellStyle name="40% - Accent2 3 2 2 6 2" xfId="16360" xr:uid="{00000000-0005-0000-0000-000055310000}"/>
    <cellStyle name="40% - Accent2 3 2 2 6 2 2" xfId="29767" xr:uid="{00000000-0005-0000-0000-000056310000}"/>
    <cellStyle name="40% - Accent2 3 2 2 6 3" xfId="20530" xr:uid="{00000000-0005-0000-0000-000057310000}"/>
    <cellStyle name="40% - Accent2 3 2 2 7" xfId="9277" xr:uid="{00000000-0005-0000-0000-000058310000}"/>
    <cellStyle name="40% - Accent2 3 2 2 7 2" xfId="23752" xr:uid="{00000000-0005-0000-0000-000059310000}"/>
    <cellStyle name="40% - Accent2 3 2 2 8" xfId="20524" xr:uid="{00000000-0005-0000-0000-00005A310000}"/>
    <cellStyle name="40% - Accent2 3 2 3" xfId="3206" xr:uid="{00000000-0005-0000-0000-00005B310000}"/>
    <cellStyle name="40% - Accent2 3 2 3 2" xfId="3207" xr:uid="{00000000-0005-0000-0000-00005C310000}"/>
    <cellStyle name="40% - Accent2 3 2 3 2 2" xfId="16652" xr:uid="{00000000-0005-0000-0000-00005D310000}"/>
    <cellStyle name="40% - Accent2 3 2 3 2 2 2" xfId="30059" xr:uid="{00000000-0005-0000-0000-00005E310000}"/>
    <cellStyle name="40% - Accent2 3 2 3 2 3" xfId="20532" xr:uid="{00000000-0005-0000-0000-00005F310000}"/>
    <cellStyle name="40% - Accent2 3 2 3 3" xfId="11003" xr:uid="{00000000-0005-0000-0000-000060310000}"/>
    <cellStyle name="40% - Accent2 3 2 3 3 2" xfId="24945" xr:uid="{00000000-0005-0000-0000-000061310000}"/>
    <cellStyle name="40% - Accent2 3 2 3 4" xfId="20531" xr:uid="{00000000-0005-0000-0000-000062310000}"/>
    <cellStyle name="40% - Accent2 3 2 4" xfId="3208" xr:uid="{00000000-0005-0000-0000-000063310000}"/>
    <cellStyle name="40% - Accent2 3 2 4 2" xfId="12029" xr:uid="{00000000-0005-0000-0000-000064310000}"/>
    <cellStyle name="40% - Accent2 3 2 4 2 2" xfId="25744" xr:uid="{00000000-0005-0000-0000-000065310000}"/>
    <cellStyle name="40% - Accent2 3 2 4 3" xfId="20533" xr:uid="{00000000-0005-0000-0000-000066310000}"/>
    <cellStyle name="40% - Accent2 3 2 5" xfId="3209" xr:uid="{00000000-0005-0000-0000-000067310000}"/>
    <cellStyle name="40% - Accent2 3 2 5 2" xfId="13604" xr:uid="{00000000-0005-0000-0000-000068310000}"/>
    <cellStyle name="40% - Accent2 3 2 5 2 2" xfId="27153" xr:uid="{00000000-0005-0000-0000-000069310000}"/>
    <cellStyle name="40% - Accent2 3 2 5 3" xfId="20534" xr:uid="{00000000-0005-0000-0000-00006A310000}"/>
    <cellStyle name="40% - Accent2 3 2 6" xfId="3210" xr:uid="{00000000-0005-0000-0000-00006B310000}"/>
    <cellStyle name="40% - Accent2 3 2 6 2" xfId="14185" xr:uid="{00000000-0005-0000-0000-00006C310000}"/>
    <cellStyle name="40% - Accent2 3 2 6 2 2" xfId="27734" xr:uid="{00000000-0005-0000-0000-00006D310000}"/>
    <cellStyle name="40% - Accent2 3 2 6 3" xfId="20535" xr:uid="{00000000-0005-0000-0000-00006E310000}"/>
    <cellStyle name="40% - Accent2 3 2 7" xfId="3211" xr:uid="{00000000-0005-0000-0000-00006F310000}"/>
    <cellStyle name="40% - Accent2 3 2 7 2" xfId="16071" xr:uid="{00000000-0005-0000-0000-000070310000}"/>
    <cellStyle name="40% - Accent2 3 2 7 2 2" xfId="29478" xr:uid="{00000000-0005-0000-0000-000071310000}"/>
    <cellStyle name="40% - Accent2 3 2 7 3" xfId="20536" xr:uid="{00000000-0005-0000-0000-000072310000}"/>
    <cellStyle name="40% - Accent2 3 2 8" xfId="9276" xr:uid="{00000000-0005-0000-0000-000073310000}"/>
    <cellStyle name="40% - Accent2 3 2 8 2" xfId="23751" xr:uid="{00000000-0005-0000-0000-000074310000}"/>
    <cellStyle name="40% - Accent2 3 2 9" xfId="20523" xr:uid="{00000000-0005-0000-0000-000075310000}"/>
    <cellStyle name="40% - Accent2 3 3" xfId="3212" xr:uid="{00000000-0005-0000-0000-000076310000}"/>
    <cellStyle name="40% - Accent2 3 3 2" xfId="3213" xr:uid="{00000000-0005-0000-0000-000077310000}"/>
    <cellStyle name="40% - Accent2 3 3 2 2" xfId="3214" xr:uid="{00000000-0005-0000-0000-000078310000}"/>
    <cellStyle name="40% - Accent2 3 3 2 2 2" xfId="16798" xr:uid="{00000000-0005-0000-0000-000079310000}"/>
    <cellStyle name="40% - Accent2 3 3 2 2 2 2" xfId="30205" xr:uid="{00000000-0005-0000-0000-00007A310000}"/>
    <cellStyle name="40% - Accent2 3 3 2 2 3" xfId="20539" xr:uid="{00000000-0005-0000-0000-00007B310000}"/>
    <cellStyle name="40% - Accent2 3 3 2 3" xfId="11005" xr:uid="{00000000-0005-0000-0000-00007C310000}"/>
    <cellStyle name="40% - Accent2 3 3 2 3 2" xfId="24947" xr:uid="{00000000-0005-0000-0000-00007D310000}"/>
    <cellStyle name="40% - Accent2 3 3 2 4" xfId="20538" xr:uid="{00000000-0005-0000-0000-00007E310000}"/>
    <cellStyle name="40% - Accent2 3 3 3" xfId="3215" xr:uid="{00000000-0005-0000-0000-00007F310000}"/>
    <cellStyle name="40% - Accent2 3 3 3 2" xfId="12186" xr:uid="{00000000-0005-0000-0000-000080310000}"/>
    <cellStyle name="40% - Accent2 3 3 3 2 2" xfId="25898" xr:uid="{00000000-0005-0000-0000-000081310000}"/>
    <cellStyle name="40% - Accent2 3 3 3 3" xfId="20540" xr:uid="{00000000-0005-0000-0000-000082310000}"/>
    <cellStyle name="40% - Accent2 3 3 4" xfId="3216" xr:uid="{00000000-0005-0000-0000-000083310000}"/>
    <cellStyle name="40% - Accent2 3 3 4 2" xfId="13750" xr:uid="{00000000-0005-0000-0000-000084310000}"/>
    <cellStyle name="40% - Accent2 3 3 4 2 2" xfId="27299" xr:uid="{00000000-0005-0000-0000-000085310000}"/>
    <cellStyle name="40% - Accent2 3 3 4 3" xfId="20541" xr:uid="{00000000-0005-0000-0000-000086310000}"/>
    <cellStyle name="40% - Accent2 3 3 5" xfId="3217" xr:uid="{00000000-0005-0000-0000-000087310000}"/>
    <cellStyle name="40% - Accent2 3 3 5 2" xfId="14331" xr:uid="{00000000-0005-0000-0000-000088310000}"/>
    <cellStyle name="40% - Accent2 3 3 5 2 2" xfId="27880" xr:uid="{00000000-0005-0000-0000-000089310000}"/>
    <cellStyle name="40% - Accent2 3 3 5 3" xfId="20542" xr:uid="{00000000-0005-0000-0000-00008A310000}"/>
    <cellStyle name="40% - Accent2 3 3 6" xfId="3218" xr:uid="{00000000-0005-0000-0000-00008B310000}"/>
    <cellStyle name="40% - Accent2 3 3 6 2" xfId="16217" xr:uid="{00000000-0005-0000-0000-00008C310000}"/>
    <cellStyle name="40% - Accent2 3 3 6 2 2" xfId="29624" xr:uid="{00000000-0005-0000-0000-00008D310000}"/>
    <cellStyle name="40% - Accent2 3 3 6 3" xfId="20543" xr:uid="{00000000-0005-0000-0000-00008E310000}"/>
    <cellStyle name="40% - Accent2 3 3 7" xfId="9278" xr:uid="{00000000-0005-0000-0000-00008F310000}"/>
    <cellStyle name="40% - Accent2 3 3 7 2" xfId="23753" xr:uid="{00000000-0005-0000-0000-000090310000}"/>
    <cellStyle name="40% - Accent2 3 3 8" xfId="20537" xr:uid="{00000000-0005-0000-0000-000091310000}"/>
    <cellStyle name="40% - Accent2 3 4" xfId="3219" xr:uid="{00000000-0005-0000-0000-000092310000}"/>
    <cellStyle name="40% - Accent2 3 4 2" xfId="3220" xr:uid="{00000000-0005-0000-0000-000093310000}"/>
    <cellStyle name="40% - Accent2 3 4 2 2" xfId="17145" xr:uid="{00000000-0005-0000-0000-000094310000}"/>
    <cellStyle name="40% - Accent2 3 4 2 2 2" xfId="30504" xr:uid="{00000000-0005-0000-0000-000095310000}"/>
    <cellStyle name="40% - Accent2 3 4 2 3" xfId="20545" xr:uid="{00000000-0005-0000-0000-000096310000}"/>
    <cellStyle name="40% - Accent2 3 4 3" xfId="11002" xr:uid="{00000000-0005-0000-0000-000097310000}"/>
    <cellStyle name="40% - Accent2 3 4 3 2" xfId="24944" xr:uid="{00000000-0005-0000-0000-000098310000}"/>
    <cellStyle name="40% - Accent2 3 4 4" xfId="20544" xr:uid="{00000000-0005-0000-0000-000099310000}"/>
    <cellStyle name="40% - Accent2 3 5" xfId="3221" xr:uid="{00000000-0005-0000-0000-00009A310000}"/>
    <cellStyle name="40% - Accent2 3 5 2" xfId="3222" xr:uid="{00000000-0005-0000-0000-00009B310000}"/>
    <cellStyle name="40% - Accent2 3 5 2 2" xfId="17234" xr:uid="{00000000-0005-0000-0000-00009C310000}"/>
    <cellStyle name="40% - Accent2 3 5 2 2 2" xfId="30593" xr:uid="{00000000-0005-0000-0000-00009D310000}"/>
    <cellStyle name="40% - Accent2 3 5 2 3" xfId="20547" xr:uid="{00000000-0005-0000-0000-00009E310000}"/>
    <cellStyle name="40% - Accent2 3 5 3" xfId="11881" xr:uid="{00000000-0005-0000-0000-00009F310000}"/>
    <cellStyle name="40% - Accent2 3 5 3 2" xfId="25596" xr:uid="{00000000-0005-0000-0000-0000A0310000}"/>
    <cellStyle name="40% - Accent2 3 5 4" xfId="20546" xr:uid="{00000000-0005-0000-0000-0000A1310000}"/>
    <cellStyle name="40% - Accent2 3 6" xfId="3223" xr:uid="{00000000-0005-0000-0000-0000A2310000}"/>
    <cellStyle name="40% - Accent2 3 6 2" xfId="3224" xr:uid="{00000000-0005-0000-0000-0000A3310000}"/>
    <cellStyle name="40% - Accent2 3 6 2 2" xfId="16509" xr:uid="{00000000-0005-0000-0000-0000A4310000}"/>
    <cellStyle name="40% - Accent2 3 6 2 2 2" xfId="29916" xr:uid="{00000000-0005-0000-0000-0000A5310000}"/>
    <cellStyle name="40% - Accent2 3 6 2 3" xfId="20549" xr:uid="{00000000-0005-0000-0000-0000A6310000}"/>
    <cellStyle name="40% - Accent2 3 6 3" xfId="13461" xr:uid="{00000000-0005-0000-0000-0000A7310000}"/>
    <cellStyle name="40% - Accent2 3 6 3 2" xfId="27010" xr:uid="{00000000-0005-0000-0000-0000A8310000}"/>
    <cellStyle name="40% - Accent2 3 6 4" xfId="20548" xr:uid="{00000000-0005-0000-0000-0000A9310000}"/>
    <cellStyle name="40% - Accent2 3 7" xfId="3225" xr:uid="{00000000-0005-0000-0000-0000AA310000}"/>
    <cellStyle name="40% - Accent2 3 7 2" xfId="14042" xr:uid="{00000000-0005-0000-0000-0000AB310000}"/>
    <cellStyle name="40% - Accent2 3 7 2 2" xfId="27591" xr:uid="{00000000-0005-0000-0000-0000AC310000}"/>
    <cellStyle name="40% - Accent2 3 7 3" xfId="20550" xr:uid="{00000000-0005-0000-0000-0000AD310000}"/>
    <cellStyle name="40% - Accent2 3 8" xfId="3226" xr:uid="{00000000-0005-0000-0000-0000AE310000}"/>
    <cellStyle name="40% - Accent2 3 8 2" xfId="15928" xr:uid="{00000000-0005-0000-0000-0000AF310000}"/>
    <cellStyle name="40% - Accent2 3 8 2 2" xfId="29335" xr:uid="{00000000-0005-0000-0000-0000B0310000}"/>
    <cellStyle name="40% - Accent2 3 8 3" xfId="20551" xr:uid="{00000000-0005-0000-0000-0000B1310000}"/>
    <cellStyle name="40% - Accent2 3 9" xfId="9275" xr:uid="{00000000-0005-0000-0000-0000B2310000}"/>
    <cellStyle name="40% - Accent2 3 9 2" xfId="23750" xr:uid="{00000000-0005-0000-0000-0000B3310000}"/>
    <cellStyle name="40% - Accent2 4" xfId="3227" xr:uid="{00000000-0005-0000-0000-0000B4310000}"/>
    <cellStyle name="40% - Accent2 4 10" xfId="20552" xr:uid="{00000000-0005-0000-0000-0000B5310000}"/>
    <cellStyle name="40% - Accent2 4 2" xfId="3228" xr:uid="{00000000-0005-0000-0000-0000B6310000}"/>
    <cellStyle name="40% - Accent2 4 2 2" xfId="3229" xr:uid="{00000000-0005-0000-0000-0000B7310000}"/>
    <cellStyle name="40% - Accent2 4 2 2 2" xfId="3230" xr:uid="{00000000-0005-0000-0000-0000B8310000}"/>
    <cellStyle name="40% - Accent2 4 2 2 2 2" xfId="3231" xr:uid="{00000000-0005-0000-0000-0000B9310000}"/>
    <cellStyle name="40% - Accent2 4 2 2 2 2 2" xfId="16899" xr:uid="{00000000-0005-0000-0000-0000BA310000}"/>
    <cellStyle name="40% - Accent2 4 2 2 2 2 2 2" xfId="30306" xr:uid="{00000000-0005-0000-0000-0000BB310000}"/>
    <cellStyle name="40% - Accent2 4 2 2 2 2 3" xfId="20556" xr:uid="{00000000-0005-0000-0000-0000BC310000}"/>
    <cellStyle name="40% - Accent2 4 2 2 2 3" xfId="11008" xr:uid="{00000000-0005-0000-0000-0000BD310000}"/>
    <cellStyle name="40% - Accent2 4 2 2 2 3 2" xfId="24950" xr:uid="{00000000-0005-0000-0000-0000BE310000}"/>
    <cellStyle name="40% - Accent2 4 2 2 2 4" xfId="20555" xr:uid="{00000000-0005-0000-0000-0000BF310000}"/>
    <cellStyle name="40% - Accent2 4 2 2 3" xfId="3232" xr:uid="{00000000-0005-0000-0000-0000C0310000}"/>
    <cellStyle name="40% - Accent2 4 2 2 3 2" xfId="12287" xr:uid="{00000000-0005-0000-0000-0000C1310000}"/>
    <cellStyle name="40% - Accent2 4 2 2 3 2 2" xfId="25999" xr:uid="{00000000-0005-0000-0000-0000C2310000}"/>
    <cellStyle name="40% - Accent2 4 2 2 3 3" xfId="20557" xr:uid="{00000000-0005-0000-0000-0000C3310000}"/>
    <cellStyle name="40% - Accent2 4 2 2 4" xfId="3233" xr:uid="{00000000-0005-0000-0000-0000C4310000}"/>
    <cellStyle name="40% - Accent2 4 2 2 4 2" xfId="13851" xr:uid="{00000000-0005-0000-0000-0000C5310000}"/>
    <cellStyle name="40% - Accent2 4 2 2 4 2 2" xfId="27400" xr:uid="{00000000-0005-0000-0000-0000C6310000}"/>
    <cellStyle name="40% - Accent2 4 2 2 4 3" xfId="20558" xr:uid="{00000000-0005-0000-0000-0000C7310000}"/>
    <cellStyle name="40% - Accent2 4 2 2 5" xfId="3234" xr:uid="{00000000-0005-0000-0000-0000C8310000}"/>
    <cellStyle name="40% - Accent2 4 2 2 5 2" xfId="14432" xr:uid="{00000000-0005-0000-0000-0000C9310000}"/>
    <cellStyle name="40% - Accent2 4 2 2 5 2 2" xfId="27981" xr:uid="{00000000-0005-0000-0000-0000CA310000}"/>
    <cellStyle name="40% - Accent2 4 2 2 5 3" xfId="20559" xr:uid="{00000000-0005-0000-0000-0000CB310000}"/>
    <cellStyle name="40% - Accent2 4 2 2 6" xfId="3235" xr:uid="{00000000-0005-0000-0000-0000CC310000}"/>
    <cellStyle name="40% - Accent2 4 2 2 6 2" xfId="16318" xr:uid="{00000000-0005-0000-0000-0000CD310000}"/>
    <cellStyle name="40% - Accent2 4 2 2 6 2 2" xfId="29725" xr:uid="{00000000-0005-0000-0000-0000CE310000}"/>
    <cellStyle name="40% - Accent2 4 2 2 6 3" xfId="20560" xr:uid="{00000000-0005-0000-0000-0000CF310000}"/>
    <cellStyle name="40% - Accent2 4 2 2 7" xfId="9281" xr:uid="{00000000-0005-0000-0000-0000D0310000}"/>
    <cellStyle name="40% - Accent2 4 2 2 7 2" xfId="23756" xr:uid="{00000000-0005-0000-0000-0000D1310000}"/>
    <cellStyle name="40% - Accent2 4 2 2 8" xfId="20554" xr:uid="{00000000-0005-0000-0000-0000D2310000}"/>
    <cellStyle name="40% - Accent2 4 2 3" xfId="3236" xr:uid="{00000000-0005-0000-0000-0000D3310000}"/>
    <cellStyle name="40% - Accent2 4 2 3 2" xfId="3237" xr:uid="{00000000-0005-0000-0000-0000D4310000}"/>
    <cellStyle name="40% - Accent2 4 2 3 2 2" xfId="16610" xr:uid="{00000000-0005-0000-0000-0000D5310000}"/>
    <cellStyle name="40% - Accent2 4 2 3 2 2 2" xfId="30017" xr:uid="{00000000-0005-0000-0000-0000D6310000}"/>
    <cellStyle name="40% - Accent2 4 2 3 2 3" xfId="20562" xr:uid="{00000000-0005-0000-0000-0000D7310000}"/>
    <cellStyle name="40% - Accent2 4 2 3 3" xfId="11007" xr:uid="{00000000-0005-0000-0000-0000D8310000}"/>
    <cellStyle name="40% - Accent2 4 2 3 3 2" xfId="24949" xr:uid="{00000000-0005-0000-0000-0000D9310000}"/>
    <cellStyle name="40% - Accent2 4 2 3 4" xfId="20561" xr:uid="{00000000-0005-0000-0000-0000DA310000}"/>
    <cellStyle name="40% - Accent2 4 2 4" xfId="3238" xr:uid="{00000000-0005-0000-0000-0000DB310000}"/>
    <cellStyle name="40% - Accent2 4 2 4 2" xfId="11987" xr:uid="{00000000-0005-0000-0000-0000DC310000}"/>
    <cellStyle name="40% - Accent2 4 2 4 2 2" xfId="25702" xr:uid="{00000000-0005-0000-0000-0000DD310000}"/>
    <cellStyle name="40% - Accent2 4 2 4 3" xfId="20563" xr:uid="{00000000-0005-0000-0000-0000DE310000}"/>
    <cellStyle name="40% - Accent2 4 2 5" xfId="3239" xr:uid="{00000000-0005-0000-0000-0000DF310000}"/>
    <cellStyle name="40% - Accent2 4 2 5 2" xfId="13562" xr:uid="{00000000-0005-0000-0000-0000E0310000}"/>
    <cellStyle name="40% - Accent2 4 2 5 2 2" xfId="27111" xr:uid="{00000000-0005-0000-0000-0000E1310000}"/>
    <cellStyle name="40% - Accent2 4 2 5 3" xfId="20564" xr:uid="{00000000-0005-0000-0000-0000E2310000}"/>
    <cellStyle name="40% - Accent2 4 2 6" xfId="3240" xr:uid="{00000000-0005-0000-0000-0000E3310000}"/>
    <cellStyle name="40% - Accent2 4 2 6 2" xfId="14143" xr:uid="{00000000-0005-0000-0000-0000E4310000}"/>
    <cellStyle name="40% - Accent2 4 2 6 2 2" xfId="27692" xr:uid="{00000000-0005-0000-0000-0000E5310000}"/>
    <cellStyle name="40% - Accent2 4 2 6 3" xfId="20565" xr:uid="{00000000-0005-0000-0000-0000E6310000}"/>
    <cellStyle name="40% - Accent2 4 2 7" xfId="3241" xr:uid="{00000000-0005-0000-0000-0000E7310000}"/>
    <cellStyle name="40% - Accent2 4 2 7 2" xfId="16029" xr:uid="{00000000-0005-0000-0000-0000E8310000}"/>
    <cellStyle name="40% - Accent2 4 2 7 2 2" xfId="29436" xr:uid="{00000000-0005-0000-0000-0000E9310000}"/>
    <cellStyle name="40% - Accent2 4 2 7 3" xfId="20566" xr:uid="{00000000-0005-0000-0000-0000EA310000}"/>
    <cellStyle name="40% - Accent2 4 2 8" xfId="9280" xr:uid="{00000000-0005-0000-0000-0000EB310000}"/>
    <cellStyle name="40% - Accent2 4 2 8 2" xfId="23755" xr:uid="{00000000-0005-0000-0000-0000EC310000}"/>
    <cellStyle name="40% - Accent2 4 2 9" xfId="20553" xr:uid="{00000000-0005-0000-0000-0000ED310000}"/>
    <cellStyle name="40% - Accent2 4 3" xfId="3242" xr:uid="{00000000-0005-0000-0000-0000EE310000}"/>
    <cellStyle name="40% - Accent2 4 3 2" xfId="3243" xr:uid="{00000000-0005-0000-0000-0000EF310000}"/>
    <cellStyle name="40% - Accent2 4 3 2 2" xfId="3244" xr:uid="{00000000-0005-0000-0000-0000F0310000}"/>
    <cellStyle name="40% - Accent2 4 3 2 2 2" xfId="16759" xr:uid="{00000000-0005-0000-0000-0000F1310000}"/>
    <cellStyle name="40% - Accent2 4 3 2 2 2 2" xfId="30166" xr:uid="{00000000-0005-0000-0000-0000F2310000}"/>
    <cellStyle name="40% - Accent2 4 3 2 2 3" xfId="20569" xr:uid="{00000000-0005-0000-0000-0000F3310000}"/>
    <cellStyle name="40% - Accent2 4 3 2 3" xfId="11009" xr:uid="{00000000-0005-0000-0000-0000F4310000}"/>
    <cellStyle name="40% - Accent2 4 3 2 3 2" xfId="24951" xr:uid="{00000000-0005-0000-0000-0000F5310000}"/>
    <cellStyle name="40% - Accent2 4 3 2 4" xfId="20568" xr:uid="{00000000-0005-0000-0000-0000F6310000}"/>
    <cellStyle name="40% - Accent2 4 3 3" xfId="3245" xr:uid="{00000000-0005-0000-0000-0000F7310000}"/>
    <cellStyle name="40% - Accent2 4 3 3 2" xfId="12147" xr:uid="{00000000-0005-0000-0000-0000F8310000}"/>
    <cellStyle name="40% - Accent2 4 3 3 2 2" xfId="25859" xr:uid="{00000000-0005-0000-0000-0000F9310000}"/>
    <cellStyle name="40% - Accent2 4 3 3 3" xfId="20570" xr:uid="{00000000-0005-0000-0000-0000FA310000}"/>
    <cellStyle name="40% - Accent2 4 3 4" xfId="3246" xr:uid="{00000000-0005-0000-0000-0000FB310000}"/>
    <cellStyle name="40% - Accent2 4 3 4 2" xfId="13711" xr:uid="{00000000-0005-0000-0000-0000FC310000}"/>
    <cellStyle name="40% - Accent2 4 3 4 2 2" xfId="27260" xr:uid="{00000000-0005-0000-0000-0000FD310000}"/>
    <cellStyle name="40% - Accent2 4 3 4 3" xfId="20571" xr:uid="{00000000-0005-0000-0000-0000FE310000}"/>
    <cellStyle name="40% - Accent2 4 3 5" xfId="3247" xr:uid="{00000000-0005-0000-0000-0000FF310000}"/>
    <cellStyle name="40% - Accent2 4 3 5 2" xfId="14292" xr:uid="{00000000-0005-0000-0000-000000320000}"/>
    <cellStyle name="40% - Accent2 4 3 5 2 2" xfId="27841" xr:uid="{00000000-0005-0000-0000-000001320000}"/>
    <cellStyle name="40% - Accent2 4 3 5 3" xfId="20572" xr:uid="{00000000-0005-0000-0000-000002320000}"/>
    <cellStyle name="40% - Accent2 4 3 6" xfId="3248" xr:uid="{00000000-0005-0000-0000-000003320000}"/>
    <cellStyle name="40% - Accent2 4 3 6 2" xfId="16178" xr:uid="{00000000-0005-0000-0000-000004320000}"/>
    <cellStyle name="40% - Accent2 4 3 6 2 2" xfId="29585" xr:uid="{00000000-0005-0000-0000-000005320000}"/>
    <cellStyle name="40% - Accent2 4 3 6 3" xfId="20573" xr:uid="{00000000-0005-0000-0000-000006320000}"/>
    <cellStyle name="40% - Accent2 4 3 7" xfId="9282" xr:uid="{00000000-0005-0000-0000-000007320000}"/>
    <cellStyle name="40% - Accent2 4 3 7 2" xfId="23757" xr:uid="{00000000-0005-0000-0000-000008320000}"/>
    <cellStyle name="40% - Accent2 4 3 8" xfId="20567" xr:uid="{00000000-0005-0000-0000-000009320000}"/>
    <cellStyle name="40% - Accent2 4 4" xfId="3249" xr:uid="{00000000-0005-0000-0000-00000A320000}"/>
    <cellStyle name="40% - Accent2 4 4 2" xfId="3250" xr:uid="{00000000-0005-0000-0000-00000B320000}"/>
    <cellStyle name="40% - Accent2 4 4 2 2" xfId="16467" xr:uid="{00000000-0005-0000-0000-00000C320000}"/>
    <cellStyle name="40% - Accent2 4 4 2 2 2" xfId="29874" xr:uid="{00000000-0005-0000-0000-00000D320000}"/>
    <cellStyle name="40% - Accent2 4 4 2 3" xfId="20575" xr:uid="{00000000-0005-0000-0000-00000E320000}"/>
    <cellStyle name="40% - Accent2 4 4 3" xfId="11006" xr:uid="{00000000-0005-0000-0000-00000F320000}"/>
    <cellStyle name="40% - Accent2 4 4 3 2" xfId="24948" xr:uid="{00000000-0005-0000-0000-000010320000}"/>
    <cellStyle name="40% - Accent2 4 4 4" xfId="20574" xr:uid="{00000000-0005-0000-0000-000011320000}"/>
    <cellStyle name="40% - Accent2 4 5" xfId="3251" xr:uid="{00000000-0005-0000-0000-000012320000}"/>
    <cellStyle name="40% - Accent2 4 5 2" xfId="11818" xr:uid="{00000000-0005-0000-0000-000013320000}"/>
    <cellStyle name="40% - Accent2 4 5 2 2" xfId="25533" xr:uid="{00000000-0005-0000-0000-000014320000}"/>
    <cellStyle name="40% - Accent2 4 5 3" xfId="20576" xr:uid="{00000000-0005-0000-0000-000015320000}"/>
    <cellStyle name="40% - Accent2 4 6" xfId="3252" xr:uid="{00000000-0005-0000-0000-000016320000}"/>
    <cellStyle name="40% - Accent2 4 6 2" xfId="13419" xr:uid="{00000000-0005-0000-0000-000017320000}"/>
    <cellStyle name="40% - Accent2 4 6 2 2" xfId="26968" xr:uid="{00000000-0005-0000-0000-000018320000}"/>
    <cellStyle name="40% - Accent2 4 6 3" xfId="20577" xr:uid="{00000000-0005-0000-0000-000019320000}"/>
    <cellStyle name="40% - Accent2 4 7" xfId="3253" xr:uid="{00000000-0005-0000-0000-00001A320000}"/>
    <cellStyle name="40% - Accent2 4 7 2" xfId="14000" xr:uid="{00000000-0005-0000-0000-00001B320000}"/>
    <cellStyle name="40% - Accent2 4 7 2 2" xfId="27549" xr:uid="{00000000-0005-0000-0000-00001C320000}"/>
    <cellStyle name="40% - Accent2 4 7 3" xfId="20578" xr:uid="{00000000-0005-0000-0000-00001D320000}"/>
    <cellStyle name="40% - Accent2 4 8" xfId="3254" xr:uid="{00000000-0005-0000-0000-00001E320000}"/>
    <cellStyle name="40% - Accent2 4 8 2" xfId="15886" xr:uid="{00000000-0005-0000-0000-00001F320000}"/>
    <cellStyle name="40% - Accent2 4 8 2 2" xfId="29293" xr:uid="{00000000-0005-0000-0000-000020320000}"/>
    <cellStyle name="40% - Accent2 4 8 3" xfId="20579" xr:uid="{00000000-0005-0000-0000-000021320000}"/>
    <cellStyle name="40% - Accent2 4 9" xfId="9279" xr:uid="{00000000-0005-0000-0000-000022320000}"/>
    <cellStyle name="40% - Accent2 4 9 2" xfId="23754" xr:uid="{00000000-0005-0000-0000-000023320000}"/>
    <cellStyle name="40% - Accent2 5" xfId="3255" xr:uid="{00000000-0005-0000-0000-000024320000}"/>
    <cellStyle name="40% - Accent2 5 10" xfId="20580" xr:uid="{00000000-0005-0000-0000-000025320000}"/>
    <cellStyle name="40% - Accent2 5 2" xfId="3256" xr:uid="{00000000-0005-0000-0000-000026320000}"/>
    <cellStyle name="40% - Accent2 5 2 2" xfId="3257" xr:uid="{00000000-0005-0000-0000-000027320000}"/>
    <cellStyle name="40% - Accent2 5 2 2 2" xfId="3258" xr:uid="{00000000-0005-0000-0000-000028320000}"/>
    <cellStyle name="40% - Accent2 5 2 2 2 2" xfId="3259" xr:uid="{00000000-0005-0000-0000-000029320000}"/>
    <cellStyle name="40% - Accent2 5 2 2 2 2 2" xfId="16882" xr:uid="{00000000-0005-0000-0000-00002A320000}"/>
    <cellStyle name="40% - Accent2 5 2 2 2 2 2 2" xfId="30289" xr:uid="{00000000-0005-0000-0000-00002B320000}"/>
    <cellStyle name="40% - Accent2 5 2 2 2 2 3" xfId="20584" xr:uid="{00000000-0005-0000-0000-00002C320000}"/>
    <cellStyle name="40% - Accent2 5 2 2 2 3" xfId="11012" xr:uid="{00000000-0005-0000-0000-00002D320000}"/>
    <cellStyle name="40% - Accent2 5 2 2 2 3 2" xfId="24954" xr:uid="{00000000-0005-0000-0000-00002E320000}"/>
    <cellStyle name="40% - Accent2 5 2 2 2 4" xfId="20583" xr:uid="{00000000-0005-0000-0000-00002F320000}"/>
    <cellStyle name="40% - Accent2 5 2 2 3" xfId="3260" xr:uid="{00000000-0005-0000-0000-000030320000}"/>
    <cellStyle name="40% - Accent2 5 2 2 3 2" xfId="12270" xr:uid="{00000000-0005-0000-0000-000031320000}"/>
    <cellStyle name="40% - Accent2 5 2 2 3 2 2" xfId="25982" xr:uid="{00000000-0005-0000-0000-000032320000}"/>
    <cellStyle name="40% - Accent2 5 2 2 3 3" xfId="20585" xr:uid="{00000000-0005-0000-0000-000033320000}"/>
    <cellStyle name="40% - Accent2 5 2 2 4" xfId="3261" xr:uid="{00000000-0005-0000-0000-000034320000}"/>
    <cellStyle name="40% - Accent2 5 2 2 4 2" xfId="13834" xr:uid="{00000000-0005-0000-0000-000035320000}"/>
    <cellStyle name="40% - Accent2 5 2 2 4 2 2" xfId="27383" xr:uid="{00000000-0005-0000-0000-000036320000}"/>
    <cellStyle name="40% - Accent2 5 2 2 4 3" xfId="20586" xr:uid="{00000000-0005-0000-0000-000037320000}"/>
    <cellStyle name="40% - Accent2 5 2 2 5" xfId="3262" xr:uid="{00000000-0005-0000-0000-000038320000}"/>
    <cellStyle name="40% - Accent2 5 2 2 5 2" xfId="14415" xr:uid="{00000000-0005-0000-0000-000039320000}"/>
    <cellStyle name="40% - Accent2 5 2 2 5 2 2" xfId="27964" xr:uid="{00000000-0005-0000-0000-00003A320000}"/>
    <cellStyle name="40% - Accent2 5 2 2 5 3" xfId="20587" xr:uid="{00000000-0005-0000-0000-00003B320000}"/>
    <cellStyle name="40% - Accent2 5 2 2 6" xfId="3263" xr:uid="{00000000-0005-0000-0000-00003C320000}"/>
    <cellStyle name="40% - Accent2 5 2 2 6 2" xfId="16301" xr:uid="{00000000-0005-0000-0000-00003D320000}"/>
    <cellStyle name="40% - Accent2 5 2 2 6 2 2" xfId="29708" xr:uid="{00000000-0005-0000-0000-00003E320000}"/>
    <cellStyle name="40% - Accent2 5 2 2 6 3" xfId="20588" xr:uid="{00000000-0005-0000-0000-00003F320000}"/>
    <cellStyle name="40% - Accent2 5 2 2 7" xfId="9285" xr:uid="{00000000-0005-0000-0000-000040320000}"/>
    <cellStyle name="40% - Accent2 5 2 2 7 2" xfId="23760" xr:uid="{00000000-0005-0000-0000-000041320000}"/>
    <cellStyle name="40% - Accent2 5 2 2 8" xfId="20582" xr:uid="{00000000-0005-0000-0000-000042320000}"/>
    <cellStyle name="40% - Accent2 5 2 3" xfId="3264" xr:uid="{00000000-0005-0000-0000-000043320000}"/>
    <cellStyle name="40% - Accent2 5 2 3 2" xfId="3265" xr:uid="{00000000-0005-0000-0000-000044320000}"/>
    <cellStyle name="40% - Accent2 5 2 3 2 2" xfId="16593" xr:uid="{00000000-0005-0000-0000-000045320000}"/>
    <cellStyle name="40% - Accent2 5 2 3 2 2 2" xfId="30000" xr:uid="{00000000-0005-0000-0000-000046320000}"/>
    <cellStyle name="40% - Accent2 5 2 3 2 3" xfId="20590" xr:uid="{00000000-0005-0000-0000-000047320000}"/>
    <cellStyle name="40% - Accent2 5 2 3 3" xfId="11011" xr:uid="{00000000-0005-0000-0000-000048320000}"/>
    <cellStyle name="40% - Accent2 5 2 3 3 2" xfId="24953" xr:uid="{00000000-0005-0000-0000-000049320000}"/>
    <cellStyle name="40% - Accent2 5 2 3 4" xfId="20589" xr:uid="{00000000-0005-0000-0000-00004A320000}"/>
    <cellStyle name="40% - Accent2 5 2 4" xfId="3266" xr:uid="{00000000-0005-0000-0000-00004B320000}"/>
    <cellStyle name="40% - Accent2 5 2 4 2" xfId="11970" xr:uid="{00000000-0005-0000-0000-00004C320000}"/>
    <cellStyle name="40% - Accent2 5 2 4 2 2" xfId="25685" xr:uid="{00000000-0005-0000-0000-00004D320000}"/>
    <cellStyle name="40% - Accent2 5 2 4 3" xfId="20591" xr:uid="{00000000-0005-0000-0000-00004E320000}"/>
    <cellStyle name="40% - Accent2 5 2 5" xfId="3267" xr:uid="{00000000-0005-0000-0000-00004F320000}"/>
    <cellStyle name="40% - Accent2 5 2 5 2" xfId="13545" xr:uid="{00000000-0005-0000-0000-000050320000}"/>
    <cellStyle name="40% - Accent2 5 2 5 2 2" xfId="27094" xr:uid="{00000000-0005-0000-0000-000051320000}"/>
    <cellStyle name="40% - Accent2 5 2 5 3" xfId="20592" xr:uid="{00000000-0005-0000-0000-000052320000}"/>
    <cellStyle name="40% - Accent2 5 2 6" xfId="3268" xr:uid="{00000000-0005-0000-0000-000053320000}"/>
    <cellStyle name="40% - Accent2 5 2 6 2" xfId="14126" xr:uid="{00000000-0005-0000-0000-000054320000}"/>
    <cellStyle name="40% - Accent2 5 2 6 2 2" xfId="27675" xr:uid="{00000000-0005-0000-0000-000055320000}"/>
    <cellStyle name="40% - Accent2 5 2 6 3" xfId="20593" xr:uid="{00000000-0005-0000-0000-000056320000}"/>
    <cellStyle name="40% - Accent2 5 2 7" xfId="3269" xr:uid="{00000000-0005-0000-0000-000057320000}"/>
    <cellStyle name="40% - Accent2 5 2 7 2" xfId="16012" xr:uid="{00000000-0005-0000-0000-000058320000}"/>
    <cellStyle name="40% - Accent2 5 2 7 2 2" xfId="29419" xr:uid="{00000000-0005-0000-0000-000059320000}"/>
    <cellStyle name="40% - Accent2 5 2 7 3" xfId="20594" xr:uid="{00000000-0005-0000-0000-00005A320000}"/>
    <cellStyle name="40% - Accent2 5 2 8" xfId="9284" xr:uid="{00000000-0005-0000-0000-00005B320000}"/>
    <cellStyle name="40% - Accent2 5 2 8 2" xfId="23759" xr:uid="{00000000-0005-0000-0000-00005C320000}"/>
    <cellStyle name="40% - Accent2 5 2 9" xfId="20581" xr:uid="{00000000-0005-0000-0000-00005D320000}"/>
    <cellStyle name="40% - Accent2 5 3" xfId="3270" xr:uid="{00000000-0005-0000-0000-00005E320000}"/>
    <cellStyle name="40% - Accent2 5 3 2" xfId="3271" xr:uid="{00000000-0005-0000-0000-00005F320000}"/>
    <cellStyle name="40% - Accent2 5 3 2 2" xfId="3272" xr:uid="{00000000-0005-0000-0000-000060320000}"/>
    <cellStyle name="40% - Accent2 5 3 2 2 2" xfId="16742" xr:uid="{00000000-0005-0000-0000-000061320000}"/>
    <cellStyle name="40% - Accent2 5 3 2 2 2 2" xfId="30149" xr:uid="{00000000-0005-0000-0000-000062320000}"/>
    <cellStyle name="40% - Accent2 5 3 2 2 3" xfId="20597" xr:uid="{00000000-0005-0000-0000-000063320000}"/>
    <cellStyle name="40% - Accent2 5 3 2 3" xfId="11013" xr:uid="{00000000-0005-0000-0000-000064320000}"/>
    <cellStyle name="40% - Accent2 5 3 2 3 2" xfId="24955" xr:uid="{00000000-0005-0000-0000-000065320000}"/>
    <cellStyle name="40% - Accent2 5 3 2 4" xfId="20596" xr:uid="{00000000-0005-0000-0000-000066320000}"/>
    <cellStyle name="40% - Accent2 5 3 3" xfId="3273" xr:uid="{00000000-0005-0000-0000-000067320000}"/>
    <cellStyle name="40% - Accent2 5 3 3 2" xfId="12130" xr:uid="{00000000-0005-0000-0000-000068320000}"/>
    <cellStyle name="40% - Accent2 5 3 3 2 2" xfId="25842" xr:uid="{00000000-0005-0000-0000-000069320000}"/>
    <cellStyle name="40% - Accent2 5 3 3 3" xfId="20598" xr:uid="{00000000-0005-0000-0000-00006A320000}"/>
    <cellStyle name="40% - Accent2 5 3 4" xfId="3274" xr:uid="{00000000-0005-0000-0000-00006B320000}"/>
    <cellStyle name="40% - Accent2 5 3 4 2" xfId="13694" xr:uid="{00000000-0005-0000-0000-00006C320000}"/>
    <cellStyle name="40% - Accent2 5 3 4 2 2" xfId="27243" xr:uid="{00000000-0005-0000-0000-00006D320000}"/>
    <cellStyle name="40% - Accent2 5 3 4 3" xfId="20599" xr:uid="{00000000-0005-0000-0000-00006E320000}"/>
    <cellStyle name="40% - Accent2 5 3 5" xfId="3275" xr:uid="{00000000-0005-0000-0000-00006F320000}"/>
    <cellStyle name="40% - Accent2 5 3 5 2" xfId="14275" xr:uid="{00000000-0005-0000-0000-000070320000}"/>
    <cellStyle name="40% - Accent2 5 3 5 2 2" xfId="27824" xr:uid="{00000000-0005-0000-0000-000071320000}"/>
    <cellStyle name="40% - Accent2 5 3 5 3" xfId="20600" xr:uid="{00000000-0005-0000-0000-000072320000}"/>
    <cellStyle name="40% - Accent2 5 3 6" xfId="3276" xr:uid="{00000000-0005-0000-0000-000073320000}"/>
    <cellStyle name="40% - Accent2 5 3 6 2" xfId="16161" xr:uid="{00000000-0005-0000-0000-000074320000}"/>
    <cellStyle name="40% - Accent2 5 3 6 2 2" xfId="29568" xr:uid="{00000000-0005-0000-0000-000075320000}"/>
    <cellStyle name="40% - Accent2 5 3 6 3" xfId="20601" xr:uid="{00000000-0005-0000-0000-000076320000}"/>
    <cellStyle name="40% - Accent2 5 3 7" xfId="9286" xr:uid="{00000000-0005-0000-0000-000077320000}"/>
    <cellStyle name="40% - Accent2 5 3 7 2" xfId="23761" xr:uid="{00000000-0005-0000-0000-000078320000}"/>
    <cellStyle name="40% - Accent2 5 3 8" xfId="20595" xr:uid="{00000000-0005-0000-0000-000079320000}"/>
    <cellStyle name="40% - Accent2 5 4" xfId="3277" xr:uid="{00000000-0005-0000-0000-00007A320000}"/>
    <cellStyle name="40% - Accent2 5 4 2" xfId="3278" xr:uid="{00000000-0005-0000-0000-00007B320000}"/>
    <cellStyle name="40% - Accent2 5 4 2 2" xfId="16450" xr:uid="{00000000-0005-0000-0000-00007C320000}"/>
    <cellStyle name="40% - Accent2 5 4 2 2 2" xfId="29857" xr:uid="{00000000-0005-0000-0000-00007D320000}"/>
    <cellStyle name="40% - Accent2 5 4 2 3" xfId="20603" xr:uid="{00000000-0005-0000-0000-00007E320000}"/>
    <cellStyle name="40% - Accent2 5 4 3" xfId="11010" xr:uid="{00000000-0005-0000-0000-00007F320000}"/>
    <cellStyle name="40% - Accent2 5 4 3 2" xfId="24952" xr:uid="{00000000-0005-0000-0000-000080320000}"/>
    <cellStyle name="40% - Accent2 5 4 4" xfId="20602" xr:uid="{00000000-0005-0000-0000-000081320000}"/>
    <cellStyle name="40% - Accent2 5 5" xfId="3279" xr:uid="{00000000-0005-0000-0000-000082320000}"/>
    <cellStyle name="40% - Accent2 5 5 2" xfId="11801" xr:uid="{00000000-0005-0000-0000-000083320000}"/>
    <cellStyle name="40% - Accent2 5 5 2 2" xfId="25516" xr:uid="{00000000-0005-0000-0000-000084320000}"/>
    <cellStyle name="40% - Accent2 5 5 3" xfId="20604" xr:uid="{00000000-0005-0000-0000-000085320000}"/>
    <cellStyle name="40% - Accent2 5 6" xfId="3280" xr:uid="{00000000-0005-0000-0000-000086320000}"/>
    <cellStyle name="40% - Accent2 5 6 2" xfId="13402" xr:uid="{00000000-0005-0000-0000-000087320000}"/>
    <cellStyle name="40% - Accent2 5 6 2 2" xfId="26951" xr:uid="{00000000-0005-0000-0000-000088320000}"/>
    <cellStyle name="40% - Accent2 5 6 3" xfId="20605" xr:uid="{00000000-0005-0000-0000-000089320000}"/>
    <cellStyle name="40% - Accent2 5 7" xfId="3281" xr:uid="{00000000-0005-0000-0000-00008A320000}"/>
    <cellStyle name="40% - Accent2 5 7 2" xfId="13983" xr:uid="{00000000-0005-0000-0000-00008B320000}"/>
    <cellStyle name="40% - Accent2 5 7 2 2" xfId="27532" xr:uid="{00000000-0005-0000-0000-00008C320000}"/>
    <cellStyle name="40% - Accent2 5 7 3" xfId="20606" xr:uid="{00000000-0005-0000-0000-00008D320000}"/>
    <cellStyle name="40% - Accent2 5 8" xfId="3282" xr:uid="{00000000-0005-0000-0000-00008E320000}"/>
    <cellStyle name="40% - Accent2 5 8 2" xfId="15869" xr:uid="{00000000-0005-0000-0000-00008F320000}"/>
    <cellStyle name="40% - Accent2 5 8 2 2" xfId="29276" xr:uid="{00000000-0005-0000-0000-000090320000}"/>
    <cellStyle name="40% - Accent2 5 8 3" xfId="20607" xr:uid="{00000000-0005-0000-0000-000091320000}"/>
    <cellStyle name="40% - Accent2 5 9" xfId="9283" xr:uid="{00000000-0005-0000-0000-000092320000}"/>
    <cellStyle name="40% - Accent2 5 9 2" xfId="23758" xr:uid="{00000000-0005-0000-0000-000093320000}"/>
    <cellStyle name="40% - Accent2 6" xfId="3283" xr:uid="{00000000-0005-0000-0000-000094320000}"/>
    <cellStyle name="40% - Accent2 6 10" xfId="20608" xr:uid="{00000000-0005-0000-0000-000095320000}"/>
    <cellStyle name="40% - Accent2 6 2" xfId="3284" xr:uid="{00000000-0005-0000-0000-000096320000}"/>
    <cellStyle name="40% - Accent2 6 2 2" xfId="3285" xr:uid="{00000000-0005-0000-0000-000097320000}"/>
    <cellStyle name="40% - Accent2 6 2 2 2" xfId="3286" xr:uid="{00000000-0005-0000-0000-000098320000}"/>
    <cellStyle name="40% - Accent2 6 2 2 2 2" xfId="3287" xr:uid="{00000000-0005-0000-0000-000099320000}"/>
    <cellStyle name="40% - Accent2 6 2 2 2 2 2" xfId="16988" xr:uid="{00000000-0005-0000-0000-00009A320000}"/>
    <cellStyle name="40% - Accent2 6 2 2 2 2 2 2" xfId="30395" xr:uid="{00000000-0005-0000-0000-00009B320000}"/>
    <cellStyle name="40% - Accent2 6 2 2 2 2 3" xfId="20612" xr:uid="{00000000-0005-0000-0000-00009C320000}"/>
    <cellStyle name="40% - Accent2 6 2 2 2 3" xfId="11016" xr:uid="{00000000-0005-0000-0000-00009D320000}"/>
    <cellStyle name="40% - Accent2 6 2 2 2 3 2" xfId="24958" xr:uid="{00000000-0005-0000-0000-00009E320000}"/>
    <cellStyle name="40% - Accent2 6 2 2 2 4" xfId="20611" xr:uid="{00000000-0005-0000-0000-00009F320000}"/>
    <cellStyle name="40% - Accent2 6 2 2 3" xfId="3288" xr:uid="{00000000-0005-0000-0000-0000A0320000}"/>
    <cellStyle name="40% - Accent2 6 2 2 3 2" xfId="12376" xr:uid="{00000000-0005-0000-0000-0000A1320000}"/>
    <cellStyle name="40% - Accent2 6 2 2 3 2 2" xfId="26088" xr:uid="{00000000-0005-0000-0000-0000A2320000}"/>
    <cellStyle name="40% - Accent2 6 2 2 3 3" xfId="20613" xr:uid="{00000000-0005-0000-0000-0000A3320000}"/>
    <cellStyle name="40% - Accent2 6 2 2 4" xfId="3289" xr:uid="{00000000-0005-0000-0000-0000A4320000}"/>
    <cellStyle name="40% - Accent2 6 2 2 4 2" xfId="13940" xr:uid="{00000000-0005-0000-0000-0000A5320000}"/>
    <cellStyle name="40% - Accent2 6 2 2 4 2 2" xfId="27489" xr:uid="{00000000-0005-0000-0000-0000A6320000}"/>
    <cellStyle name="40% - Accent2 6 2 2 4 3" xfId="20614" xr:uid="{00000000-0005-0000-0000-0000A7320000}"/>
    <cellStyle name="40% - Accent2 6 2 2 5" xfId="3290" xr:uid="{00000000-0005-0000-0000-0000A8320000}"/>
    <cellStyle name="40% - Accent2 6 2 2 5 2" xfId="14521" xr:uid="{00000000-0005-0000-0000-0000A9320000}"/>
    <cellStyle name="40% - Accent2 6 2 2 5 2 2" xfId="28070" xr:uid="{00000000-0005-0000-0000-0000AA320000}"/>
    <cellStyle name="40% - Accent2 6 2 2 5 3" xfId="20615" xr:uid="{00000000-0005-0000-0000-0000AB320000}"/>
    <cellStyle name="40% - Accent2 6 2 2 6" xfId="3291" xr:uid="{00000000-0005-0000-0000-0000AC320000}"/>
    <cellStyle name="40% - Accent2 6 2 2 6 2" xfId="16407" xr:uid="{00000000-0005-0000-0000-0000AD320000}"/>
    <cellStyle name="40% - Accent2 6 2 2 6 2 2" xfId="29814" xr:uid="{00000000-0005-0000-0000-0000AE320000}"/>
    <cellStyle name="40% - Accent2 6 2 2 6 3" xfId="20616" xr:uid="{00000000-0005-0000-0000-0000AF320000}"/>
    <cellStyle name="40% - Accent2 6 2 2 7" xfId="9289" xr:uid="{00000000-0005-0000-0000-0000B0320000}"/>
    <cellStyle name="40% - Accent2 6 2 2 7 2" xfId="23764" xr:uid="{00000000-0005-0000-0000-0000B1320000}"/>
    <cellStyle name="40% - Accent2 6 2 2 8" xfId="20610" xr:uid="{00000000-0005-0000-0000-0000B2320000}"/>
    <cellStyle name="40% - Accent2 6 2 3" xfId="3292" xr:uid="{00000000-0005-0000-0000-0000B3320000}"/>
    <cellStyle name="40% - Accent2 6 2 3 2" xfId="3293" xr:uid="{00000000-0005-0000-0000-0000B4320000}"/>
    <cellStyle name="40% - Accent2 6 2 3 2 2" xfId="16699" xr:uid="{00000000-0005-0000-0000-0000B5320000}"/>
    <cellStyle name="40% - Accent2 6 2 3 2 2 2" xfId="30106" xr:uid="{00000000-0005-0000-0000-0000B6320000}"/>
    <cellStyle name="40% - Accent2 6 2 3 2 3" xfId="20618" xr:uid="{00000000-0005-0000-0000-0000B7320000}"/>
    <cellStyle name="40% - Accent2 6 2 3 3" xfId="11015" xr:uid="{00000000-0005-0000-0000-0000B8320000}"/>
    <cellStyle name="40% - Accent2 6 2 3 3 2" xfId="24957" xr:uid="{00000000-0005-0000-0000-0000B9320000}"/>
    <cellStyle name="40% - Accent2 6 2 3 4" xfId="20617" xr:uid="{00000000-0005-0000-0000-0000BA320000}"/>
    <cellStyle name="40% - Accent2 6 2 4" xfId="3294" xr:uid="{00000000-0005-0000-0000-0000BB320000}"/>
    <cellStyle name="40% - Accent2 6 2 4 2" xfId="12076" xr:uid="{00000000-0005-0000-0000-0000BC320000}"/>
    <cellStyle name="40% - Accent2 6 2 4 2 2" xfId="25791" xr:uid="{00000000-0005-0000-0000-0000BD320000}"/>
    <cellStyle name="40% - Accent2 6 2 4 3" xfId="20619" xr:uid="{00000000-0005-0000-0000-0000BE320000}"/>
    <cellStyle name="40% - Accent2 6 2 5" xfId="3295" xr:uid="{00000000-0005-0000-0000-0000BF320000}"/>
    <cellStyle name="40% - Accent2 6 2 5 2" xfId="13651" xr:uid="{00000000-0005-0000-0000-0000C0320000}"/>
    <cellStyle name="40% - Accent2 6 2 5 2 2" xfId="27200" xr:uid="{00000000-0005-0000-0000-0000C1320000}"/>
    <cellStyle name="40% - Accent2 6 2 5 3" xfId="20620" xr:uid="{00000000-0005-0000-0000-0000C2320000}"/>
    <cellStyle name="40% - Accent2 6 2 6" xfId="3296" xr:uid="{00000000-0005-0000-0000-0000C3320000}"/>
    <cellStyle name="40% - Accent2 6 2 6 2" xfId="14232" xr:uid="{00000000-0005-0000-0000-0000C4320000}"/>
    <cellStyle name="40% - Accent2 6 2 6 2 2" xfId="27781" xr:uid="{00000000-0005-0000-0000-0000C5320000}"/>
    <cellStyle name="40% - Accent2 6 2 6 3" xfId="20621" xr:uid="{00000000-0005-0000-0000-0000C6320000}"/>
    <cellStyle name="40% - Accent2 6 2 7" xfId="3297" xr:uid="{00000000-0005-0000-0000-0000C7320000}"/>
    <cellStyle name="40% - Accent2 6 2 7 2" xfId="16118" xr:uid="{00000000-0005-0000-0000-0000C8320000}"/>
    <cellStyle name="40% - Accent2 6 2 7 2 2" xfId="29525" xr:uid="{00000000-0005-0000-0000-0000C9320000}"/>
    <cellStyle name="40% - Accent2 6 2 7 3" xfId="20622" xr:uid="{00000000-0005-0000-0000-0000CA320000}"/>
    <cellStyle name="40% - Accent2 6 2 8" xfId="9288" xr:uid="{00000000-0005-0000-0000-0000CB320000}"/>
    <cellStyle name="40% - Accent2 6 2 8 2" xfId="23763" xr:uid="{00000000-0005-0000-0000-0000CC320000}"/>
    <cellStyle name="40% - Accent2 6 2 9" xfId="20609" xr:uid="{00000000-0005-0000-0000-0000CD320000}"/>
    <cellStyle name="40% - Accent2 6 3" xfId="3298" xr:uid="{00000000-0005-0000-0000-0000CE320000}"/>
    <cellStyle name="40% - Accent2 6 3 2" xfId="3299" xr:uid="{00000000-0005-0000-0000-0000CF320000}"/>
    <cellStyle name="40% - Accent2 6 3 2 2" xfId="3300" xr:uid="{00000000-0005-0000-0000-0000D0320000}"/>
    <cellStyle name="40% - Accent2 6 3 2 2 2" xfId="16845" xr:uid="{00000000-0005-0000-0000-0000D1320000}"/>
    <cellStyle name="40% - Accent2 6 3 2 2 2 2" xfId="30252" xr:uid="{00000000-0005-0000-0000-0000D2320000}"/>
    <cellStyle name="40% - Accent2 6 3 2 2 3" xfId="20625" xr:uid="{00000000-0005-0000-0000-0000D3320000}"/>
    <cellStyle name="40% - Accent2 6 3 2 3" xfId="11017" xr:uid="{00000000-0005-0000-0000-0000D4320000}"/>
    <cellStyle name="40% - Accent2 6 3 2 3 2" xfId="24959" xr:uid="{00000000-0005-0000-0000-0000D5320000}"/>
    <cellStyle name="40% - Accent2 6 3 2 4" xfId="20624" xr:uid="{00000000-0005-0000-0000-0000D6320000}"/>
    <cellStyle name="40% - Accent2 6 3 3" xfId="3301" xr:uid="{00000000-0005-0000-0000-0000D7320000}"/>
    <cellStyle name="40% - Accent2 6 3 3 2" xfId="12233" xr:uid="{00000000-0005-0000-0000-0000D8320000}"/>
    <cellStyle name="40% - Accent2 6 3 3 2 2" xfId="25945" xr:uid="{00000000-0005-0000-0000-0000D9320000}"/>
    <cellStyle name="40% - Accent2 6 3 3 3" xfId="20626" xr:uid="{00000000-0005-0000-0000-0000DA320000}"/>
    <cellStyle name="40% - Accent2 6 3 4" xfId="3302" xr:uid="{00000000-0005-0000-0000-0000DB320000}"/>
    <cellStyle name="40% - Accent2 6 3 4 2" xfId="13797" xr:uid="{00000000-0005-0000-0000-0000DC320000}"/>
    <cellStyle name="40% - Accent2 6 3 4 2 2" xfId="27346" xr:uid="{00000000-0005-0000-0000-0000DD320000}"/>
    <cellStyle name="40% - Accent2 6 3 4 3" xfId="20627" xr:uid="{00000000-0005-0000-0000-0000DE320000}"/>
    <cellStyle name="40% - Accent2 6 3 5" xfId="3303" xr:uid="{00000000-0005-0000-0000-0000DF320000}"/>
    <cellStyle name="40% - Accent2 6 3 5 2" xfId="14378" xr:uid="{00000000-0005-0000-0000-0000E0320000}"/>
    <cellStyle name="40% - Accent2 6 3 5 2 2" xfId="27927" xr:uid="{00000000-0005-0000-0000-0000E1320000}"/>
    <cellStyle name="40% - Accent2 6 3 5 3" xfId="20628" xr:uid="{00000000-0005-0000-0000-0000E2320000}"/>
    <cellStyle name="40% - Accent2 6 3 6" xfId="3304" xr:uid="{00000000-0005-0000-0000-0000E3320000}"/>
    <cellStyle name="40% - Accent2 6 3 6 2" xfId="16264" xr:uid="{00000000-0005-0000-0000-0000E4320000}"/>
    <cellStyle name="40% - Accent2 6 3 6 2 2" xfId="29671" xr:uid="{00000000-0005-0000-0000-0000E5320000}"/>
    <cellStyle name="40% - Accent2 6 3 6 3" xfId="20629" xr:uid="{00000000-0005-0000-0000-0000E6320000}"/>
    <cellStyle name="40% - Accent2 6 3 7" xfId="9290" xr:uid="{00000000-0005-0000-0000-0000E7320000}"/>
    <cellStyle name="40% - Accent2 6 3 7 2" xfId="23765" xr:uid="{00000000-0005-0000-0000-0000E8320000}"/>
    <cellStyle name="40% - Accent2 6 3 8" xfId="20623" xr:uid="{00000000-0005-0000-0000-0000E9320000}"/>
    <cellStyle name="40% - Accent2 6 4" xfId="3305" xr:uid="{00000000-0005-0000-0000-0000EA320000}"/>
    <cellStyle name="40% - Accent2 6 4 2" xfId="3306" xr:uid="{00000000-0005-0000-0000-0000EB320000}"/>
    <cellStyle name="40% - Accent2 6 4 2 2" xfId="16556" xr:uid="{00000000-0005-0000-0000-0000EC320000}"/>
    <cellStyle name="40% - Accent2 6 4 2 2 2" xfId="29963" xr:uid="{00000000-0005-0000-0000-0000ED320000}"/>
    <cellStyle name="40% - Accent2 6 4 2 3" xfId="20631" xr:uid="{00000000-0005-0000-0000-0000EE320000}"/>
    <cellStyle name="40% - Accent2 6 4 3" xfId="11014" xr:uid="{00000000-0005-0000-0000-0000EF320000}"/>
    <cellStyle name="40% - Accent2 6 4 3 2" xfId="24956" xr:uid="{00000000-0005-0000-0000-0000F0320000}"/>
    <cellStyle name="40% - Accent2 6 4 4" xfId="20630" xr:uid="{00000000-0005-0000-0000-0000F1320000}"/>
    <cellStyle name="40% - Accent2 6 5" xfId="3307" xr:uid="{00000000-0005-0000-0000-0000F2320000}"/>
    <cellStyle name="40% - Accent2 6 5 2" xfId="11931" xr:uid="{00000000-0005-0000-0000-0000F3320000}"/>
    <cellStyle name="40% - Accent2 6 5 2 2" xfId="25646" xr:uid="{00000000-0005-0000-0000-0000F4320000}"/>
    <cellStyle name="40% - Accent2 6 5 3" xfId="20632" xr:uid="{00000000-0005-0000-0000-0000F5320000}"/>
    <cellStyle name="40% - Accent2 6 6" xfId="3308" xr:uid="{00000000-0005-0000-0000-0000F6320000}"/>
    <cellStyle name="40% - Accent2 6 6 2" xfId="13508" xr:uid="{00000000-0005-0000-0000-0000F7320000}"/>
    <cellStyle name="40% - Accent2 6 6 2 2" xfId="27057" xr:uid="{00000000-0005-0000-0000-0000F8320000}"/>
    <cellStyle name="40% - Accent2 6 6 3" xfId="20633" xr:uid="{00000000-0005-0000-0000-0000F9320000}"/>
    <cellStyle name="40% - Accent2 6 7" xfId="3309" xr:uid="{00000000-0005-0000-0000-0000FA320000}"/>
    <cellStyle name="40% - Accent2 6 7 2" xfId="14089" xr:uid="{00000000-0005-0000-0000-0000FB320000}"/>
    <cellStyle name="40% - Accent2 6 7 2 2" xfId="27638" xr:uid="{00000000-0005-0000-0000-0000FC320000}"/>
    <cellStyle name="40% - Accent2 6 7 3" xfId="20634" xr:uid="{00000000-0005-0000-0000-0000FD320000}"/>
    <cellStyle name="40% - Accent2 6 8" xfId="3310" xr:uid="{00000000-0005-0000-0000-0000FE320000}"/>
    <cellStyle name="40% - Accent2 6 8 2" xfId="15975" xr:uid="{00000000-0005-0000-0000-0000FF320000}"/>
    <cellStyle name="40% - Accent2 6 8 2 2" xfId="29382" xr:uid="{00000000-0005-0000-0000-000000330000}"/>
    <cellStyle name="40% - Accent2 6 8 3" xfId="20635" xr:uid="{00000000-0005-0000-0000-000001330000}"/>
    <cellStyle name="40% - Accent2 6 9" xfId="9287" xr:uid="{00000000-0005-0000-0000-000002330000}"/>
    <cellStyle name="40% - Accent2 6 9 2" xfId="23762" xr:uid="{00000000-0005-0000-0000-000003330000}"/>
    <cellStyle name="40% - Accent2 7" xfId="3311" xr:uid="{00000000-0005-0000-0000-000004330000}"/>
    <cellStyle name="40% - Accent2 7 2" xfId="3312" xr:uid="{00000000-0005-0000-0000-000005330000}"/>
    <cellStyle name="40% - Accent2 7 2 2" xfId="3313" xr:uid="{00000000-0005-0000-0000-000006330000}"/>
    <cellStyle name="40% - Accent2 7 2 2 2" xfId="3314" xr:uid="{00000000-0005-0000-0000-000007330000}"/>
    <cellStyle name="40% - Accent2 7 2 2 2 2" xfId="16861" xr:uid="{00000000-0005-0000-0000-000008330000}"/>
    <cellStyle name="40% - Accent2 7 2 2 2 2 2" xfId="30268" xr:uid="{00000000-0005-0000-0000-000009330000}"/>
    <cellStyle name="40% - Accent2 7 2 2 2 3" xfId="20639" xr:uid="{00000000-0005-0000-0000-00000A330000}"/>
    <cellStyle name="40% - Accent2 7 2 2 3" xfId="11019" xr:uid="{00000000-0005-0000-0000-00000B330000}"/>
    <cellStyle name="40% - Accent2 7 2 2 3 2" xfId="24961" xr:uid="{00000000-0005-0000-0000-00000C330000}"/>
    <cellStyle name="40% - Accent2 7 2 2 4" xfId="20638" xr:uid="{00000000-0005-0000-0000-00000D330000}"/>
    <cellStyle name="40% - Accent2 7 2 3" xfId="3315" xr:uid="{00000000-0005-0000-0000-00000E330000}"/>
    <cellStyle name="40% - Accent2 7 2 3 2" xfId="12249" xr:uid="{00000000-0005-0000-0000-00000F330000}"/>
    <cellStyle name="40% - Accent2 7 2 3 2 2" xfId="25961" xr:uid="{00000000-0005-0000-0000-000010330000}"/>
    <cellStyle name="40% - Accent2 7 2 3 3" xfId="20640" xr:uid="{00000000-0005-0000-0000-000011330000}"/>
    <cellStyle name="40% - Accent2 7 2 4" xfId="3316" xr:uid="{00000000-0005-0000-0000-000012330000}"/>
    <cellStyle name="40% - Accent2 7 2 4 2" xfId="13813" xr:uid="{00000000-0005-0000-0000-000013330000}"/>
    <cellStyle name="40% - Accent2 7 2 4 2 2" xfId="27362" xr:uid="{00000000-0005-0000-0000-000014330000}"/>
    <cellStyle name="40% - Accent2 7 2 4 3" xfId="20641" xr:uid="{00000000-0005-0000-0000-000015330000}"/>
    <cellStyle name="40% - Accent2 7 2 5" xfId="3317" xr:uid="{00000000-0005-0000-0000-000016330000}"/>
    <cellStyle name="40% - Accent2 7 2 5 2" xfId="14394" xr:uid="{00000000-0005-0000-0000-000017330000}"/>
    <cellStyle name="40% - Accent2 7 2 5 2 2" xfId="27943" xr:uid="{00000000-0005-0000-0000-000018330000}"/>
    <cellStyle name="40% - Accent2 7 2 5 3" xfId="20642" xr:uid="{00000000-0005-0000-0000-000019330000}"/>
    <cellStyle name="40% - Accent2 7 2 6" xfId="3318" xr:uid="{00000000-0005-0000-0000-00001A330000}"/>
    <cellStyle name="40% - Accent2 7 2 6 2" xfId="16280" xr:uid="{00000000-0005-0000-0000-00001B330000}"/>
    <cellStyle name="40% - Accent2 7 2 6 2 2" xfId="29687" xr:uid="{00000000-0005-0000-0000-00001C330000}"/>
    <cellStyle name="40% - Accent2 7 2 6 3" xfId="20643" xr:uid="{00000000-0005-0000-0000-00001D330000}"/>
    <cellStyle name="40% - Accent2 7 2 7" xfId="9292" xr:uid="{00000000-0005-0000-0000-00001E330000}"/>
    <cellStyle name="40% - Accent2 7 2 7 2" xfId="23767" xr:uid="{00000000-0005-0000-0000-00001F330000}"/>
    <cellStyle name="40% - Accent2 7 2 8" xfId="20637" xr:uid="{00000000-0005-0000-0000-000020330000}"/>
    <cellStyle name="40% - Accent2 7 3" xfId="3319" xr:uid="{00000000-0005-0000-0000-000021330000}"/>
    <cellStyle name="40% - Accent2 7 3 2" xfId="3320" xr:uid="{00000000-0005-0000-0000-000022330000}"/>
    <cellStyle name="40% - Accent2 7 3 2 2" xfId="16572" xr:uid="{00000000-0005-0000-0000-000023330000}"/>
    <cellStyle name="40% - Accent2 7 3 2 2 2" xfId="29979" xr:uid="{00000000-0005-0000-0000-000024330000}"/>
    <cellStyle name="40% - Accent2 7 3 2 3" xfId="20645" xr:uid="{00000000-0005-0000-0000-000025330000}"/>
    <cellStyle name="40% - Accent2 7 3 3" xfId="11018" xr:uid="{00000000-0005-0000-0000-000026330000}"/>
    <cellStyle name="40% - Accent2 7 3 3 2" xfId="24960" xr:uid="{00000000-0005-0000-0000-000027330000}"/>
    <cellStyle name="40% - Accent2 7 3 4" xfId="20644" xr:uid="{00000000-0005-0000-0000-000028330000}"/>
    <cellStyle name="40% - Accent2 7 4" xfId="3321" xr:uid="{00000000-0005-0000-0000-000029330000}"/>
    <cellStyle name="40% - Accent2 7 4 2" xfId="11947" xr:uid="{00000000-0005-0000-0000-00002A330000}"/>
    <cellStyle name="40% - Accent2 7 4 2 2" xfId="25662" xr:uid="{00000000-0005-0000-0000-00002B330000}"/>
    <cellStyle name="40% - Accent2 7 4 3" xfId="20646" xr:uid="{00000000-0005-0000-0000-00002C330000}"/>
    <cellStyle name="40% - Accent2 7 5" xfId="3322" xr:uid="{00000000-0005-0000-0000-00002D330000}"/>
    <cellStyle name="40% - Accent2 7 5 2" xfId="13524" xr:uid="{00000000-0005-0000-0000-00002E330000}"/>
    <cellStyle name="40% - Accent2 7 5 2 2" xfId="27073" xr:uid="{00000000-0005-0000-0000-00002F330000}"/>
    <cellStyle name="40% - Accent2 7 5 3" xfId="20647" xr:uid="{00000000-0005-0000-0000-000030330000}"/>
    <cellStyle name="40% - Accent2 7 6" xfId="3323" xr:uid="{00000000-0005-0000-0000-000031330000}"/>
    <cellStyle name="40% - Accent2 7 6 2" xfId="14105" xr:uid="{00000000-0005-0000-0000-000032330000}"/>
    <cellStyle name="40% - Accent2 7 6 2 2" xfId="27654" xr:uid="{00000000-0005-0000-0000-000033330000}"/>
    <cellStyle name="40% - Accent2 7 6 3" xfId="20648" xr:uid="{00000000-0005-0000-0000-000034330000}"/>
    <cellStyle name="40% - Accent2 7 7" xfId="3324" xr:uid="{00000000-0005-0000-0000-000035330000}"/>
    <cellStyle name="40% - Accent2 7 7 2" xfId="15991" xr:uid="{00000000-0005-0000-0000-000036330000}"/>
    <cellStyle name="40% - Accent2 7 7 2 2" xfId="29398" xr:uid="{00000000-0005-0000-0000-000037330000}"/>
    <cellStyle name="40% - Accent2 7 7 3" xfId="20649" xr:uid="{00000000-0005-0000-0000-000038330000}"/>
    <cellStyle name="40% - Accent2 7 8" xfId="9291" xr:uid="{00000000-0005-0000-0000-000039330000}"/>
    <cellStyle name="40% - Accent2 7 8 2" xfId="23766" xr:uid="{00000000-0005-0000-0000-00003A330000}"/>
    <cellStyle name="40% - Accent2 7 9" xfId="20636" xr:uid="{00000000-0005-0000-0000-00003B330000}"/>
    <cellStyle name="40% - Accent2 8" xfId="3325" xr:uid="{00000000-0005-0000-0000-00003C330000}"/>
    <cellStyle name="40% - Accent2 8 2" xfId="3326" xr:uid="{00000000-0005-0000-0000-00003D330000}"/>
    <cellStyle name="40% - Accent2 8 2 2" xfId="3327" xr:uid="{00000000-0005-0000-0000-00003E330000}"/>
    <cellStyle name="40% - Accent2 8 2 2 2" xfId="16719" xr:uid="{00000000-0005-0000-0000-00003F330000}"/>
    <cellStyle name="40% - Accent2 8 2 2 2 2" xfId="30126" xr:uid="{00000000-0005-0000-0000-000040330000}"/>
    <cellStyle name="40% - Accent2 8 2 2 3" xfId="20652" xr:uid="{00000000-0005-0000-0000-000041330000}"/>
    <cellStyle name="40% - Accent2 8 2 3" xfId="11020" xr:uid="{00000000-0005-0000-0000-000042330000}"/>
    <cellStyle name="40% - Accent2 8 2 3 2" xfId="24962" xr:uid="{00000000-0005-0000-0000-000043330000}"/>
    <cellStyle name="40% - Accent2 8 2 4" xfId="20651" xr:uid="{00000000-0005-0000-0000-000044330000}"/>
    <cellStyle name="40% - Accent2 8 3" xfId="3328" xr:uid="{00000000-0005-0000-0000-000045330000}"/>
    <cellStyle name="40% - Accent2 8 3 2" xfId="12097" xr:uid="{00000000-0005-0000-0000-000046330000}"/>
    <cellStyle name="40% - Accent2 8 3 2 2" xfId="25811" xr:uid="{00000000-0005-0000-0000-000047330000}"/>
    <cellStyle name="40% - Accent2 8 3 3" xfId="20653" xr:uid="{00000000-0005-0000-0000-000048330000}"/>
    <cellStyle name="40% - Accent2 8 4" xfId="3329" xr:uid="{00000000-0005-0000-0000-000049330000}"/>
    <cellStyle name="40% - Accent2 8 4 2" xfId="13671" xr:uid="{00000000-0005-0000-0000-00004A330000}"/>
    <cellStyle name="40% - Accent2 8 4 2 2" xfId="27220" xr:uid="{00000000-0005-0000-0000-00004B330000}"/>
    <cellStyle name="40% - Accent2 8 4 3" xfId="20654" xr:uid="{00000000-0005-0000-0000-00004C330000}"/>
    <cellStyle name="40% - Accent2 8 5" xfId="3330" xr:uid="{00000000-0005-0000-0000-00004D330000}"/>
    <cellStyle name="40% - Accent2 8 5 2" xfId="14252" xr:uid="{00000000-0005-0000-0000-00004E330000}"/>
    <cellStyle name="40% - Accent2 8 5 2 2" xfId="27801" xr:uid="{00000000-0005-0000-0000-00004F330000}"/>
    <cellStyle name="40% - Accent2 8 5 3" xfId="20655" xr:uid="{00000000-0005-0000-0000-000050330000}"/>
    <cellStyle name="40% - Accent2 8 6" xfId="3331" xr:uid="{00000000-0005-0000-0000-000051330000}"/>
    <cellStyle name="40% - Accent2 8 6 2" xfId="16138" xr:uid="{00000000-0005-0000-0000-000052330000}"/>
    <cellStyle name="40% - Accent2 8 6 2 2" xfId="29545" xr:uid="{00000000-0005-0000-0000-000053330000}"/>
    <cellStyle name="40% - Accent2 8 6 3" xfId="20656" xr:uid="{00000000-0005-0000-0000-000054330000}"/>
    <cellStyle name="40% - Accent2 8 7" xfId="9293" xr:uid="{00000000-0005-0000-0000-000055330000}"/>
    <cellStyle name="40% - Accent2 8 7 2" xfId="23768" xr:uid="{00000000-0005-0000-0000-000056330000}"/>
    <cellStyle name="40% - Accent2 8 8" xfId="20650" xr:uid="{00000000-0005-0000-0000-000057330000}"/>
    <cellStyle name="40% - Accent2 9" xfId="3332" xr:uid="{00000000-0005-0000-0000-000058330000}"/>
    <cellStyle name="40% - Accent2 9 2" xfId="3333" xr:uid="{00000000-0005-0000-0000-000059330000}"/>
    <cellStyle name="40% - Accent2 9 2 2" xfId="11717" xr:uid="{00000000-0005-0000-0000-00005A330000}"/>
    <cellStyle name="40% - Accent2 9 2 2 2" xfId="25437" xr:uid="{00000000-0005-0000-0000-00005B330000}"/>
    <cellStyle name="40% - Accent2 9 2 3" xfId="20658" xr:uid="{00000000-0005-0000-0000-00005C330000}"/>
    <cellStyle name="40% - Accent2 9 3" xfId="3334" xr:uid="{00000000-0005-0000-0000-00005D330000}"/>
    <cellStyle name="40% - Accent2 9 3 2" xfId="12534" xr:uid="{00000000-0005-0000-0000-00005E330000}"/>
    <cellStyle name="40% - Accent2 9 3 2 2" xfId="26246" xr:uid="{00000000-0005-0000-0000-00005F330000}"/>
    <cellStyle name="40% - Accent2 9 3 3" xfId="20659" xr:uid="{00000000-0005-0000-0000-000060330000}"/>
    <cellStyle name="40% - Accent2 9 4" xfId="3335" xr:uid="{00000000-0005-0000-0000-000061330000}"/>
    <cellStyle name="40% - Accent2 9 4 2" xfId="15167" xr:uid="{00000000-0005-0000-0000-000062330000}"/>
    <cellStyle name="40% - Accent2 9 4 2 2" xfId="28716" xr:uid="{00000000-0005-0000-0000-000063330000}"/>
    <cellStyle name="40% - Accent2 9 4 3" xfId="20660" xr:uid="{00000000-0005-0000-0000-000064330000}"/>
    <cellStyle name="40% - Accent2 9 5" xfId="3336" xr:uid="{00000000-0005-0000-0000-000065330000}"/>
    <cellStyle name="40% - Accent2 9 5 2" xfId="17103" xr:uid="{00000000-0005-0000-0000-000066330000}"/>
    <cellStyle name="40% - Accent2 9 5 2 2" xfId="30462" xr:uid="{00000000-0005-0000-0000-000067330000}"/>
    <cellStyle name="40% - Accent2 9 5 3" xfId="20661" xr:uid="{00000000-0005-0000-0000-000068330000}"/>
    <cellStyle name="40% - Accent2 9 6" xfId="10469" xr:uid="{00000000-0005-0000-0000-000069330000}"/>
    <cellStyle name="40% - Accent2 9 6 2" xfId="24428" xr:uid="{00000000-0005-0000-0000-00006A330000}"/>
    <cellStyle name="40% - Accent2 9 7" xfId="20657" xr:uid="{00000000-0005-0000-0000-00006B330000}"/>
    <cellStyle name="40% - Accent3" xfId="37" builtinId="39" customBuiltin="1"/>
    <cellStyle name="40% - Accent3 10" xfId="3337" xr:uid="{00000000-0005-0000-0000-00006D330000}"/>
    <cellStyle name="40% - Accent3 10 2" xfId="3338" xr:uid="{00000000-0005-0000-0000-00006E330000}"/>
    <cellStyle name="40% - Accent3 10 2 2" xfId="3339" xr:uid="{00000000-0005-0000-0000-00006F330000}"/>
    <cellStyle name="40% - Accent3 10 2 2 2" xfId="12792" xr:uid="{00000000-0005-0000-0000-000070330000}"/>
    <cellStyle name="40% - Accent3 10 2 2 2 2" xfId="26504" xr:uid="{00000000-0005-0000-0000-000071330000}"/>
    <cellStyle name="40% - Accent3 10 2 2 3" xfId="20664" xr:uid="{00000000-0005-0000-0000-000072330000}"/>
    <cellStyle name="40% - Accent3 10 2 3" xfId="3340" xr:uid="{00000000-0005-0000-0000-000073330000}"/>
    <cellStyle name="40% - Accent3 10 2 3 2" xfId="15170" xr:uid="{00000000-0005-0000-0000-000074330000}"/>
    <cellStyle name="40% - Accent3 10 2 3 2 2" xfId="28719" xr:uid="{00000000-0005-0000-0000-000075330000}"/>
    <cellStyle name="40% - Accent3 10 2 3 3" xfId="20665" xr:uid="{00000000-0005-0000-0000-000076330000}"/>
    <cellStyle name="40% - Accent3 10 2 4" xfId="11022" xr:uid="{00000000-0005-0000-0000-000077330000}"/>
    <cellStyle name="40% - Accent3 10 2 4 2" xfId="24964" xr:uid="{00000000-0005-0000-0000-000078330000}"/>
    <cellStyle name="40% - Accent3 10 2 5" xfId="20663" xr:uid="{00000000-0005-0000-0000-000079330000}"/>
    <cellStyle name="40% - Accent3 10 3" xfId="3341" xr:uid="{00000000-0005-0000-0000-00007A330000}"/>
    <cellStyle name="40% - Accent3 10 3 2" xfId="12706" xr:uid="{00000000-0005-0000-0000-00007B330000}"/>
    <cellStyle name="40% - Accent3 10 3 2 2" xfId="26418" xr:uid="{00000000-0005-0000-0000-00007C330000}"/>
    <cellStyle name="40% - Accent3 10 3 3" xfId="20666" xr:uid="{00000000-0005-0000-0000-00007D330000}"/>
    <cellStyle name="40% - Accent3 10 4" xfId="3342" xr:uid="{00000000-0005-0000-0000-00007E330000}"/>
    <cellStyle name="40% - Accent3 10 4 2" xfId="15169" xr:uid="{00000000-0005-0000-0000-00007F330000}"/>
    <cellStyle name="40% - Accent3 10 4 2 2" xfId="28718" xr:uid="{00000000-0005-0000-0000-000080330000}"/>
    <cellStyle name="40% - Accent3 10 4 3" xfId="20667" xr:uid="{00000000-0005-0000-0000-000081330000}"/>
    <cellStyle name="40% - Accent3 10 5" xfId="3343" xr:uid="{00000000-0005-0000-0000-000082330000}"/>
    <cellStyle name="40% - Accent3 10 5 2" xfId="17193" xr:uid="{00000000-0005-0000-0000-000083330000}"/>
    <cellStyle name="40% - Accent3 10 5 2 2" xfId="30552" xr:uid="{00000000-0005-0000-0000-000084330000}"/>
    <cellStyle name="40% - Accent3 10 5 3" xfId="20668" xr:uid="{00000000-0005-0000-0000-000085330000}"/>
    <cellStyle name="40% - Accent3 10 6" xfId="9295" xr:uid="{00000000-0005-0000-0000-000086330000}"/>
    <cellStyle name="40% - Accent3 10 6 2" xfId="23770" xr:uid="{00000000-0005-0000-0000-000087330000}"/>
    <cellStyle name="40% - Accent3 10 7" xfId="20662" xr:uid="{00000000-0005-0000-0000-000088330000}"/>
    <cellStyle name="40% - Accent3 11" xfId="3344" xr:uid="{00000000-0005-0000-0000-000089330000}"/>
    <cellStyle name="40% - Accent3 11 2" xfId="3345" xr:uid="{00000000-0005-0000-0000-00008A330000}"/>
    <cellStyle name="40% - Accent3 11 2 2" xfId="11023" xr:uid="{00000000-0005-0000-0000-00008B330000}"/>
    <cellStyle name="40% - Accent3 11 2 2 2" xfId="24965" xr:uid="{00000000-0005-0000-0000-00008C330000}"/>
    <cellStyle name="40% - Accent3 11 2 3" xfId="20670" xr:uid="{00000000-0005-0000-0000-00008D330000}"/>
    <cellStyle name="40% - Accent3 11 3" xfId="3346" xr:uid="{00000000-0005-0000-0000-00008E330000}"/>
    <cellStyle name="40% - Accent3 11 3 2" xfId="12625" xr:uid="{00000000-0005-0000-0000-00008F330000}"/>
    <cellStyle name="40% - Accent3 11 3 2 2" xfId="26337" xr:uid="{00000000-0005-0000-0000-000090330000}"/>
    <cellStyle name="40% - Accent3 11 3 3" xfId="20671" xr:uid="{00000000-0005-0000-0000-000091330000}"/>
    <cellStyle name="40% - Accent3 11 4" xfId="3347" xr:uid="{00000000-0005-0000-0000-000092330000}"/>
    <cellStyle name="40% - Accent3 11 4 2" xfId="15171" xr:uid="{00000000-0005-0000-0000-000093330000}"/>
    <cellStyle name="40% - Accent3 11 4 2 2" xfId="28720" xr:uid="{00000000-0005-0000-0000-000094330000}"/>
    <cellStyle name="40% - Accent3 11 4 3" xfId="20672" xr:uid="{00000000-0005-0000-0000-000095330000}"/>
    <cellStyle name="40% - Accent3 11 5" xfId="3348" xr:uid="{00000000-0005-0000-0000-000096330000}"/>
    <cellStyle name="40% - Accent3 11 5 2" xfId="17282" xr:uid="{00000000-0005-0000-0000-000097330000}"/>
    <cellStyle name="40% - Accent3 11 5 2 2" xfId="30641" xr:uid="{00000000-0005-0000-0000-000098330000}"/>
    <cellStyle name="40% - Accent3 11 5 3" xfId="20673" xr:uid="{00000000-0005-0000-0000-000099330000}"/>
    <cellStyle name="40% - Accent3 11 6" xfId="9296" xr:uid="{00000000-0005-0000-0000-00009A330000}"/>
    <cellStyle name="40% - Accent3 11 6 2" xfId="23771" xr:uid="{00000000-0005-0000-0000-00009B330000}"/>
    <cellStyle name="40% - Accent3 11 7" xfId="20669" xr:uid="{00000000-0005-0000-0000-00009C330000}"/>
    <cellStyle name="40% - Accent3 12" xfId="3349" xr:uid="{00000000-0005-0000-0000-00009D330000}"/>
    <cellStyle name="40% - Accent3 12 2" xfId="3350" xr:uid="{00000000-0005-0000-0000-00009E330000}"/>
    <cellStyle name="40% - Accent3 12 2 2" xfId="3351" xr:uid="{00000000-0005-0000-0000-00009F330000}"/>
    <cellStyle name="40% - Accent3 12 2 2 2" xfId="11025" xr:uid="{00000000-0005-0000-0000-0000A0330000}"/>
    <cellStyle name="40% - Accent3 12 2 2 2 2" xfId="24967" xr:uid="{00000000-0005-0000-0000-0000A1330000}"/>
    <cellStyle name="40% - Accent3 12 2 2 3" xfId="20676" xr:uid="{00000000-0005-0000-0000-0000A2330000}"/>
    <cellStyle name="40% - Accent3 12 2 3" xfId="3352" xr:uid="{00000000-0005-0000-0000-0000A3330000}"/>
    <cellStyle name="40% - Accent3 12 2 3 2" xfId="12637" xr:uid="{00000000-0005-0000-0000-0000A4330000}"/>
    <cellStyle name="40% - Accent3 12 2 3 2 2" xfId="26349" xr:uid="{00000000-0005-0000-0000-0000A5330000}"/>
    <cellStyle name="40% - Accent3 12 2 3 3" xfId="20677" xr:uid="{00000000-0005-0000-0000-0000A6330000}"/>
    <cellStyle name="40% - Accent3 12 2 4" xfId="3353" xr:uid="{00000000-0005-0000-0000-0000A7330000}"/>
    <cellStyle name="40% - Accent3 12 2 4 2" xfId="15173" xr:uid="{00000000-0005-0000-0000-0000A8330000}"/>
    <cellStyle name="40% - Accent3 12 2 4 2 2" xfId="28722" xr:uid="{00000000-0005-0000-0000-0000A9330000}"/>
    <cellStyle name="40% - Accent3 12 2 4 3" xfId="20678" xr:uid="{00000000-0005-0000-0000-0000AA330000}"/>
    <cellStyle name="40% - Accent3 12 2 5" xfId="9298" xr:uid="{00000000-0005-0000-0000-0000AB330000}"/>
    <cellStyle name="40% - Accent3 12 2 5 2" xfId="23773" xr:uid="{00000000-0005-0000-0000-0000AC330000}"/>
    <cellStyle name="40% - Accent3 12 2 6" xfId="20675" xr:uid="{00000000-0005-0000-0000-0000AD330000}"/>
    <cellStyle name="40% - Accent3 12 3" xfId="3354" xr:uid="{00000000-0005-0000-0000-0000AE330000}"/>
    <cellStyle name="40% - Accent3 12 3 2" xfId="11024" xr:uid="{00000000-0005-0000-0000-0000AF330000}"/>
    <cellStyle name="40% - Accent3 12 3 2 2" xfId="24966" xr:uid="{00000000-0005-0000-0000-0000B0330000}"/>
    <cellStyle name="40% - Accent3 12 3 3" xfId="20679" xr:uid="{00000000-0005-0000-0000-0000B1330000}"/>
    <cellStyle name="40% - Accent3 12 4" xfId="3355" xr:uid="{00000000-0005-0000-0000-0000B2330000}"/>
    <cellStyle name="40% - Accent3 12 4 2" xfId="11894" xr:uid="{00000000-0005-0000-0000-0000B3330000}"/>
    <cellStyle name="40% - Accent3 12 4 2 2" xfId="25609" xr:uid="{00000000-0005-0000-0000-0000B4330000}"/>
    <cellStyle name="40% - Accent3 12 4 3" xfId="20680" xr:uid="{00000000-0005-0000-0000-0000B5330000}"/>
    <cellStyle name="40% - Accent3 12 5" xfId="3356" xr:uid="{00000000-0005-0000-0000-0000B6330000}"/>
    <cellStyle name="40% - Accent3 12 5 2" xfId="15172" xr:uid="{00000000-0005-0000-0000-0000B7330000}"/>
    <cellStyle name="40% - Accent3 12 5 2 2" xfId="28721" xr:uid="{00000000-0005-0000-0000-0000B8330000}"/>
    <cellStyle name="40% - Accent3 12 5 3" xfId="20681" xr:uid="{00000000-0005-0000-0000-0000B9330000}"/>
    <cellStyle name="40% - Accent3 12 6" xfId="3357" xr:uid="{00000000-0005-0000-0000-0000BA330000}"/>
    <cellStyle name="40% - Accent3 12 6 2" xfId="16434" xr:uid="{00000000-0005-0000-0000-0000BB330000}"/>
    <cellStyle name="40% - Accent3 12 6 2 2" xfId="29841" xr:uid="{00000000-0005-0000-0000-0000BC330000}"/>
    <cellStyle name="40% - Accent3 12 6 3" xfId="20682" xr:uid="{00000000-0005-0000-0000-0000BD330000}"/>
    <cellStyle name="40% - Accent3 12 7" xfId="9297" xr:uid="{00000000-0005-0000-0000-0000BE330000}"/>
    <cellStyle name="40% - Accent3 12 7 2" xfId="23772" xr:uid="{00000000-0005-0000-0000-0000BF330000}"/>
    <cellStyle name="40% - Accent3 12 8" xfId="20674" xr:uid="{00000000-0005-0000-0000-0000C0330000}"/>
    <cellStyle name="40% - Accent3 13" xfId="3358" xr:uid="{00000000-0005-0000-0000-0000C1330000}"/>
    <cellStyle name="40% - Accent3 13 2" xfId="3359" xr:uid="{00000000-0005-0000-0000-0000C2330000}"/>
    <cellStyle name="40% - Accent3 13 2 2" xfId="11026" xr:uid="{00000000-0005-0000-0000-0000C3330000}"/>
    <cellStyle name="40% - Accent3 13 2 2 2" xfId="24968" xr:uid="{00000000-0005-0000-0000-0000C4330000}"/>
    <cellStyle name="40% - Accent3 13 2 3" xfId="20684" xr:uid="{00000000-0005-0000-0000-0000C5330000}"/>
    <cellStyle name="40% - Accent3 13 3" xfId="3360" xr:uid="{00000000-0005-0000-0000-0000C6330000}"/>
    <cellStyle name="40% - Accent3 13 3 2" xfId="11890" xr:uid="{00000000-0005-0000-0000-0000C7330000}"/>
    <cellStyle name="40% - Accent3 13 3 2 2" xfId="25605" xr:uid="{00000000-0005-0000-0000-0000C8330000}"/>
    <cellStyle name="40% - Accent3 13 3 3" xfId="20685" xr:uid="{00000000-0005-0000-0000-0000C9330000}"/>
    <cellStyle name="40% - Accent3 13 4" xfId="3361" xr:uid="{00000000-0005-0000-0000-0000CA330000}"/>
    <cellStyle name="40% - Accent3 13 4 2" xfId="15174" xr:uid="{00000000-0005-0000-0000-0000CB330000}"/>
    <cellStyle name="40% - Accent3 13 4 2 2" xfId="28723" xr:uid="{00000000-0005-0000-0000-0000CC330000}"/>
    <cellStyle name="40% - Accent3 13 4 3" xfId="20686" xr:uid="{00000000-0005-0000-0000-0000CD330000}"/>
    <cellStyle name="40% - Accent3 13 5" xfId="9299" xr:uid="{00000000-0005-0000-0000-0000CE330000}"/>
    <cellStyle name="40% - Accent3 13 5 2" xfId="23774" xr:uid="{00000000-0005-0000-0000-0000CF330000}"/>
    <cellStyle name="40% - Accent3 13 6" xfId="20683" xr:uid="{00000000-0005-0000-0000-0000D0330000}"/>
    <cellStyle name="40% - Accent3 14" xfId="3362" xr:uid="{00000000-0005-0000-0000-0000D1330000}"/>
    <cellStyle name="40% - Accent3 14 2" xfId="3363" xr:uid="{00000000-0005-0000-0000-0000D2330000}"/>
    <cellStyle name="40% - Accent3 14 2 2" xfId="11027" xr:uid="{00000000-0005-0000-0000-0000D3330000}"/>
    <cellStyle name="40% - Accent3 14 2 2 2" xfId="24969" xr:uid="{00000000-0005-0000-0000-0000D4330000}"/>
    <cellStyle name="40% - Accent3 14 2 3" xfId="20688" xr:uid="{00000000-0005-0000-0000-0000D5330000}"/>
    <cellStyle name="40% - Accent3 14 3" xfId="3364" xr:uid="{00000000-0005-0000-0000-0000D6330000}"/>
    <cellStyle name="40% - Accent3 14 3 2" xfId="12629" xr:uid="{00000000-0005-0000-0000-0000D7330000}"/>
    <cellStyle name="40% - Accent3 14 3 2 2" xfId="26341" xr:uid="{00000000-0005-0000-0000-0000D8330000}"/>
    <cellStyle name="40% - Accent3 14 3 3" xfId="20689" xr:uid="{00000000-0005-0000-0000-0000D9330000}"/>
    <cellStyle name="40% - Accent3 14 4" xfId="3365" xr:uid="{00000000-0005-0000-0000-0000DA330000}"/>
    <cellStyle name="40% - Accent3 14 4 2" xfId="15175" xr:uid="{00000000-0005-0000-0000-0000DB330000}"/>
    <cellStyle name="40% - Accent3 14 4 2 2" xfId="28724" xr:uid="{00000000-0005-0000-0000-0000DC330000}"/>
    <cellStyle name="40% - Accent3 14 4 3" xfId="20690" xr:uid="{00000000-0005-0000-0000-0000DD330000}"/>
    <cellStyle name="40% - Accent3 14 5" xfId="9300" xr:uid="{00000000-0005-0000-0000-0000DE330000}"/>
    <cellStyle name="40% - Accent3 14 5 2" xfId="23775" xr:uid="{00000000-0005-0000-0000-0000DF330000}"/>
    <cellStyle name="40% - Accent3 14 6" xfId="20687" xr:uid="{00000000-0005-0000-0000-0000E0330000}"/>
    <cellStyle name="40% - Accent3 15" xfId="3366" xr:uid="{00000000-0005-0000-0000-0000E1330000}"/>
    <cellStyle name="40% - Accent3 15 2" xfId="3367" xr:uid="{00000000-0005-0000-0000-0000E2330000}"/>
    <cellStyle name="40% - Accent3 15 2 2" xfId="11028" xr:uid="{00000000-0005-0000-0000-0000E3330000}"/>
    <cellStyle name="40% - Accent3 15 2 2 2" xfId="24970" xr:uid="{00000000-0005-0000-0000-0000E4330000}"/>
    <cellStyle name="40% - Accent3 15 2 3" xfId="20692" xr:uid="{00000000-0005-0000-0000-0000E5330000}"/>
    <cellStyle name="40% - Accent3 15 3" xfId="3368" xr:uid="{00000000-0005-0000-0000-0000E6330000}"/>
    <cellStyle name="40% - Accent3 15 3 2" xfId="12571" xr:uid="{00000000-0005-0000-0000-0000E7330000}"/>
    <cellStyle name="40% - Accent3 15 3 2 2" xfId="26283" xr:uid="{00000000-0005-0000-0000-0000E8330000}"/>
    <cellStyle name="40% - Accent3 15 3 3" xfId="20693" xr:uid="{00000000-0005-0000-0000-0000E9330000}"/>
    <cellStyle name="40% - Accent3 15 4" xfId="3369" xr:uid="{00000000-0005-0000-0000-0000EA330000}"/>
    <cellStyle name="40% - Accent3 15 4 2" xfId="15176" xr:uid="{00000000-0005-0000-0000-0000EB330000}"/>
    <cellStyle name="40% - Accent3 15 4 2 2" xfId="28725" xr:uid="{00000000-0005-0000-0000-0000EC330000}"/>
    <cellStyle name="40% - Accent3 15 4 3" xfId="20694" xr:uid="{00000000-0005-0000-0000-0000ED330000}"/>
    <cellStyle name="40% - Accent3 15 5" xfId="9301" xr:uid="{00000000-0005-0000-0000-0000EE330000}"/>
    <cellStyle name="40% - Accent3 15 5 2" xfId="23776" xr:uid="{00000000-0005-0000-0000-0000EF330000}"/>
    <cellStyle name="40% - Accent3 15 6" xfId="20691" xr:uid="{00000000-0005-0000-0000-0000F0330000}"/>
    <cellStyle name="40% - Accent3 16" xfId="3370" xr:uid="{00000000-0005-0000-0000-0000F1330000}"/>
    <cellStyle name="40% - Accent3 16 2" xfId="3371" xr:uid="{00000000-0005-0000-0000-0000F2330000}"/>
    <cellStyle name="40% - Accent3 16 2 2" xfId="11029" xr:uid="{00000000-0005-0000-0000-0000F3330000}"/>
    <cellStyle name="40% - Accent3 16 2 2 2" xfId="24971" xr:uid="{00000000-0005-0000-0000-0000F4330000}"/>
    <cellStyle name="40% - Accent3 16 2 3" xfId="20696" xr:uid="{00000000-0005-0000-0000-0000F5330000}"/>
    <cellStyle name="40% - Accent3 16 3" xfId="3372" xr:uid="{00000000-0005-0000-0000-0000F6330000}"/>
    <cellStyle name="40% - Accent3 16 3 2" xfId="11862" xr:uid="{00000000-0005-0000-0000-0000F7330000}"/>
    <cellStyle name="40% - Accent3 16 3 2 2" xfId="25577" xr:uid="{00000000-0005-0000-0000-0000F8330000}"/>
    <cellStyle name="40% - Accent3 16 3 3" xfId="20697" xr:uid="{00000000-0005-0000-0000-0000F9330000}"/>
    <cellStyle name="40% - Accent3 16 4" xfId="3373" xr:uid="{00000000-0005-0000-0000-0000FA330000}"/>
    <cellStyle name="40% - Accent3 16 4 2" xfId="15177" xr:uid="{00000000-0005-0000-0000-0000FB330000}"/>
    <cellStyle name="40% - Accent3 16 4 2 2" xfId="28726" xr:uid="{00000000-0005-0000-0000-0000FC330000}"/>
    <cellStyle name="40% - Accent3 16 4 3" xfId="20698" xr:uid="{00000000-0005-0000-0000-0000FD330000}"/>
    <cellStyle name="40% - Accent3 16 5" xfId="9302" xr:uid="{00000000-0005-0000-0000-0000FE330000}"/>
    <cellStyle name="40% - Accent3 16 5 2" xfId="23777" xr:uid="{00000000-0005-0000-0000-0000FF330000}"/>
    <cellStyle name="40% - Accent3 16 6" xfId="20695" xr:uid="{00000000-0005-0000-0000-000000340000}"/>
    <cellStyle name="40% - Accent3 17" xfId="3374" xr:uid="{00000000-0005-0000-0000-000001340000}"/>
    <cellStyle name="40% - Accent3 17 2" xfId="3375" xr:uid="{00000000-0005-0000-0000-000002340000}"/>
    <cellStyle name="40% - Accent3 17 2 2" xfId="11030" xr:uid="{00000000-0005-0000-0000-000003340000}"/>
    <cellStyle name="40% - Accent3 17 2 2 2" xfId="24972" xr:uid="{00000000-0005-0000-0000-000004340000}"/>
    <cellStyle name="40% - Accent3 17 2 3" xfId="20700" xr:uid="{00000000-0005-0000-0000-000005340000}"/>
    <cellStyle name="40% - Accent3 17 3" xfId="3376" xr:uid="{00000000-0005-0000-0000-000006340000}"/>
    <cellStyle name="40% - Accent3 17 3 2" xfId="11793" xr:uid="{00000000-0005-0000-0000-000007340000}"/>
    <cellStyle name="40% - Accent3 17 3 2 2" xfId="25508" xr:uid="{00000000-0005-0000-0000-000008340000}"/>
    <cellStyle name="40% - Accent3 17 3 3" xfId="20701" xr:uid="{00000000-0005-0000-0000-000009340000}"/>
    <cellStyle name="40% - Accent3 17 4" xfId="3377" xr:uid="{00000000-0005-0000-0000-00000A340000}"/>
    <cellStyle name="40% - Accent3 17 4 2" xfId="15178" xr:uid="{00000000-0005-0000-0000-00000B340000}"/>
    <cellStyle name="40% - Accent3 17 4 2 2" xfId="28727" xr:uid="{00000000-0005-0000-0000-00000C340000}"/>
    <cellStyle name="40% - Accent3 17 4 3" xfId="20702" xr:uid="{00000000-0005-0000-0000-00000D340000}"/>
    <cellStyle name="40% - Accent3 17 5" xfId="9303" xr:uid="{00000000-0005-0000-0000-00000E340000}"/>
    <cellStyle name="40% - Accent3 17 5 2" xfId="23778" xr:uid="{00000000-0005-0000-0000-00000F340000}"/>
    <cellStyle name="40% - Accent3 17 6" xfId="20699" xr:uid="{00000000-0005-0000-0000-000010340000}"/>
    <cellStyle name="40% - Accent3 18" xfId="3378" xr:uid="{00000000-0005-0000-0000-000011340000}"/>
    <cellStyle name="40% - Accent3 18 2" xfId="3379" xr:uid="{00000000-0005-0000-0000-000012340000}"/>
    <cellStyle name="40% - Accent3 18 2 2" xfId="11031" xr:uid="{00000000-0005-0000-0000-000013340000}"/>
    <cellStyle name="40% - Accent3 18 2 2 2" xfId="24973" xr:uid="{00000000-0005-0000-0000-000014340000}"/>
    <cellStyle name="40% - Accent3 18 2 3" xfId="20704" xr:uid="{00000000-0005-0000-0000-000015340000}"/>
    <cellStyle name="40% - Accent3 18 3" xfId="3380" xr:uid="{00000000-0005-0000-0000-000016340000}"/>
    <cellStyle name="40% - Accent3 18 3 2" xfId="12617" xr:uid="{00000000-0005-0000-0000-000017340000}"/>
    <cellStyle name="40% - Accent3 18 3 2 2" xfId="26329" xr:uid="{00000000-0005-0000-0000-000018340000}"/>
    <cellStyle name="40% - Accent3 18 3 3" xfId="20705" xr:uid="{00000000-0005-0000-0000-000019340000}"/>
    <cellStyle name="40% - Accent3 18 4" xfId="3381" xr:uid="{00000000-0005-0000-0000-00001A340000}"/>
    <cellStyle name="40% - Accent3 18 4 2" xfId="15179" xr:uid="{00000000-0005-0000-0000-00001B340000}"/>
    <cellStyle name="40% - Accent3 18 4 2 2" xfId="28728" xr:uid="{00000000-0005-0000-0000-00001C340000}"/>
    <cellStyle name="40% - Accent3 18 4 3" xfId="20706" xr:uid="{00000000-0005-0000-0000-00001D340000}"/>
    <cellStyle name="40% - Accent3 18 5" xfId="9304" xr:uid="{00000000-0005-0000-0000-00001E340000}"/>
    <cellStyle name="40% - Accent3 18 5 2" xfId="23779" xr:uid="{00000000-0005-0000-0000-00001F340000}"/>
    <cellStyle name="40% - Accent3 18 6" xfId="20703" xr:uid="{00000000-0005-0000-0000-000020340000}"/>
    <cellStyle name="40% - Accent3 19" xfId="3382" xr:uid="{00000000-0005-0000-0000-000021340000}"/>
    <cellStyle name="40% - Accent3 19 2" xfId="3383" xr:uid="{00000000-0005-0000-0000-000022340000}"/>
    <cellStyle name="40% - Accent3 19 2 2" xfId="11718" xr:uid="{00000000-0005-0000-0000-000023340000}"/>
    <cellStyle name="40% - Accent3 19 2 2 2" xfId="25438" xr:uid="{00000000-0005-0000-0000-000024340000}"/>
    <cellStyle name="40% - Accent3 19 2 3" xfId="20708" xr:uid="{00000000-0005-0000-0000-000025340000}"/>
    <cellStyle name="40% - Accent3 19 3" xfId="3384" xr:uid="{00000000-0005-0000-0000-000026340000}"/>
    <cellStyle name="40% - Accent3 19 3 2" xfId="12807" xr:uid="{00000000-0005-0000-0000-000027340000}"/>
    <cellStyle name="40% - Accent3 19 3 2 2" xfId="26519" xr:uid="{00000000-0005-0000-0000-000028340000}"/>
    <cellStyle name="40% - Accent3 19 3 3" xfId="20709" xr:uid="{00000000-0005-0000-0000-000029340000}"/>
    <cellStyle name="40% - Accent3 19 4" xfId="3385" xr:uid="{00000000-0005-0000-0000-00002A340000}"/>
    <cellStyle name="40% - Accent3 19 4 2" xfId="15180" xr:uid="{00000000-0005-0000-0000-00002B340000}"/>
    <cellStyle name="40% - Accent3 19 4 2 2" xfId="28729" xr:uid="{00000000-0005-0000-0000-00002C340000}"/>
    <cellStyle name="40% - Accent3 19 4 3" xfId="20710" xr:uid="{00000000-0005-0000-0000-00002D340000}"/>
    <cellStyle name="40% - Accent3 19 5" xfId="10470" xr:uid="{00000000-0005-0000-0000-00002E340000}"/>
    <cellStyle name="40% - Accent3 19 5 2" xfId="24429" xr:uid="{00000000-0005-0000-0000-00002F340000}"/>
    <cellStyle name="40% - Accent3 19 6" xfId="20707" xr:uid="{00000000-0005-0000-0000-000030340000}"/>
    <cellStyle name="40% - Accent3 2" xfId="3386" xr:uid="{00000000-0005-0000-0000-000031340000}"/>
    <cellStyle name="40% - Accent3 2 10" xfId="3387" xr:uid="{00000000-0005-0000-0000-000032340000}"/>
    <cellStyle name="40% - Accent3 2 10 2" xfId="3388" xr:uid="{00000000-0005-0000-0000-000033340000}"/>
    <cellStyle name="40% - Accent3 2 10 2 2" xfId="15182" xr:uid="{00000000-0005-0000-0000-000034340000}"/>
    <cellStyle name="40% - Accent3 2 10 2 2 2" xfId="28731" xr:uid="{00000000-0005-0000-0000-000035340000}"/>
    <cellStyle name="40% - Accent3 2 10 2 3" xfId="20713" xr:uid="{00000000-0005-0000-0000-000036340000}"/>
    <cellStyle name="40% - Accent3 2 10 3" xfId="11841" xr:uid="{00000000-0005-0000-0000-000037340000}"/>
    <cellStyle name="40% - Accent3 2 10 3 2" xfId="25556" xr:uid="{00000000-0005-0000-0000-000038340000}"/>
    <cellStyle name="40% - Accent3 2 10 4" xfId="20712" xr:uid="{00000000-0005-0000-0000-000039340000}"/>
    <cellStyle name="40% - Accent3 2 11" xfId="3389" xr:uid="{00000000-0005-0000-0000-00003A340000}"/>
    <cellStyle name="40% - Accent3 2 11 2" xfId="11751" xr:uid="{00000000-0005-0000-0000-00003B340000}"/>
    <cellStyle name="40% - Accent3 2 11 2 2" xfId="25466" xr:uid="{00000000-0005-0000-0000-00003C340000}"/>
    <cellStyle name="40% - Accent3 2 11 3" xfId="20714" xr:uid="{00000000-0005-0000-0000-00003D340000}"/>
    <cellStyle name="40% - Accent3 2 12" xfId="3390" xr:uid="{00000000-0005-0000-0000-00003E340000}"/>
    <cellStyle name="40% - Accent3 2 12 2" xfId="13440" xr:uid="{00000000-0005-0000-0000-00003F340000}"/>
    <cellStyle name="40% - Accent3 2 12 2 2" xfId="26989" xr:uid="{00000000-0005-0000-0000-000040340000}"/>
    <cellStyle name="40% - Accent3 2 12 3" xfId="20715" xr:uid="{00000000-0005-0000-0000-000041340000}"/>
    <cellStyle name="40% - Accent3 2 13" xfId="3391" xr:uid="{00000000-0005-0000-0000-000042340000}"/>
    <cellStyle name="40% - Accent3 2 13 2" xfId="14021" xr:uid="{00000000-0005-0000-0000-000043340000}"/>
    <cellStyle name="40% - Accent3 2 13 2 2" xfId="27570" xr:uid="{00000000-0005-0000-0000-000044340000}"/>
    <cellStyle name="40% - Accent3 2 13 3" xfId="20716" xr:uid="{00000000-0005-0000-0000-000045340000}"/>
    <cellStyle name="40% - Accent3 2 14" xfId="3392" xr:uid="{00000000-0005-0000-0000-000046340000}"/>
    <cellStyle name="40% - Accent3 2 14 2" xfId="15181" xr:uid="{00000000-0005-0000-0000-000047340000}"/>
    <cellStyle name="40% - Accent3 2 14 2 2" xfId="28730" xr:uid="{00000000-0005-0000-0000-000048340000}"/>
    <cellStyle name="40% - Accent3 2 14 3" xfId="20717" xr:uid="{00000000-0005-0000-0000-000049340000}"/>
    <cellStyle name="40% - Accent3 2 15" xfId="3393" xr:uid="{00000000-0005-0000-0000-00004A340000}"/>
    <cellStyle name="40% - Accent3 2 15 2" xfId="15907" xr:uid="{00000000-0005-0000-0000-00004B340000}"/>
    <cellStyle name="40% - Accent3 2 15 2 2" xfId="29314" xr:uid="{00000000-0005-0000-0000-00004C340000}"/>
    <cellStyle name="40% - Accent3 2 15 3" xfId="20718" xr:uid="{00000000-0005-0000-0000-00004D340000}"/>
    <cellStyle name="40% - Accent3 2 16" xfId="9305" xr:uid="{00000000-0005-0000-0000-00004E340000}"/>
    <cellStyle name="40% - Accent3 2 16 2" xfId="23780" xr:uid="{00000000-0005-0000-0000-00004F340000}"/>
    <cellStyle name="40% - Accent3 2 17" xfId="20711" xr:uid="{00000000-0005-0000-0000-000050340000}"/>
    <cellStyle name="40% - Accent3 2 18" xfId="33071" xr:uid="{00000000-0005-0000-0000-000051340000}"/>
    <cellStyle name="40% - Accent3 2 2" xfId="3394" xr:uid="{00000000-0005-0000-0000-000052340000}"/>
    <cellStyle name="40% - Accent3 2 2 10" xfId="3395" xr:uid="{00000000-0005-0000-0000-000053340000}"/>
    <cellStyle name="40% - Accent3 2 2 10 2" xfId="15183" xr:uid="{00000000-0005-0000-0000-000054340000}"/>
    <cellStyle name="40% - Accent3 2 2 10 2 2" xfId="28732" xr:uid="{00000000-0005-0000-0000-000055340000}"/>
    <cellStyle name="40% - Accent3 2 2 10 3" xfId="20720" xr:uid="{00000000-0005-0000-0000-000056340000}"/>
    <cellStyle name="40% - Accent3 2 2 11" xfId="3396" xr:uid="{00000000-0005-0000-0000-000057340000}"/>
    <cellStyle name="40% - Accent3 2 2 11 2" xfId="15953" xr:uid="{00000000-0005-0000-0000-000058340000}"/>
    <cellStyle name="40% - Accent3 2 2 11 2 2" xfId="29360" xr:uid="{00000000-0005-0000-0000-000059340000}"/>
    <cellStyle name="40% - Accent3 2 2 11 3" xfId="20721" xr:uid="{00000000-0005-0000-0000-00005A340000}"/>
    <cellStyle name="40% - Accent3 2 2 12" xfId="9306" xr:uid="{00000000-0005-0000-0000-00005B340000}"/>
    <cellStyle name="40% - Accent3 2 2 12 2" xfId="23781" xr:uid="{00000000-0005-0000-0000-00005C340000}"/>
    <cellStyle name="40% - Accent3 2 2 13" xfId="20719" xr:uid="{00000000-0005-0000-0000-00005D340000}"/>
    <cellStyle name="40% - Accent3 2 2 2" xfId="3397" xr:uid="{00000000-0005-0000-0000-00005E340000}"/>
    <cellStyle name="40% - Accent3 2 2 2 10" xfId="3398" xr:uid="{00000000-0005-0000-0000-00005F340000}"/>
    <cellStyle name="40% - Accent3 2 2 2 10 2" xfId="16096" xr:uid="{00000000-0005-0000-0000-000060340000}"/>
    <cellStyle name="40% - Accent3 2 2 2 10 2 2" xfId="29503" xr:uid="{00000000-0005-0000-0000-000061340000}"/>
    <cellStyle name="40% - Accent3 2 2 2 10 3" xfId="20723" xr:uid="{00000000-0005-0000-0000-000062340000}"/>
    <cellStyle name="40% - Accent3 2 2 2 11" xfId="9307" xr:uid="{00000000-0005-0000-0000-000063340000}"/>
    <cellStyle name="40% - Accent3 2 2 2 11 2" xfId="23782" xr:uid="{00000000-0005-0000-0000-000064340000}"/>
    <cellStyle name="40% - Accent3 2 2 2 12" xfId="20722" xr:uid="{00000000-0005-0000-0000-000065340000}"/>
    <cellStyle name="40% - Accent3 2 2 2 2" xfId="3399" xr:uid="{00000000-0005-0000-0000-000066340000}"/>
    <cellStyle name="40% - Accent3 2 2 2 2 10" xfId="9308" xr:uid="{00000000-0005-0000-0000-000067340000}"/>
    <cellStyle name="40% - Accent3 2 2 2 2 10 2" xfId="23783" xr:uid="{00000000-0005-0000-0000-000068340000}"/>
    <cellStyle name="40% - Accent3 2 2 2 2 11" xfId="20724" xr:uid="{00000000-0005-0000-0000-000069340000}"/>
    <cellStyle name="40% - Accent3 2 2 2 2 2" xfId="3400" xr:uid="{00000000-0005-0000-0000-00006A340000}"/>
    <cellStyle name="40% - Accent3 2 2 2 2 2 2" xfId="3401" xr:uid="{00000000-0005-0000-0000-00006B340000}"/>
    <cellStyle name="40% - Accent3 2 2 2 2 2 2 2" xfId="11036" xr:uid="{00000000-0005-0000-0000-00006C340000}"/>
    <cellStyle name="40% - Accent3 2 2 2 2 2 2 2 2" xfId="24978" xr:uid="{00000000-0005-0000-0000-00006D340000}"/>
    <cellStyle name="40% - Accent3 2 2 2 2 2 2 3" xfId="20726" xr:uid="{00000000-0005-0000-0000-00006E340000}"/>
    <cellStyle name="40% - Accent3 2 2 2 2 2 3" xfId="3402" xr:uid="{00000000-0005-0000-0000-00006F340000}"/>
    <cellStyle name="40% - Accent3 2 2 2 2 2 3 2" xfId="12670" xr:uid="{00000000-0005-0000-0000-000070340000}"/>
    <cellStyle name="40% - Accent3 2 2 2 2 2 3 2 2" xfId="26382" xr:uid="{00000000-0005-0000-0000-000071340000}"/>
    <cellStyle name="40% - Accent3 2 2 2 2 2 3 3" xfId="20727" xr:uid="{00000000-0005-0000-0000-000072340000}"/>
    <cellStyle name="40% - Accent3 2 2 2 2 2 4" xfId="3403" xr:uid="{00000000-0005-0000-0000-000073340000}"/>
    <cellStyle name="40% - Accent3 2 2 2 2 2 4 2" xfId="15186" xr:uid="{00000000-0005-0000-0000-000074340000}"/>
    <cellStyle name="40% - Accent3 2 2 2 2 2 4 2 2" xfId="28735" xr:uid="{00000000-0005-0000-0000-000075340000}"/>
    <cellStyle name="40% - Accent3 2 2 2 2 2 4 3" xfId="20728" xr:uid="{00000000-0005-0000-0000-000076340000}"/>
    <cellStyle name="40% - Accent3 2 2 2 2 2 5" xfId="3404" xr:uid="{00000000-0005-0000-0000-000077340000}"/>
    <cellStyle name="40% - Accent3 2 2 2 2 2 5 2" xfId="16966" xr:uid="{00000000-0005-0000-0000-000078340000}"/>
    <cellStyle name="40% - Accent3 2 2 2 2 2 5 2 2" xfId="30373" xr:uid="{00000000-0005-0000-0000-000079340000}"/>
    <cellStyle name="40% - Accent3 2 2 2 2 2 5 3" xfId="20729" xr:uid="{00000000-0005-0000-0000-00007A340000}"/>
    <cellStyle name="40% - Accent3 2 2 2 2 2 6" xfId="9309" xr:uid="{00000000-0005-0000-0000-00007B340000}"/>
    <cellStyle name="40% - Accent3 2 2 2 2 2 6 2" xfId="23784" xr:uid="{00000000-0005-0000-0000-00007C340000}"/>
    <cellStyle name="40% - Accent3 2 2 2 2 2 7" xfId="20725" xr:uid="{00000000-0005-0000-0000-00007D340000}"/>
    <cellStyle name="40% - Accent3 2 2 2 2 3" xfId="3405" xr:uid="{00000000-0005-0000-0000-00007E340000}"/>
    <cellStyle name="40% - Accent3 2 2 2 2 3 2" xfId="3406" xr:uid="{00000000-0005-0000-0000-00007F340000}"/>
    <cellStyle name="40% - Accent3 2 2 2 2 3 2 2" xfId="15187" xr:uid="{00000000-0005-0000-0000-000080340000}"/>
    <cellStyle name="40% - Accent3 2 2 2 2 3 2 2 2" xfId="28736" xr:uid="{00000000-0005-0000-0000-000081340000}"/>
    <cellStyle name="40% - Accent3 2 2 2 2 3 2 3" xfId="20731" xr:uid="{00000000-0005-0000-0000-000082340000}"/>
    <cellStyle name="40% - Accent3 2 2 2 2 3 3" xfId="11035" xr:uid="{00000000-0005-0000-0000-000083340000}"/>
    <cellStyle name="40% - Accent3 2 2 2 2 3 3 2" xfId="24977" xr:uid="{00000000-0005-0000-0000-000084340000}"/>
    <cellStyle name="40% - Accent3 2 2 2 2 3 4" xfId="20730" xr:uid="{00000000-0005-0000-0000-000085340000}"/>
    <cellStyle name="40% - Accent3 2 2 2 2 4" xfId="3407" xr:uid="{00000000-0005-0000-0000-000086340000}"/>
    <cellStyle name="40% - Accent3 2 2 2 2 4 2" xfId="12354" xr:uid="{00000000-0005-0000-0000-000087340000}"/>
    <cellStyle name="40% - Accent3 2 2 2 2 4 2 2" xfId="26066" xr:uid="{00000000-0005-0000-0000-000088340000}"/>
    <cellStyle name="40% - Accent3 2 2 2 2 4 3" xfId="20732" xr:uid="{00000000-0005-0000-0000-000089340000}"/>
    <cellStyle name="40% - Accent3 2 2 2 2 5" xfId="3408" xr:uid="{00000000-0005-0000-0000-00008A340000}"/>
    <cellStyle name="40% - Accent3 2 2 2 2 5 2" xfId="12633" xr:uid="{00000000-0005-0000-0000-00008B340000}"/>
    <cellStyle name="40% - Accent3 2 2 2 2 5 2 2" xfId="26345" xr:uid="{00000000-0005-0000-0000-00008C340000}"/>
    <cellStyle name="40% - Accent3 2 2 2 2 5 3" xfId="20733" xr:uid="{00000000-0005-0000-0000-00008D340000}"/>
    <cellStyle name="40% - Accent3 2 2 2 2 6" xfId="3409" xr:uid="{00000000-0005-0000-0000-00008E340000}"/>
    <cellStyle name="40% - Accent3 2 2 2 2 6 2" xfId="13918" xr:uid="{00000000-0005-0000-0000-00008F340000}"/>
    <cellStyle name="40% - Accent3 2 2 2 2 6 2 2" xfId="27467" xr:uid="{00000000-0005-0000-0000-000090340000}"/>
    <cellStyle name="40% - Accent3 2 2 2 2 6 3" xfId="20734" xr:uid="{00000000-0005-0000-0000-000091340000}"/>
    <cellStyle name="40% - Accent3 2 2 2 2 7" xfId="3410" xr:uid="{00000000-0005-0000-0000-000092340000}"/>
    <cellStyle name="40% - Accent3 2 2 2 2 7 2" xfId="14499" xr:uid="{00000000-0005-0000-0000-000093340000}"/>
    <cellStyle name="40% - Accent3 2 2 2 2 7 2 2" xfId="28048" xr:uid="{00000000-0005-0000-0000-000094340000}"/>
    <cellStyle name="40% - Accent3 2 2 2 2 7 3" xfId="20735" xr:uid="{00000000-0005-0000-0000-000095340000}"/>
    <cellStyle name="40% - Accent3 2 2 2 2 8" xfId="3411" xr:uid="{00000000-0005-0000-0000-000096340000}"/>
    <cellStyle name="40% - Accent3 2 2 2 2 8 2" xfId="15185" xr:uid="{00000000-0005-0000-0000-000097340000}"/>
    <cellStyle name="40% - Accent3 2 2 2 2 8 2 2" xfId="28734" xr:uid="{00000000-0005-0000-0000-000098340000}"/>
    <cellStyle name="40% - Accent3 2 2 2 2 8 3" xfId="20736" xr:uid="{00000000-0005-0000-0000-000099340000}"/>
    <cellStyle name="40% - Accent3 2 2 2 2 9" xfId="3412" xr:uid="{00000000-0005-0000-0000-00009A340000}"/>
    <cellStyle name="40% - Accent3 2 2 2 2 9 2" xfId="16385" xr:uid="{00000000-0005-0000-0000-00009B340000}"/>
    <cellStyle name="40% - Accent3 2 2 2 2 9 2 2" xfId="29792" xr:uid="{00000000-0005-0000-0000-00009C340000}"/>
    <cellStyle name="40% - Accent3 2 2 2 2 9 3" xfId="20737" xr:uid="{00000000-0005-0000-0000-00009D340000}"/>
    <cellStyle name="40% - Accent3 2 2 2 3" xfId="3413" xr:uid="{00000000-0005-0000-0000-00009E340000}"/>
    <cellStyle name="40% - Accent3 2 2 2 3 2" xfId="3414" xr:uid="{00000000-0005-0000-0000-00009F340000}"/>
    <cellStyle name="40% - Accent3 2 2 2 3 2 2" xfId="11037" xr:uid="{00000000-0005-0000-0000-0000A0340000}"/>
    <cellStyle name="40% - Accent3 2 2 2 3 2 2 2" xfId="24979" xr:uid="{00000000-0005-0000-0000-0000A1340000}"/>
    <cellStyle name="40% - Accent3 2 2 2 3 2 3" xfId="20739" xr:uid="{00000000-0005-0000-0000-0000A2340000}"/>
    <cellStyle name="40% - Accent3 2 2 2 3 3" xfId="3415" xr:uid="{00000000-0005-0000-0000-0000A3340000}"/>
    <cellStyle name="40% - Accent3 2 2 2 3 3 2" xfId="12492" xr:uid="{00000000-0005-0000-0000-0000A4340000}"/>
    <cellStyle name="40% - Accent3 2 2 2 3 3 2 2" xfId="26204" xr:uid="{00000000-0005-0000-0000-0000A5340000}"/>
    <cellStyle name="40% - Accent3 2 2 2 3 3 3" xfId="20740" xr:uid="{00000000-0005-0000-0000-0000A6340000}"/>
    <cellStyle name="40% - Accent3 2 2 2 3 4" xfId="3416" xr:uid="{00000000-0005-0000-0000-0000A7340000}"/>
    <cellStyle name="40% - Accent3 2 2 2 3 4 2" xfId="15188" xr:uid="{00000000-0005-0000-0000-0000A8340000}"/>
    <cellStyle name="40% - Accent3 2 2 2 3 4 2 2" xfId="28737" xr:uid="{00000000-0005-0000-0000-0000A9340000}"/>
    <cellStyle name="40% - Accent3 2 2 2 3 4 3" xfId="20741" xr:uid="{00000000-0005-0000-0000-0000AA340000}"/>
    <cellStyle name="40% - Accent3 2 2 2 3 5" xfId="3417" xr:uid="{00000000-0005-0000-0000-0000AB340000}"/>
    <cellStyle name="40% - Accent3 2 2 2 3 5 2" xfId="16677" xr:uid="{00000000-0005-0000-0000-0000AC340000}"/>
    <cellStyle name="40% - Accent3 2 2 2 3 5 2 2" xfId="30084" xr:uid="{00000000-0005-0000-0000-0000AD340000}"/>
    <cellStyle name="40% - Accent3 2 2 2 3 5 3" xfId="20742" xr:uid="{00000000-0005-0000-0000-0000AE340000}"/>
    <cellStyle name="40% - Accent3 2 2 2 3 6" xfId="9310" xr:uid="{00000000-0005-0000-0000-0000AF340000}"/>
    <cellStyle name="40% - Accent3 2 2 2 3 6 2" xfId="23785" xr:uid="{00000000-0005-0000-0000-0000B0340000}"/>
    <cellStyle name="40% - Accent3 2 2 2 3 7" xfId="20738" xr:uid="{00000000-0005-0000-0000-0000B1340000}"/>
    <cellStyle name="40% - Accent3 2 2 2 4" xfId="3418" xr:uid="{00000000-0005-0000-0000-0000B2340000}"/>
    <cellStyle name="40% - Accent3 2 2 2 4 2" xfId="3419" xr:uid="{00000000-0005-0000-0000-0000B3340000}"/>
    <cellStyle name="40% - Accent3 2 2 2 4 2 2" xfId="15189" xr:uid="{00000000-0005-0000-0000-0000B4340000}"/>
    <cellStyle name="40% - Accent3 2 2 2 4 2 2 2" xfId="28738" xr:uid="{00000000-0005-0000-0000-0000B5340000}"/>
    <cellStyle name="40% - Accent3 2 2 2 4 2 3" xfId="20744" xr:uid="{00000000-0005-0000-0000-0000B6340000}"/>
    <cellStyle name="40% - Accent3 2 2 2 4 3" xfId="11034" xr:uid="{00000000-0005-0000-0000-0000B7340000}"/>
    <cellStyle name="40% - Accent3 2 2 2 4 3 2" xfId="24976" xr:uid="{00000000-0005-0000-0000-0000B8340000}"/>
    <cellStyle name="40% - Accent3 2 2 2 4 4" xfId="20743" xr:uid="{00000000-0005-0000-0000-0000B9340000}"/>
    <cellStyle name="40% - Accent3 2 2 2 5" xfId="3420" xr:uid="{00000000-0005-0000-0000-0000BA340000}"/>
    <cellStyle name="40% - Accent3 2 2 2 5 2" xfId="12054" xr:uid="{00000000-0005-0000-0000-0000BB340000}"/>
    <cellStyle name="40% - Accent3 2 2 2 5 2 2" xfId="25769" xr:uid="{00000000-0005-0000-0000-0000BC340000}"/>
    <cellStyle name="40% - Accent3 2 2 2 5 3" xfId="20745" xr:uid="{00000000-0005-0000-0000-0000BD340000}"/>
    <cellStyle name="40% - Accent3 2 2 2 6" xfId="3421" xr:uid="{00000000-0005-0000-0000-0000BE340000}"/>
    <cellStyle name="40% - Accent3 2 2 2 6 2" xfId="12468" xr:uid="{00000000-0005-0000-0000-0000BF340000}"/>
    <cellStyle name="40% - Accent3 2 2 2 6 2 2" xfId="26180" xr:uid="{00000000-0005-0000-0000-0000C0340000}"/>
    <cellStyle name="40% - Accent3 2 2 2 6 3" xfId="20746" xr:uid="{00000000-0005-0000-0000-0000C1340000}"/>
    <cellStyle name="40% - Accent3 2 2 2 7" xfId="3422" xr:uid="{00000000-0005-0000-0000-0000C2340000}"/>
    <cellStyle name="40% - Accent3 2 2 2 7 2" xfId="13629" xr:uid="{00000000-0005-0000-0000-0000C3340000}"/>
    <cellStyle name="40% - Accent3 2 2 2 7 2 2" xfId="27178" xr:uid="{00000000-0005-0000-0000-0000C4340000}"/>
    <cellStyle name="40% - Accent3 2 2 2 7 3" xfId="20747" xr:uid="{00000000-0005-0000-0000-0000C5340000}"/>
    <cellStyle name="40% - Accent3 2 2 2 8" xfId="3423" xr:uid="{00000000-0005-0000-0000-0000C6340000}"/>
    <cellStyle name="40% - Accent3 2 2 2 8 2" xfId="14210" xr:uid="{00000000-0005-0000-0000-0000C7340000}"/>
    <cellStyle name="40% - Accent3 2 2 2 8 2 2" xfId="27759" xr:uid="{00000000-0005-0000-0000-0000C8340000}"/>
    <cellStyle name="40% - Accent3 2 2 2 8 3" xfId="20748" xr:uid="{00000000-0005-0000-0000-0000C9340000}"/>
    <cellStyle name="40% - Accent3 2 2 2 9" xfId="3424" xr:uid="{00000000-0005-0000-0000-0000CA340000}"/>
    <cellStyle name="40% - Accent3 2 2 2 9 2" xfId="15184" xr:uid="{00000000-0005-0000-0000-0000CB340000}"/>
    <cellStyle name="40% - Accent3 2 2 2 9 2 2" xfId="28733" xr:uid="{00000000-0005-0000-0000-0000CC340000}"/>
    <cellStyle name="40% - Accent3 2 2 2 9 3" xfId="20749" xr:uid="{00000000-0005-0000-0000-0000CD340000}"/>
    <cellStyle name="40% - Accent3 2 2 3" xfId="3425" xr:uid="{00000000-0005-0000-0000-0000CE340000}"/>
    <cellStyle name="40% - Accent3 2 2 3 10" xfId="9311" xr:uid="{00000000-0005-0000-0000-0000CF340000}"/>
    <cellStyle name="40% - Accent3 2 2 3 10 2" xfId="23786" xr:uid="{00000000-0005-0000-0000-0000D0340000}"/>
    <cellStyle name="40% - Accent3 2 2 3 11" xfId="20750" xr:uid="{00000000-0005-0000-0000-0000D1340000}"/>
    <cellStyle name="40% - Accent3 2 2 3 2" xfId="3426" xr:uid="{00000000-0005-0000-0000-0000D2340000}"/>
    <cellStyle name="40% - Accent3 2 2 3 2 2" xfId="3427" xr:uid="{00000000-0005-0000-0000-0000D3340000}"/>
    <cellStyle name="40% - Accent3 2 2 3 2 2 2" xfId="11039" xr:uid="{00000000-0005-0000-0000-0000D4340000}"/>
    <cellStyle name="40% - Accent3 2 2 3 2 2 2 2" xfId="24981" xr:uid="{00000000-0005-0000-0000-0000D5340000}"/>
    <cellStyle name="40% - Accent3 2 2 3 2 2 3" xfId="20752" xr:uid="{00000000-0005-0000-0000-0000D6340000}"/>
    <cellStyle name="40% - Accent3 2 2 3 2 3" xfId="3428" xr:uid="{00000000-0005-0000-0000-0000D7340000}"/>
    <cellStyle name="40% - Accent3 2 2 3 2 3 2" xfId="12725" xr:uid="{00000000-0005-0000-0000-0000D8340000}"/>
    <cellStyle name="40% - Accent3 2 2 3 2 3 2 2" xfId="26437" xr:uid="{00000000-0005-0000-0000-0000D9340000}"/>
    <cellStyle name="40% - Accent3 2 2 3 2 3 3" xfId="20753" xr:uid="{00000000-0005-0000-0000-0000DA340000}"/>
    <cellStyle name="40% - Accent3 2 2 3 2 4" xfId="3429" xr:uid="{00000000-0005-0000-0000-0000DB340000}"/>
    <cellStyle name="40% - Accent3 2 2 3 2 4 2" xfId="15191" xr:uid="{00000000-0005-0000-0000-0000DC340000}"/>
    <cellStyle name="40% - Accent3 2 2 3 2 4 2 2" xfId="28740" xr:uid="{00000000-0005-0000-0000-0000DD340000}"/>
    <cellStyle name="40% - Accent3 2 2 3 2 4 3" xfId="20754" xr:uid="{00000000-0005-0000-0000-0000DE340000}"/>
    <cellStyle name="40% - Accent3 2 2 3 2 5" xfId="3430" xr:uid="{00000000-0005-0000-0000-0000DF340000}"/>
    <cellStyle name="40% - Accent3 2 2 3 2 5 2" xfId="16823" xr:uid="{00000000-0005-0000-0000-0000E0340000}"/>
    <cellStyle name="40% - Accent3 2 2 3 2 5 2 2" xfId="30230" xr:uid="{00000000-0005-0000-0000-0000E1340000}"/>
    <cellStyle name="40% - Accent3 2 2 3 2 5 3" xfId="20755" xr:uid="{00000000-0005-0000-0000-0000E2340000}"/>
    <cellStyle name="40% - Accent3 2 2 3 2 6" xfId="9312" xr:uid="{00000000-0005-0000-0000-0000E3340000}"/>
    <cellStyle name="40% - Accent3 2 2 3 2 6 2" xfId="23787" xr:uid="{00000000-0005-0000-0000-0000E4340000}"/>
    <cellStyle name="40% - Accent3 2 2 3 2 7" xfId="20751" xr:uid="{00000000-0005-0000-0000-0000E5340000}"/>
    <cellStyle name="40% - Accent3 2 2 3 3" xfId="3431" xr:uid="{00000000-0005-0000-0000-0000E6340000}"/>
    <cellStyle name="40% - Accent3 2 2 3 3 2" xfId="3432" xr:uid="{00000000-0005-0000-0000-0000E7340000}"/>
    <cellStyle name="40% - Accent3 2 2 3 3 2 2" xfId="15192" xr:uid="{00000000-0005-0000-0000-0000E8340000}"/>
    <cellStyle name="40% - Accent3 2 2 3 3 2 2 2" xfId="28741" xr:uid="{00000000-0005-0000-0000-0000E9340000}"/>
    <cellStyle name="40% - Accent3 2 2 3 3 2 3" xfId="20757" xr:uid="{00000000-0005-0000-0000-0000EA340000}"/>
    <cellStyle name="40% - Accent3 2 2 3 3 3" xfId="11038" xr:uid="{00000000-0005-0000-0000-0000EB340000}"/>
    <cellStyle name="40% - Accent3 2 2 3 3 3 2" xfId="24980" xr:uid="{00000000-0005-0000-0000-0000EC340000}"/>
    <cellStyle name="40% - Accent3 2 2 3 3 4" xfId="20756" xr:uid="{00000000-0005-0000-0000-0000ED340000}"/>
    <cellStyle name="40% - Accent3 2 2 3 4" xfId="3433" xr:uid="{00000000-0005-0000-0000-0000EE340000}"/>
    <cellStyle name="40% - Accent3 2 2 3 4 2" xfId="12211" xr:uid="{00000000-0005-0000-0000-0000EF340000}"/>
    <cellStyle name="40% - Accent3 2 2 3 4 2 2" xfId="25923" xr:uid="{00000000-0005-0000-0000-0000F0340000}"/>
    <cellStyle name="40% - Accent3 2 2 3 4 3" xfId="20758" xr:uid="{00000000-0005-0000-0000-0000F1340000}"/>
    <cellStyle name="40% - Accent3 2 2 3 5" xfId="3434" xr:uid="{00000000-0005-0000-0000-0000F2340000}"/>
    <cellStyle name="40% - Accent3 2 2 3 5 2" xfId="12501" xr:uid="{00000000-0005-0000-0000-0000F3340000}"/>
    <cellStyle name="40% - Accent3 2 2 3 5 2 2" xfId="26213" xr:uid="{00000000-0005-0000-0000-0000F4340000}"/>
    <cellStyle name="40% - Accent3 2 2 3 5 3" xfId="20759" xr:uid="{00000000-0005-0000-0000-0000F5340000}"/>
    <cellStyle name="40% - Accent3 2 2 3 6" xfId="3435" xr:uid="{00000000-0005-0000-0000-0000F6340000}"/>
    <cellStyle name="40% - Accent3 2 2 3 6 2" xfId="13775" xr:uid="{00000000-0005-0000-0000-0000F7340000}"/>
    <cellStyle name="40% - Accent3 2 2 3 6 2 2" xfId="27324" xr:uid="{00000000-0005-0000-0000-0000F8340000}"/>
    <cellStyle name="40% - Accent3 2 2 3 6 3" xfId="20760" xr:uid="{00000000-0005-0000-0000-0000F9340000}"/>
    <cellStyle name="40% - Accent3 2 2 3 7" xfId="3436" xr:uid="{00000000-0005-0000-0000-0000FA340000}"/>
    <cellStyle name="40% - Accent3 2 2 3 7 2" xfId="14356" xr:uid="{00000000-0005-0000-0000-0000FB340000}"/>
    <cellStyle name="40% - Accent3 2 2 3 7 2 2" xfId="27905" xr:uid="{00000000-0005-0000-0000-0000FC340000}"/>
    <cellStyle name="40% - Accent3 2 2 3 7 3" xfId="20761" xr:uid="{00000000-0005-0000-0000-0000FD340000}"/>
    <cellStyle name="40% - Accent3 2 2 3 8" xfId="3437" xr:uid="{00000000-0005-0000-0000-0000FE340000}"/>
    <cellStyle name="40% - Accent3 2 2 3 8 2" xfId="15190" xr:uid="{00000000-0005-0000-0000-0000FF340000}"/>
    <cellStyle name="40% - Accent3 2 2 3 8 2 2" xfId="28739" xr:uid="{00000000-0005-0000-0000-000000350000}"/>
    <cellStyle name="40% - Accent3 2 2 3 8 3" xfId="20762" xr:uid="{00000000-0005-0000-0000-000001350000}"/>
    <cellStyle name="40% - Accent3 2 2 3 9" xfId="3438" xr:uid="{00000000-0005-0000-0000-000002350000}"/>
    <cellStyle name="40% - Accent3 2 2 3 9 2" xfId="16242" xr:uid="{00000000-0005-0000-0000-000003350000}"/>
    <cellStyle name="40% - Accent3 2 2 3 9 2 2" xfId="29649" xr:uid="{00000000-0005-0000-0000-000004350000}"/>
    <cellStyle name="40% - Accent3 2 2 3 9 3" xfId="20763" xr:uid="{00000000-0005-0000-0000-000005350000}"/>
    <cellStyle name="40% - Accent3 2 2 4" xfId="3439" xr:uid="{00000000-0005-0000-0000-000006350000}"/>
    <cellStyle name="40% - Accent3 2 2 4 2" xfId="3440" xr:uid="{00000000-0005-0000-0000-000007350000}"/>
    <cellStyle name="40% - Accent3 2 2 4 2 2" xfId="11040" xr:uid="{00000000-0005-0000-0000-000008350000}"/>
    <cellStyle name="40% - Accent3 2 2 4 2 2 2" xfId="24982" xr:uid="{00000000-0005-0000-0000-000009350000}"/>
    <cellStyle name="40% - Accent3 2 2 4 2 3" xfId="20765" xr:uid="{00000000-0005-0000-0000-00000A350000}"/>
    <cellStyle name="40% - Accent3 2 2 4 3" xfId="3441" xr:uid="{00000000-0005-0000-0000-00000B350000}"/>
    <cellStyle name="40% - Accent3 2 2 4 3 2" xfId="12391" xr:uid="{00000000-0005-0000-0000-00000C350000}"/>
    <cellStyle name="40% - Accent3 2 2 4 3 2 2" xfId="26103" xr:uid="{00000000-0005-0000-0000-00000D350000}"/>
    <cellStyle name="40% - Accent3 2 2 4 3 3" xfId="20766" xr:uid="{00000000-0005-0000-0000-00000E350000}"/>
    <cellStyle name="40% - Accent3 2 2 4 4" xfId="3442" xr:uid="{00000000-0005-0000-0000-00000F350000}"/>
    <cellStyle name="40% - Accent3 2 2 4 4 2" xfId="15193" xr:uid="{00000000-0005-0000-0000-000010350000}"/>
    <cellStyle name="40% - Accent3 2 2 4 4 2 2" xfId="28742" xr:uid="{00000000-0005-0000-0000-000011350000}"/>
    <cellStyle name="40% - Accent3 2 2 4 4 3" xfId="20767" xr:uid="{00000000-0005-0000-0000-000012350000}"/>
    <cellStyle name="40% - Accent3 2 2 4 5" xfId="3443" xr:uid="{00000000-0005-0000-0000-000013350000}"/>
    <cellStyle name="40% - Accent3 2 2 4 5 2" xfId="17170" xr:uid="{00000000-0005-0000-0000-000014350000}"/>
    <cellStyle name="40% - Accent3 2 2 4 5 2 2" xfId="30529" xr:uid="{00000000-0005-0000-0000-000015350000}"/>
    <cellStyle name="40% - Accent3 2 2 4 5 3" xfId="20768" xr:uid="{00000000-0005-0000-0000-000016350000}"/>
    <cellStyle name="40% - Accent3 2 2 4 6" xfId="9313" xr:uid="{00000000-0005-0000-0000-000017350000}"/>
    <cellStyle name="40% - Accent3 2 2 4 6 2" xfId="23788" xr:uid="{00000000-0005-0000-0000-000018350000}"/>
    <cellStyle name="40% - Accent3 2 2 4 7" xfId="20764" xr:uid="{00000000-0005-0000-0000-000019350000}"/>
    <cellStyle name="40% - Accent3 2 2 5" xfId="3444" xr:uid="{00000000-0005-0000-0000-00001A350000}"/>
    <cellStyle name="40% - Accent3 2 2 5 2" xfId="3445" xr:uid="{00000000-0005-0000-0000-00001B350000}"/>
    <cellStyle name="40% - Accent3 2 2 5 2 2" xfId="15194" xr:uid="{00000000-0005-0000-0000-00001C350000}"/>
    <cellStyle name="40% - Accent3 2 2 5 2 2 2" xfId="28743" xr:uid="{00000000-0005-0000-0000-00001D350000}"/>
    <cellStyle name="40% - Accent3 2 2 5 2 3" xfId="20770" xr:uid="{00000000-0005-0000-0000-00001E350000}"/>
    <cellStyle name="40% - Accent3 2 2 5 3" xfId="3446" xr:uid="{00000000-0005-0000-0000-00001F350000}"/>
    <cellStyle name="40% - Accent3 2 2 5 3 2" xfId="17259" xr:uid="{00000000-0005-0000-0000-000020350000}"/>
    <cellStyle name="40% - Accent3 2 2 5 3 2 2" xfId="30618" xr:uid="{00000000-0005-0000-0000-000021350000}"/>
    <cellStyle name="40% - Accent3 2 2 5 3 3" xfId="20771" xr:uid="{00000000-0005-0000-0000-000022350000}"/>
    <cellStyle name="40% - Accent3 2 2 5 4" xfId="11033" xr:uid="{00000000-0005-0000-0000-000023350000}"/>
    <cellStyle name="40% - Accent3 2 2 5 4 2" xfId="24975" xr:uid="{00000000-0005-0000-0000-000024350000}"/>
    <cellStyle name="40% - Accent3 2 2 5 5" xfId="20769" xr:uid="{00000000-0005-0000-0000-000025350000}"/>
    <cellStyle name="40% - Accent3 2 2 6" xfId="3447" xr:uid="{00000000-0005-0000-0000-000026350000}"/>
    <cellStyle name="40% - Accent3 2 2 6 2" xfId="3448" xr:uid="{00000000-0005-0000-0000-000027350000}"/>
    <cellStyle name="40% - Accent3 2 2 6 2 2" xfId="16534" xr:uid="{00000000-0005-0000-0000-000028350000}"/>
    <cellStyle name="40% - Accent3 2 2 6 2 2 2" xfId="29941" xr:uid="{00000000-0005-0000-0000-000029350000}"/>
    <cellStyle name="40% - Accent3 2 2 6 2 3" xfId="20773" xr:uid="{00000000-0005-0000-0000-00002A350000}"/>
    <cellStyle name="40% - Accent3 2 2 6 3" xfId="11909" xr:uid="{00000000-0005-0000-0000-00002B350000}"/>
    <cellStyle name="40% - Accent3 2 2 6 3 2" xfId="25624" xr:uid="{00000000-0005-0000-0000-00002C350000}"/>
    <cellStyle name="40% - Accent3 2 2 6 4" xfId="20772" xr:uid="{00000000-0005-0000-0000-00002D350000}"/>
    <cellStyle name="40% - Accent3 2 2 7" xfId="3449" xr:uid="{00000000-0005-0000-0000-00002E350000}"/>
    <cellStyle name="40% - Accent3 2 2 7 2" xfId="12399" xr:uid="{00000000-0005-0000-0000-00002F350000}"/>
    <cellStyle name="40% - Accent3 2 2 7 2 2" xfId="26111" xr:uid="{00000000-0005-0000-0000-000030350000}"/>
    <cellStyle name="40% - Accent3 2 2 7 3" xfId="20774" xr:uid="{00000000-0005-0000-0000-000031350000}"/>
    <cellStyle name="40% - Accent3 2 2 8" xfId="3450" xr:uid="{00000000-0005-0000-0000-000032350000}"/>
    <cellStyle name="40% - Accent3 2 2 8 2" xfId="13486" xr:uid="{00000000-0005-0000-0000-000033350000}"/>
    <cellStyle name="40% - Accent3 2 2 8 2 2" xfId="27035" xr:uid="{00000000-0005-0000-0000-000034350000}"/>
    <cellStyle name="40% - Accent3 2 2 8 3" xfId="20775" xr:uid="{00000000-0005-0000-0000-000035350000}"/>
    <cellStyle name="40% - Accent3 2 2 9" xfId="3451" xr:uid="{00000000-0005-0000-0000-000036350000}"/>
    <cellStyle name="40% - Accent3 2 2 9 2" xfId="14067" xr:uid="{00000000-0005-0000-0000-000037350000}"/>
    <cellStyle name="40% - Accent3 2 2 9 2 2" xfId="27616" xr:uid="{00000000-0005-0000-0000-000038350000}"/>
    <cellStyle name="40% - Accent3 2 2 9 3" xfId="20776" xr:uid="{00000000-0005-0000-0000-000039350000}"/>
    <cellStyle name="40% - Accent3 2 3" xfId="3452" xr:uid="{00000000-0005-0000-0000-00003A350000}"/>
    <cellStyle name="40% - Accent3 2 3 10" xfId="3453" xr:uid="{00000000-0005-0000-0000-00003B350000}"/>
    <cellStyle name="40% - Accent3 2 3 10 2" xfId="16050" xr:uid="{00000000-0005-0000-0000-00003C350000}"/>
    <cellStyle name="40% - Accent3 2 3 10 2 2" xfId="29457" xr:uid="{00000000-0005-0000-0000-00003D350000}"/>
    <cellStyle name="40% - Accent3 2 3 10 3" xfId="20778" xr:uid="{00000000-0005-0000-0000-00003E350000}"/>
    <cellStyle name="40% - Accent3 2 3 11" xfId="9314" xr:uid="{00000000-0005-0000-0000-00003F350000}"/>
    <cellStyle name="40% - Accent3 2 3 11 2" xfId="23789" xr:uid="{00000000-0005-0000-0000-000040350000}"/>
    <cellStyle name="40% - Accent3 2 3 12" xfId="20777" xr:uid="{00000000-0005-0000-0000-000041350000}"/>
    <cellStyle name="40% - Accent3 2 3 2" xfId="3454" xr:uid="{00000000-0005-0000-0000-000042350000}"/>
    <cellStyle name="40% - Accent3 2 3 2 10" xfId="9315" xr:uid="{00000000-0005-0000-0000-000043350000}"/>
    <cellStyle name="40% - Accent3 2 3 2 10 2" xfId="23790" xr:uid="{00000000-0005-0000-0000-000044350000}"/>
    <cellStyle name="40% - Accent3 2 3 2 11" xfId="20779" xr:uid="{00000000-0005-0000-0000-000045350000}"/>
    <cellStyle name="40% - Accent3 2 3 2 2" xfId="3455" xr:uid="{00000000-0005-0000-0000-000046350000}"/>
    <cellStyle name="40% - Accent3 2 3 2 2 2" xfId="3456" xr:uid="{00000000-0005-0000-0000-000047350000}"/>
    <cellStyle name="40% - Accent3 2 3 2 2 2 2" xfId="11043" xr:uid="{00000000-0005-0000-0000-000048350000}"/>
    <cellStyle name="40% - Accent3 2 3 2 2 2 2 2" xfId="24985" xr:uid="{00000000-0005-0000-0000-000049350000}"/>
    <cellStyle name="40% - Accent3 2 3 2 2 2 3" xfId="20781" xr:uid="{00000000-0005-0000-0000-00004A350000}"/>
    <cellStyle name="40% - Accent3 2 3 2 2 3" xfId="3457" xr:uid="{00000000-0005-0000-0000-00004B350000}"/>
    <cellStyle name="40% - Accent3 2 3 2 2 3 2" xfId="12430" xr:uid="{00000000-0005-0000-0000-00004C350000}"/>
    <cellStyle name="40% - Accent3 2 3 2 2 3 2 2" xfId="26142" xr:uid="{00000000-0005-0000-0000-00004D350000}"/>
    <cellStyle name="40% - Accent3 2 3 2 2 3 3" xfId="20782" xr:uid="{00000000-0005-0000-0000-00004E350000}"/>
    <cellStyle name="40% - Accent3 2 3 2 2 4" xfId="3458" xr:uid="{00000000-0005-0000-0000-00004F350000}"/>
    <cellStyle name="40% - Accent3 2 3 2 2 4 2" xfId="15197" xr:uid="{00000000-0005-0000-0000-000050350000}"/>
    <cellStyle name="40% - Accent3 2 3 2 2 4 2 2" xfId="28746" xr:uid="{00000000-0005-0000-0000-000051350000}"/>
    <cellStyle name="40% - Accent3 2 3 2 2 4 3" xfId="20783" xr:uid="{00000000-0005-0000-0000-000052350000}"/>
    <cellStyle name="40% - Accent3 2 3 2 2 5" xfId="3459" xr:uid="{00000000-0005-0000-0000-000053350000}"/>
    <cellStyle name="40% - Accent3 2 3 2 2 5 2" xfId="16920" xr:uid="{00000000-0005-0000-0000-000054350000}"/>
    <cellStyle name="40% - Accent3 2 3 2 2 5 2 2" xfId="30327" xr:uid="{00000000-0005-0000-0000-000055350000}"/>
    <cellStyle name="40% - Accent3 2 3 2 2 5 3" xfId="20784" xr:uid="{00000000-0005-0000-0000-000056350000}"/>
    <cellStyle name="40% - Accent3 2 3 2 2 6" xfId="9316" xr:uid="{00000000-0005-0000-0000-000057350000}"/>
    <cellStyle name="40% - Accent3 2 3 2 2 6 2" xfId="23791" xr:uid="{00000000-0005-0000-0000-000058350000}"/>
    <cellStyle name="40% - Accent3 2 3 2 2 7" xfId="20780" xr:uid="{00000000-0005-0000-0000-000059350000}"/>
    <cellStyle name="40% - Accent3 2 3 2 3" xfId="3460" xr:uid="{00000000-0005-0000-0000-00005A350000}"/>
    <cellStyle name="40% - Accent3 2 3 2 3 2" xfId="3461" xr:uid="{00000000-0005-0000-0000-00005B350000}"/>
    <cellStyle name="40% - Accent3 2 3 2 3 2 2" xfId="15198" xr:uid="{00000000-0005-0000-0000-00005C350000}"/>
    <cellStyle name="40% - Accent3 2 3 2 3 2 2 2" xfId="28747" xr:uid="{00000000-0005-0000-0000-00005D350000}"/>
    <cellStyle name="40% - Accent3 2 3 2 3 2 3" xfId="20786" xr:uid="{00000000-0005-0000-0000-00005E350000}"/>
    <cellStyle name="40% - Accent3 2 3 2 3 3" xfId="11042" xr:uid="{00000000-0005-0000-0000-00005F350000}"/>
    <cellStyle name="40% - Accent3 2 3 2 3 3 2" xfId="24984" xr:uid="{00000000-0005-0000-0000-000060350000}"/>
    <cellStyle name="40% - Accent3 2 3 2 3 4" xfId="20785" xr:uid="{00000000-0005-0000-0000-000061350000}"/>
    <cellStyle name="40% - Accent3 2 3 2 4" xfId="3462" xr:uid="{00000000-0005-0000-0000-000062350000}"/>
    <cellStyle name="40% - Accent3 2 3 2 4 2" xfId="12308" xr:uid="{00000000-0005-0000-0000-000063350000}"/>
    <cellStyle name="40% - Accent3 2 3 2 4 2 2" xfId="26020" xr:uid="{00000000-0005-0000-0000-000064350000}"/>
    <cellStyle name="40% - Accent3 2 3 2 4 3" xfId="20787" xr:uid="{00000000-0005-0000-0000-000065350000}"/>
    <cellStyle name="40% - Accent3 2 3 2 5" xfId="3463" xr:uid="{00000000-0005-0000-0000-000066350000}"/>
    <cellStyle name="40% - Accent3 2 3 2 5 2" xfId="12574" xr:uid="{00000000-0005-0000-0000-000067350000}"/>
    <cellStyle name="40% - Accent3 2 3 2 5 2 2" xfId="26286" xr:uid="{00000000-0005-0000-0000-000068350000}"/>
    <cellStyle name="40% - Accent3 2 3 2 5 3" xfId="20788" xr:uid="{00000000-0005-0000-0000-000069350000}"/>
    <cellStyle name="40% - Accent3 2 3 2 6" xfId="3464" xr:uid="{00000000-0005-0000-0000-00006A350000}"/>
    <cellStyle name="40% - Accent3 2 3 2 6 2" xfId="13872" xr:uid="{00000000-0005-0000-0000-00006B350000}"/>
    <cellStyle name="40% - Accent3 2 3 2 6 2 2" xfId="27421" xr:uid="{00000000-0005-0000-0000-00006C350000}"/>
    <cellStyle name="40% - Accent3 2 3 2 6 3" xfId="20789" xr:uid="{00000000-0005-0000-0000-00006D350000}"/>
    <cellStyle name="40% - Accent3 2 3 2 7" xfId="3465" xr:uid="{00000000-0005-0000-0000-00006E350000}"/>
    <cellStyle name="40% - Accent3 2 3 2 7 2" xfId="14453" xr:uid="{00000000-0005-0000-0000-00006F350000}"/>
    <cellStyle name="40% - Accent3 2 3 2 7 2 2" xfId="28002" xr:uid="{00000000-0005-0000-0000-000070350000}"/>
    <cellStyle name="40% - Accent3 2 3 2 7 3" xfId="20790" xr:uid="{00000000-0005-0000-0000-000071350000}"/>
    <cellStyle name="40% - Accent3 2 3 2 8" xfId="3466" xr:uid="{00000000-0005-0000-0000-000072350000}"/>
    <cellStyle name="40% - Accent3 2 3 2 8 2" xfId="15196" xr:uid="{00000000-0005-0000-0000-000073350000}"/>
    <cellStyle name="40% - Accent3 2 3 2 8 2 2" xfId="28745" xr:uid="{00000000-0005-0000-0000-000074350000}"/>
    <cellStyle name="40% - Accent3 2 3 2 8 3" xfId="20791" xr:uid="{00000000-0005-0000-0000-000075350000}"/>
    <cellStyle name="40% - Accent3 2 3 2 9" xfId="3467" xr:uid="{00000000-0005-0000-0000-000076350000}"/>
    <cellStyle name="40% - Accent3 2 3 2 9 2" xfId="16339" xr:uid="{00000000-0005-0000-0000-000077350000}"/>
    <cellStyle name="40% - Accent3 2 3 2 9 2 2" xfId="29746" xr:uid="{00000000-0005-0000-0000-000078350000}"/>
    <cellStyle name="40% - Accent3 2 3 2 9 3" xfId="20792" xr:uid="{00000000-0005-0000-0000-000079350000}"/>
    <cellStyle name="40% - Accent3 2 3 3" xfId="3468" xr:uid="{00000000-0005-0000-0000-00007A350000}"/>
    <cellStyle name="40% - Accent3 2 3 3 2" xfId="3469" xr:uid="{00000000-0005-0000-0000-00007B350000}"/>
    <cellStyle name="40% - Accent3 2 3 3 2 2" xfId="11044" xr:uid="{00000000-0005-0000-0000-00007C350000}"/>
    <cellStyle name="40% - Accent3 2 3 3 2 2 2" xfId="24986" xr:uid="{00000000-0005-0000-0000-00007D350000}"/>
    <cellStyle name="40% - Accent3 2 3 3 2 3" xfId="20794" xr:uid="{00000000-0005-0000-0000-00007E350000}"/>
    <cellStyle name="40% - Accent3 2 3 3 3" xfId="3470" xr:uid="{00000000-0005-0000-0000-00007F350000}"/>
    <cellStyle name="40% - Accent3 2 3 3 3 2" xfId="12813" xr:uid="{00000000-0005-0000-0000-000080350000}"/>
    <cellStyle name="40% - Accent3 2 3 3 3 2 2" xfId="26525" xr:uid="{00000000-0005-0000-0000-000081350000}"/>
    <cellStyle name="40% - Accent3 2 3 3 3 3" xfId="20795" xr:uid="{00000000-0005-0000-0000-000082350000}"/>
    <cellStyle name="40% - Accent3 2 3 3 4" xfId="3471" xr:uid="{00000000-0005-0000-0000-000083350000}"/>
    <cellStyle name="40% - Accent3 2 3 3 4 2" xfId="15199" xr:uid="{00000000-0005-0000-0000-000084350000}"/>
    <cellStyle name="40% - Accent3 2 3 3 4 2 2" xfId="28748" xr:uid="{00000000-0005-0000-0000-000085350000}"/>
    <cellStyle name="40% - Accent3 2 3 3 4 3" xfId="20796" xr:uid="{00000000-0005-0000-0000-000086350000}"/>
    <cellStyle name="40% - Accent3 2 3 3 5" xfId="3472" xr:uid="{00000000-0005-0000-0000-000087350000}"/>
    <cellStyle name="40% - Accent3 2 3 3 5 2" xfId="16631" xr:uid="{00000000-0005-0000-0000-000088350000}"/>
    <cellStyle name="40% - Accent3 2 3 3 5 2 2" xfId="30038" xr:uid="{00000000-0005-0000-0000-000089350000}"/>
    <cellStyle name="40% - Accent3 2 3 3 5 3" xfId="20797" xr:uid="{00000000-0005-0000-0000-00008A350000}"/>
    <cellStyle name="40% - Accent3 2 3 3 6" xfId="9317" xr:uid="{00000000-0005-0000-0000-00008B350000}"/>
    <cellStyle name="40% - Accent3 2 3 3 6 2" xfId="23792" xr:uid="{00000000-0005-0000-0000-00008C350000}"/>
    <cellStyle name="40% - Accent3 2 3 3 7" xfId="20793" xr:uid="{00000000-0005-0000-0000-00008D350000}"/>
    <cellStyle name="40% - Accent3 2 3 4" xfId="3473" xr:uid="{00000000-0005-0000-0000-00008E350000}"/>
    <cellStyle name="40% - Accent3 2 3 4 2" xfId="3474" xr:uid="{00000000-0005-0000-0000-00008F350000}"/>
    <cellStyle name="40% - Accent3 2 3 4 2 2" xfId="15200" xr:uid="{00000000-0005-0000-0000-000090350000}"/>
    <cellStyle name="40% - Accent3 2 3 4 2 2 2" xfId="28749" xr:uid="{00000000-0005-0000-0000-000091350000}"/>
    <cellStyle name="40% - Accent3 2 3 4 2 3" xfId="20799" xr:uid="{00000000-0005-0000-0000-000092350000}"/>
    <cellStyle name="40% - Accent3 2 3 4 3" xfId="11041" xr:uid="{00000000-0005-0000-0000-000093350000}"/>
    <cellStyle name="40% - Accent3 2 3 4 3 2" xfId="24983" xr:uid="{00000000-0005-0000-0000-000094350000}"/>
    <cellStyle name="40% - Accent3 2 3 4 4" xfId="20798" xr:uid="{00000000-0005-0000-0000-000095350000}"/>
    <cellStyle name="40% - Accent3 2 3 5" xfId="3475" xr:uid="{00000000-0005-0000-0000-000096350000}"/>
    <cellStyle name="40% - Accent3 2 3 5 2" xfId="12008" xr:uid="{00000000-0005-0000-0000-000097350000}"/>
    <cellStyle name="40% - Accent3 2 3 5 2 2" xfId="25723" xr:uid="{00000000-0005-0000-0000-000098350000}"/>
    <cellStyle name="40% - Accent3 2 3 5 3" xfId="20800" xr:uid="{00000000-0005-0000-0000-000099350000}"/>
    <cellStyle name="40% - Accent3 2 3 6" xfId="3476" xr:uid="{00000000-0005-0000-0000-00009A350000}"/>
    <cellStyle name="40% - Accent3 2 3 6 2" xfId="12618" xr:uid="{00000000-0005-0000-0000-00009B350000}"/>
    <cellStyle name="40% - Accent3 2 3 6 2 2" xfId="26330" xr:uid="{00000000-0005-0000-0000-00009C350000}"/>
    <cellStyle name="40% - Accent3 2 3 6 3" xfId="20801" xr:uid="{00000000-0005-0000-0000-00009D350000}"/>
    <cellStyle name="40% - Accent3 2 3 7" xfId="3477" xr:uid="{00000000-0005-0000-0000-00009E350000}"/>
    <cellStyle name="40% - Accent3 2 3 7 2" xfId="13583" xr:uid="{00000000-0005-0000-0000-00009F350000}"/>
    <cellStyle name="40% - Accent3 2 3 7 2 2" xfId="27132" xr:uid="{00000000-0005-0000-0000-0000A0350000}"/>
    <cellStyle name="40% - Accent3 2 3 7 3" xfId="20802" xr:uid="{00000000-0005-0000-0000-0000A1350000}"/>
    <cellStyle name="40% - Accent3 2 3 8" xfId="3478" xr:uid="{00000000-0005-0000-0000-0000A2350000}"/>
    <cellStyle name="40% - Accent3 2 3 8 2" xfId="14164" xr:uid="{00000000-0005-0000-0000-0000A3350000}"/>
    <cellStyle name="40% - Accent3 2 3 8 2 2" xfId="27713" xr:uid="{00000000-0005-0000-0000-0000A4350000}"/>
    <cellStyle name="40% - Accent3 2 3 8 3" xfId="20803" xr:uid="{00000000-0005-0000-0000-0000A5350000}"/>
    <cellStyle name="40% - Accent3 2 3 9" xfId="3479" xr:uid="{00000000-0005-0000-0000-0000A6350000}"/>
    <cellStyle name="40% - Accent3 2 3 9 2" xfId="15195" xr:uid="{00000000-0005-0000-0000-0000A7350000}"/>
    <cellStyle name="40% - Accent3 2 3 9 2 2" xfId="28744" xr:uid="{00000000-0005-0000-0000-0000A8350000}"/>
    <cellStyle name="40% - Accent3 2 3 9 3" xfId="20804" xr:uid="{00000000-0005-0000-0000-0000A9350000}"/>
    <cellStyle name="40% - Accent3 2 4" xfId="3480" xr:uid="{00000000-0005-0000-0000-0000AA350000}"/>
    <cellStyle name="40% - Accent3 2 4 10" xfId="9318" xr:uid="{00000000-0005-0000-0000-0000AB350000}"/>
    <cellStyle name="40% - Accent3 2 4 10 2" xfId="23793" xr:uid="{00000000-0005-0000-0000-0000AC350000}"/>
    <cellStyle name="40% - Accent3 2 4 11" xfId="20805" xr:uid="{00000000-0005-0000-0000-0000AD350000}"/>
    <cellStyle name="40% - Accent3 2 4 2" xfId="3481" xr:uid="{00000000-0005-0000-0000-0000AE350000}"/>
    <cellStyle name="40% - Accent3 2 4 2 2" xfId="3482" xr:uid="{00000000-0005-0000-0000-0000AF350000}"/>
    <cellStyle name="40% - Accent3 2 4 2 2 2" xfId="11046" xr:uid="{00000000-0005-0000-0000-0000B0350000}"/>
    <cellStyle name="40% - Accent3 2 4 2 2 2 2" xfId="24988" xr:uid="{00000000-0005-0000-0000-0000B1350000}"/>
    <cellStyle name="40% - Accent3 2 4 2 2 3" xfId="20807" xr:uid="{00000000-0005-0000-0000-0000B2350000}"/>
    <cellStyle name="40% - Accent3 2 4 2 3" xfId="3483" xr:uid="{00000000-0005-0000-0000-0000B3350000}"/>
    <cellStyle name="40% - Accent3 2 4 2 3 2" xfId="12815" xr:uid="{00000000-0005-0000-0000-0000B4350000}"/>
    <cellStyle name="40% - Accent3 2 4 2 3 2 2" xfId="26527" xr:uid="{00000000-0005-0000-0000-0000B5350000}"/>
    <cellStyle name="40% - Accent3 2 4 2 3 3" xfId="20808" xr:uid="{00000000-0005-0000-0000-0000B6350000}"/>
    <cellStyle name="40% - Accent3 2 4 2 4" xfId="3484" xr:uid="{00000000-0005-0000-0000-0000B7350000}"/>
    <cellStyle name="40% - Accent3 2 4 2 4 2" xfId="15202" xr:uid="{00000000-0005-0000-0000-0000B8350000}"/>
    <cellStyle name="40% - Accent3 2 4 2 4 2 2" xfId="28751" xr:uid="{00000000-0005-0000-0000-0000B9350000}"/>
    <cellStyle name="40% - Accent3 2 4 2 4 3" xfId="20809" xr:uid="{00000000-0005-0000-0000-0000BA350000}"/>
    <cellStyle name="40% - Accent3 2 4 2 5" xfId="3485" xr:uid="{00000000-0005-0000-0000-0000BB350000}"/>
    <cellStyle name="40% - Accent3 2 4 2 5 2" xfId="16777" xr:uid="{00000000-0005-0000-0000-0000BC350000}"/>
    <cellStyle name="40% - Accent3 2 4 2 5 2 2" xfId="30184" xr:uid="{00000000-0005-0000-0000-0000BD350000}"/>
    <cellStyle name="40% - Accent3 2 4 2 5 3" xfId="20810" xr:uid="{00000000-0005-0000-0000-0000BE350000}"/>
    <cellStyle name="40% - Accent3 2 4 2 6" xfId="9319" xr:uid="{00000000-0005-0000-0000-0000BF350000}"/>
    <cellStyle name="40% - Accent3 2 4 2 6 2" xfId="23794" xr:uid="{00000000-0005-0000-0000-0000C0350000}"/>
    <cellStyle name="40% - Accent3 2 4 2 7" xfId="20806" xr:uid="{00000000-0005-0000-0000-0000C1350000}"/>
    <cellStyle name="40% - Accent3 2 4 3" xfId="3486" xr:uid="{00000000-0005-0000-0000-0000C2350000}"/>
    <cellStyle name="40% - Accent3 2 4 3 2" xfId="3487" xr:uid="{00000000-0005-0000-0000-0000C3350000}"/>
    <cellStyle name="40% - Accent3 2 4 3 2 2" xfId="15203" xr:uid="{00000000-0005-0000-0000-0000C4350000}"/>
    <cellStyle name="40% - Accent3 2 4 3 2 2 2" xfId="28752" xr:uid="{00000000-0005-0000-0000-0000C5350000}"/>
    <cellStyle name="40% - Accent3 2 4 3 2 3" xfId="20812" xr:uid="{00000000-0005-0000-0000-0000C6350000}"/>
    <cellStyle name="40% - Accent3 2 4 3 3" xfId="11045" xr:uid="{00000000-0005-0000-0000-0000C7350000}"/>
    <cellStyle name="40% - Accent3 2 4 3 3 2" xfId="24987" xr:uid="{00000000-0005-0000-0000-0000C8350000}"/>
    <cellStyle name="40% - Accent3 2 4 3 4" xfId="20811" xr:uid="{00000000-0005-0000-0000-0000C9350000}"/>
    <cellStyle name="40% - Accent3 2 4 4" xfId="3488" xr:uid="{00000000-0005-0000-0000-0000CA350000}"/>
    <cellStyle name="40% - Accent3 2 4 4 2" xfId="12165" xr:uid="{00000000-0005-0000-0000-0000CB350000}"/>
    <cellStyle name="40% - Accent3 2 4 4 2 2" xfId="25877" xr:uid="{00000000-0005-0000-0000-0000CC350000}"/>
    <cellStyle name="40% - Accent3 2 4 4 3" xfId="20813" xr:uid="{00000000-0005-0000-0000-0000CD350000}"/>
    <cellStyle name="40% - Accent3 2 4 5" xfId="3489" xr:uid="{00000000-0005-0000-0000-0000CE350000}"/>
    <cellStyle name="40% - Accent3 2 4 5 2" xfId="12814" xr:uid="{00000000-0005-0000-0000-0000CF350000}"/>
    <cellStyle name="40% - Accent3 2 4 5 2 2" xfId="26526" xr:uid="{00000000-0005-0000-0000-0000D0350000}"/>
    <cellStyle name="40% - Accent3 2 4 5 3" xfId="20814" xr:uid="{00000000-0005-0000-0000-0000D1350000}"/>
    <cellStyle name="40% - Accent3 2 4 6" xfId="3490" xr:uid="{00000000-0005-0000-0000-0000D2350000}"/>
    <cellStyle name="40% - Accent3 2 4 6 2" xfId="13729" xr:uid="{00000000-0005-0000-0000-0000D3350000}"/>
    <cellStyle name="40% - Accent3 2 4 6 2 2" xfId="27278" xr:uid="{00000000-0005-0000-0000-0000D4350000}"/>
    <cellStyle name="40% - Accent3 2 4 6 3" xfId="20815" xr:uid="{00000000-0005-0000-0000-0000D5350000}"/>
    <cellStyle name="40% - Accent3 2 4 7" xfId="3491" xr:uid="{00000000-0005-0000-0000-0000D6350000}"/>
    <cellStyle name="40% - Accent3 2 4 7 2" xfId="14310" xr:uid="{00000000-0005-0000-0000-0000D7350000}"/>
    <cellStyle name="40% - Accent3 2 4 7 2 2" xfId="27859" xr:uid="{00000000-0005-0000-0000-0000D8350000}"/>
    <cellStyle name="40% - Accent3 2 4 7 3" xfId="20816" xr:uid="{00000000-0005-0000-0000-0000D9350000}"/>
    <cellStyle name="40% - Accent3 2 4 8" xfId="3492" xr:uid="{00000000-0005-0000-0000-0000DA350000}"/>
    <cellStyle name="40% - Accent3 2 4 8 2" xfId="15201" xr:uid="{00000000-0005-0000-0000-0000DB350000}"/>
    <cellStyle name="40% - Accent3 2 4 8 2 2" xfId="28750" xr:uid="{00000000-0005-0000-0000-0000DC350000}"/>
    <cellStyle name="40% - Accent3 2 4 8 3" xfId="20817" xr:uid="{00000000-0005-0000-0000-0000DD350000}"/>
    <cellStyle name="40% - Accent3 2 4 9" xfId="3493" xr:uid="{00000000-0005-0000-0000-0000DE350000}"/>
    <cellStyle name="40% - Accent3 2 4 9 2" xfId="16196" xr:uid="{00000000-0005-0000-0000-0000DF350000}"/>
    <cellStyle name="40% - Accent3 2 4 9 2 2" xfId="29603" xr:uid="{00000000-0005-0000-0000-0000E0350000}"/>
    <cellStyle name="40% - Accent3 2 4 9 3" xfId="20818" xr:uid="{00000000-0005-0000-0000-0000E1350000}"/>
    <cellStyle name="40% - Accent3 2 5" xfId="3494" xr:uid="{00000000-0005-0000-0000-0000E2350000}"/>
    <cellStyle name="40% - Accent3 2 5 2" xfId="3495" xr:uid="{00000000-0005-0000-0000-0000E3350000}"/>
    <cellStyle name="40% - Accent3 2 5 2 2" xfId="3496" xr:uid="{00000000-0005-0000-0000-0000E4350000}"/>
    <cellStyle name="40% - Accent3 2 5 2 2 2" xfId="11048" xr:uid="{00000000-0005-0000-0000-0000E5350000}"/>
    <cellStyle name="40% - Accent3 2 5 2 2 2 2" xfId="24990" xr:uid="{00000000-0005-0000-0000-0000E6350000}"/>
    <cellStyle name="40% - Accent3 2 5 2 2 3" xfId="20821" xr:uid="{00000000-0005-0000-0000-0000E7350000}"/>
    <cellStyle name="40% - Accent3 2 5 2 3" xfId="3497" xr:uid="{00000000-0005-0000-0000-0000E8350000}"/>
    <cellStyle name="40% - Accent3 2 5 2 3 2" xfId="12817" xr:uid="{00000000-0005-0000-0000-0000E9350000}"/>
    <cellStyle name="40% - Accent3 2 5 2 3 2 2" xfId="26529" xr:uid="{00000000-0005-0000-0000-0000EA350000}"/>
    <cellStyle name="40% - Accent3 2 5 2 3 3" xfId="20822" xr:uid="{00000000-0005-0000-0000-0000EB350000}"/>
    <cellStyle name="40% - Accent3 2 5 2 4" xfId="3498" xr:uid="{00000000-0005-0000-0000-0000EC350000}"/>
    <cellStyle name="40% - Accent3 2 5 2 4 2" xfId="15205" xr:uid="{00000000-0005-0000-0000-0000ED350000}"/>
    <cellStyle name="40% - Accent3 2 5 2 4 2 2" xfId="28754" xr:uid="{00000000-0005-0000-0000-0000EE350000}"/>
    <cellStyle name="40% - Accent3 2 5 2 4 3" xfId="20823" xr:uid="{00000000-0005-0000-0000-0000EF350000}"/>
    <cellStyle name="40% - Accent3 2 5 2 5" xfId="9321" xr:uid="{00000000-0005-0000-0000-0000F0350000}"/>
    <cellStyle name="40% - Accent3 2 5 2 5 2" xfId="23796" xr:uid="{00000000-0005-0000-0000-0000F1350000}"/>
    <cellStyle name="40% - Accent3 2 5 2 6" xfId="20820" xr:uid="{00000000-0005-0000-0000-0000F2350000}"/>
    <cellStyle name="40% - Accent3 2 5 3" xfId="3499" xr:uid="{00000000-0005-0000-0000-0000F3350000}"/>
    <cellStyle name="40% - Accent3 2 5 3 2" xfId="11047" xr:uid="{00000000-0005-0000-0000-0000F4350000}"/>
    <cellStyle name="40% - Accent3 2 5 3 2 2" xfId="24989" xr:uid="{00000000-0005-0000-0000-0000F5350000}"/>
    <cellStyle name="40% - Accent3 2 5 3 3" xfId="20824" xr:uid="{00000000-0005-0000-0000-0000F6350000}"/>
    <cellStyle name="40% - Accent3 2 5 4" xfId="3500" xr:uid="{00000000-0005-0000-0000-0000F7350000}"/>
    <cellStyle name="40% - Accent3 2 5 4 2" xfId="12816" xr:uid="{00000000-0005-0000-0000-0000F8350000}"/>
    <cellStyle name="40% - Accent3 2 5 4 2 2" xfId="26528" xr:uid="{00000000-0005-0000-0000-0000F9350000}"/>
    <cellStyle name="40% - Accent3 2 5 4 3" xfId="20825" xr:uid="{00000000-0005-0000-0000-0000FA350000}"/>
    <cellStyle name="40% - Accent3 2 5 5" xfId="3501" xr:uid="{00000000-0005-0000-0000-0000FB350000}"/>
    <cellStyle name="40% - Accent3 2 5 5 2" xfId="15204" xr:uid="{00000000-0005-0000-0000-0000FC350000}"/>
    <cellStyle name="40% - Accent3 2 5 5 2 2" xfId="28753" xr:uid="{00000000-0005-0000-0000-0000FD350000}"/>
    <cellStyle name="40% - Accent3 2 5 5 3" xfId="20826" xr:uid="{00000000-0005-0000-0000-0000FE350000}"/>
    <cellStyle name="40% - Accent3 2 5 6" xfId="3502" xr:uid="{00000000-0005-0000-0000-0000FF350000}"/>
    <cellStyle name="40% - Accent3 2 5 6 2" xfId="17015" xr:uid="{00000000-0005-0000-0000-000000360000}"/>
    <cellStyle name="40% - Accent3 2 5 6 2 2" xfId="30422" xr:uid="{00000000-0005-0000-0000-000001360000}"/>
    <cellStyle name="40% - Accent3 2 5 6 3" xfId="20827" xr:uid="{00000000-0005-0000-0000-000002360000}"/>
    <cellStyle name="40% - Accent3 2 5 7" xfId="9320" xr:uid="{00000000-0005-0000-0000-000003360000}"/>
    <cellStyle name="40% - Accent3 2 5 7 2" xfId="23795" xr:uid="{00000000-0005-0000-0000-000004360000}"/>
    <cellStyle name="40% - Accent3 2 5 8" xfId="20819" xr:uid="{00000000-0005-0000-0000-000005360000}"/>
    <cellStyle name="40% - Accent3 2 6" xfId="3503" xr:uid="{00000000-0005-0000-0000-000006360000}"/>
    <cellStyle name="40% - Accent3 2 6 2" xfId="3504" xr:uid="{00000000-0005-0000-0000-000007360000}"/>
    <cellStyle name="40% - Accent3 2 6 2 2" xfId="11049" xr:uid="{00000000-0005-0000-0000-000008360000}"/>
    <cellStyle name="40% - Accent3 2 6 2 2 2" xfId="24991" xr:uid="{00000000-0005-0000-0000-000009360000}"/>
    <cellStyle name="40% - Accent3 2 6 2 3" xfId="20829" xr:uid="{00000000-0005-0000-0000-00000A360000}"/>
    <cellStyle name="40% - Accent3 2 6 3" xfId="3505" xr:uid="{00000000-0005-0000-0000-00000B360000}"/>
    <cellStyle name="40% - Accent3 2 6 3 2" xfId="12818" xr:uid="{00000000-0005-0000-0000-00000C360000}"/>
    <cellStyle name="40% - Accent3 2 6 3 2 2" xfId="26530" xr:uid="{00000000-0005-0000-0000-00000D360000}"/>
    <cellStyle name="40% - Accent3 2 6 3 3" xfId="20830" xr:uid="{00000000-0005-0000-0000-00000E360000}"/>
    <cellStyle name="40% - Accent3 2 6 4" xfId="3506" xr:uid="{00000000-0005-0000-0000-00000F360000}"/>
    <cellStyle name="40% - Accent3 2 6 4 2" xfId="15206" xr:uid="{00000000-0005-0000-0000-000010360000}"/>
    <cellStyle name="40% - Accent3 2 6 4 2 2" xfId="28755" xr:uid="{00000000-0005-0000-0000-000011360000}"/>
    <cellStyle name="40% - Accent3 2 6 4 3" xfId="20831" xr:uid="{00000000-0005-0000-0000-000012360000}"/>
    <cellStyle name="40% - Accent3 2 6 5" xfId="3507" xr:uid="{00000000-0005-0000-0000-000013360000}"/>
    <cellStyle name="40% - Accent3 2 6 5 2" xfId="17124" xr:uid="{00000000-0005-0000-0000-000014360000}"/>
    <cellStyle name="40% - Accent3 2 6 5 2 2" xfId="30483" xr:uid="{00000000-0005-0000-0000-000015360000}"/>
    <cellStyle name="40% - Accent3 2 6 5 3" xfId="20832" xr:uid="{00000000-0005-0000-0000-000016360000}"/>
    <cellStyle name="40% - Accent3 2 6 6" xfId="9322" xr:uid="{00000000-0005-0000-0000-000017360000}"/>
    <cellStyle name="40% - Accent3 2 6 6 2" xfId="23797" xr:uid="{00000000-0005-0000-0000-000018360000}"/>
    <cellStyle name="40% - Accent3 2 6 7" xfId="20828" xr:uid="{00000000-0005-0000-0000-000019360000}"/>
    <cellStyle name="40% - Accent3 2 7" xfId="3508" xr:uid="{00000000-0005-0000-0000-00001A360000}"/>
    <cellStyle name="40% - Accent3 2 7 2" xfId="3509" xr:uid="{00000000-0005-0000-0000-00001B360000}"/>
    <cellStyle name="40% - Accent3 2 7 2 2" xfId="11050" xr:uid="{00000000-0005-0000-0000-00001C360000}"/>
    <cellStyle name="40% - Accent3 2 7 2 2 2" xfId="24992" xr:uid="{00000000-0005-0000-0000-00001D360000}"/>
    <cellStyle name="40% - Accent3 2 7 2 3" xfId="20834" xr:uid="{00000000-0005-0000-0000-00001E360000}"/>
    <cellStyle name="40% - Accent3 2 7 3" xfId="3510" xr:uid="{00000000-0005-0000-0000-00001F360000}"/>
    <cellStyle name="40% - Accent3 2 7 3 2" xfId="12819" xr:uid="{00000000-0005-0000-0000-000020360000}"/>
    <cellStyle name="40% - Accent3 2 7 3 2 2" xfId="26531" xr:uid="{00000000-0005-0000-0000-000021360000}"/>
    <cellStyle name="40% - Accent3 2 7 3 3" xfId="20835" xr:uid="{00000000-0005-0000-0000-000022360000}"/>
    <cellStyle name="40% - Accent3 2 7 4" xfId="3511" xr:uid="{00000000-0005-0000-0000-000023360000}"/>
    <cellStyle name="40% - Accent3 2 7 4 2" xfId="15207" xr:uid="{00000000-0005-0000-0000-000024360000}"/>
    <cellStyle name="40% - Accent3 2 7 4 2 2" xfId="28756" xr:uid="{00000000-0005-0000-0000-000025360000}"/>
    <cellStyle name="40% - Accent3 2 7 4 3" xfId="20836" xr:uid="{00000000-0005-0000-0000-000026360000}"/>
    <cellStyle name="40% - Accent3 2 7 5" xfId="3512" xr:uid="{00000000-0005-0000-0000-000027360000}"/>
    <cellStyle name="40% - Accent3 2 7 5 2" xfId="17213" xr:uid="{00000000-0005-0000-0000-000028360000}"/>
    <cellStyle name="40% - Accent3 2 7 5 2 2" xfId="30572" xr:uid="{00000000-0005-0000-0000-000029360000}"/>
    <cellStyle name="40% - Accent3 2 7 5 3" xfId="20837" xr:uid="{00000000-0005-0000-0000-00002A360000}"/>
    <cellStyle name="40% - Accent3 2 7 6" xfId="9323" xr:uid="{00000000-0005-0000-0000-00002B360000}"/>
    <cellStyle name="40% - Accent3 2 7 6 2" xfId="23798" xr:uid="{00000000-0005-0000-0000-00002C360000}"/>
    <cellStyle name="40% - Accent3 2 7 7" xfId="20833" xr:uid="{00000000-0005-0000-0000-00002D360000}"/>
    <cellStyle name="40% - Accent3 2 8" xfId="3513" xr:uid="{00000000-0005-0000-0000-00002E360000}"/>
    <cellStyle name="40% - Accent3 2 8 2" xfId="3514" xr:uid="{00000000-0005-0000-0000-00002F360000}"/>
    <cellStyle name="40% - Accent3 2 8 2 2" xfId="12820" xr:uid="{00000000-0005-0000-0000-000030360000}"/>
    <cellStyle name="40% - Accent3 2 8 2 2 2" xfId="26532" xr:uid="{00000000-0005-0000-0000-000031360000}"/>
    <cellStyle name="40% - Accent3 2 8 2 3" xfId="20839" xr:uid="{00000000-0005-0000-0000-000032360000}"/>
    <cellStyle name="40% - Accent3 2 8 3" xfId="3515" xr:uid="{00000000-0005-0000-0000-000033360000}"/>
    <cellStyle name="40% - Accent3 2 8 3 2" xfId="15208" xr:uid="{00000000-0005-0000-0000-000034360000}"/>
    <cellStyle name="40% - Accent3 2 8 3 2 2" xfId="28757" xr:uid="{00000000-0005-0000-0000-000035360000}"/>
    <cellStyle name="40% - Accent3 2 8 3 3" xfId="20840" xr:uid="{00000000-0005-0000-0000-000036360000}"/>
    <cellStyle name="40% - Accent3 2 8 4" xfId="3516" xr:uid="{00000000-0005-0000-0000-000037360000}"/>
    <cellStyle name="40% - Accent3 2 8 4 2" xfId="16488" xr:uid="{00000000-0005-0000-0000-000038360000}"/>
    <cellStyle name="40% - Accent3 2 8 4 2 2" xfId="29895" xr:uid="{00000000-0005-0000-0000-000039360000}"/>
    <cellStyle name="40% - Accent3 2 8 4 3" xfId="20841" xr:uid="{00000000-0005-0000-0000-00003A360000}"/>
    <cellStyle name="40% - Accent3 2 8 5" xfId="10536" xr:uid="{00000000-0005-0000-0000-00003B360000}"/>
    <cellStyle name="40% - Accent3 2 8 5 2" xfId="24478" xr:uid="{00000000-0005-0000-0000-00003C360000}"/>
    <cellStyle name="40% - Accent3 2 8 6" xfId="20838" xr:uid="{00000000-0005-0000-0000-00003D360000}"/>
    <cellStyle name="40% - Accent3 2 9" xfId="3517" xr:uid="{00000000-0005-0000-0000-00003E360000}"/>
    <cellStyle name="40% - Accent3 2 9 2" xfId="3518" xr:uid="{00000000-0005-0000-0000-00003F360000}"/>
    <cellStyle name="40% - Accent3 2 9 2 2" xfId="12821" xr:uid="{00000000-0005-0000-0000-000040360000}"/>
    <cellStyle name="40% - Accent3 2 9 2 2 2" xfId="26533" xr:uid="{00000000-0005-0000-0000-000041360000}"/>
    <cellStyle name="40% - Accent3 2 9 2 3" xfId="20843" xr:uid="{00000000-0005-0000-0000-000042360000}"/>
    <cellStyle name="40% - Accent3 2 9 3" xfId="3519" xr:uid="{00000000-0005-0000-0000-000043360000}"/>
    <cellStyle name="40% - Accent3 2 9 3 2" xfId="15209" xr:uid="{00000000-0005-0000-0000-000044360000}"/>
    <cellStyle name="40% - Accent3 2 9 3 2 2" xfId="28758" xr:uid="{00000000-0005-0000-0000-000045360000}"/>
    <cellStyle name="40% - Accent3 2 9 3 3" xfId="20844" xr:uid="{00000000-0005-0000-0000-000046360000}"/>
    <cellStyle name="40% - Accent3 2 9 4" xfId="11032" xr:uid="{00000000-0005-0000-0000-000047360000}"/>
    <cellStyle name="40% - Accent3 2 9 4 2" xfId="24974" xr:uid="{00000000-0005-0000-0000-000048360000}"/>
    <cellStyle name="40% - Accent3 2 9 5" xfId="20842" xr:uid="{00000000-0005-0000-0000-000049360000}"/>
    <cellStyle name="40% - Accent3 20" xfId="3520" xr:uid="{00000000-0005-0000-0000-00004A360000}"/>
    <cellStyle name="40% - Accent3 20 2" xfId="3521" xr:uid="{00000000-0005-0000-0000-00004B360000}"/>
    <cellStyle name="40% - Accent3 20 2 2" xfId="12822" xr:uid="{00000000-0005-0000-0000-00004C360000}"/>
    <cellStyle name="40% - Accent3 20 2 2 2" xfId="26534" xr:uid="{00000000-0005-0000-0000-00004D360000}"/>
    <cellStyle name="40% - Accent3 20 2 3" xfId="20846" xr:uid="{00000000-0005-0000-0000-00004E360000}"/>
    <cellStyle name="40% - Accent3 20 3" xfId="3522" xr:uid="{00000000-0005-0000-0000-00004F360000}"/>
    <cellStyle name="40% - Accent3 20 3 2" xfId="15210" xr:uid="{00000000-0005-0000-0000-000050360000}"/>
    <cellStyle name="40% - Accent3 20 3 2 2" xfId="28759" xr:uid="{00000000-0005-0000-0000-000051360000}"/>
    <cellStyle name="40% - Accent3 20 3 3" xfId="20847" xr:uid="{00000000-0005-0000-0000-000052360000}"/>
    <cellStyle name="40% - Accent3 20 4" xfId="10511" xr:uid="{00000000-0005-0000-0000-000053360000}"/>
    <cellStyle name="40% - Accent3 20 4 2" xfId="24459" xr:uid="{00000000-0005-0000-0000-000054360000}"/>
    <cellStyle name="40% - Accent3 20 5" xfId="20845" xr:uid="{00000000-0005-0000-0000-000055360000}"/>
    <cellStyle name="40% - Accent3 21" xfId="3523" xr:uid="{00000000-0005-0000-0000-000056360000}"/>
    <cellStyle name="40% - Accent3 21 2" xfId="3524" xr:uid="{00000000-0005-0000-0000-000057360000}"/>
    <cellStyle name="40% - Accent3 21 2 2" xfId="12823" xr:uid="{00000000-0005-0000-0000-000058360000}"/>
    <cellStyle name="40% - Accent3 21 2 2 2" xfId="26535" xr:uid="{00000000-0005-0000-0000-000059360000}"/>
    <cellStyle name="40% - Accent3 21 2 3" xfId="20849" xr:uid="{00000000-0005-0000-0000-00005A360000}"/>
    <cellStyle name="40% - Accent3 21 3" xfId="3525" xr:uid="{00000000-0005-0000-0000-00005B360000}"/>
    <cellStyle name="40% - Accent3 21 3 2" xfId="15211" xr:uid="{00000000-0005-0000-0000-00005C360000}"/>
    <cellStyle name="40% - Accent3 21 3 2 2" xfId="28760" xr:uid="{00000000-0005-0000-0000-00005D360000}"/>
    <cellStyle name="40% - Accent3 21 3 3" xfId="20850" xr:uid="{00000000-0005-0000-0000-00005E360000}"/>
    <cellStyle name="40% - Accent3 21 4" xfId="11021" xr:uid="{00000000-0005-0000-0000-00005F360000}"/>
    <cellStyle name="40% - Accent3 21 4 2" xfId="24963" xr:uid="{00000000-0005-0000-0000-000060360000}"/>
    <cellStyle name="40% - Accent3 21 5" xfId="20848" xr:uid="{00000000-0005-0000-0000-000061360000}"/>
    <cellStyle name="40% - Accent3 22" xfId="3526" xr:uid="{00000000-0005-0000-0000-000062360000}"/>
    <cellStyle name="40% - Accent3 22 2" xfId="11747" xr:uid="{00000000-0005-0000-0000-000063360000}"/>
    <cellStyle name="40% - Accent3 22 2 2" xfId="25462" xr:uid="{00000000-0005-0000-0000-000064360000}"/>
    <cellStyle name="40% - Accent3 22 3" xfId="20851" xr:uid="{00000000-0005-0000-0000-000065360000}"/>
    <cellStyle name="40% - Accent3 23" xfId="3527" xr:uid="{00000000-0005-0000-0000-000066360000}"/>
    <cellStyle name="40% - Accent3 23 2" xfId="12494" xr:uid="{00000000-0005-0000-0000-000067360000}"/>
    <cellStyle name="40% - Accent3 23 2 2" xfId="26206" xr:uid="{00000000-0005-0000-0000-000068360000}"/>
    <cellStyle name="40% - Accent3 23 3" xfId="20852" xr:uid="{00000000-0005-0000-0000-000069360000}"/>
    <cellStyle name="40% - Accent3 24" xfId="3528" xr:uid="{00000000-0005-0000-0000-00006A360000}"/>
    <cellStyle name="40% - Accent3 24 2" xfId="13386" xr:uid="{00000000-0005-0000-0000-00006B360000}"/>
    <cellStyle name="40% - Accent3 24 2 2" xfId="26935" xr:uid="{00000000-0005-0000-0000-00006C360000}"/>
    <cellStyle name="40% - Accent3 24 3" xfId="20853" xr:uid="{00000000-0005-0000-0000-00006D360000}"/>
    <cellStyle name="40% - Accent3 25" xfId="3529" xr:uid="{00000000-0005-0000-0000-00006E360000}"/>
    <cellStyle name="40% - Accent3 25 2" xfId="13967" xr:uid="{00000000-0005-0000-0000-00006F360000}"/>
    <cellStyle name="40% - Accent3 25 2 2" xfId="27516" xr:uid="{00000000-0005-0000-0000-000070360000}"/>
    <cellStyle name="40% - Accent3 25 3" xfId="20854" xr:uid="{00000000-0005-0000-0000-000071360000}"/>
    <cellStyle name="40% - Accent3 26" xfId="3530" xr:uid="{00000000-0005-0000-0000-000072360000}"/>
    <cellStyle name="40% - Accent3 26 2" xfId="15168" xr:uid="{00000000-0005-0000-0000-000073360000}"/>
    <cellStyle name="40% - Accent3 26 2 2" xfId="28717" xr:uid="{00000000-0005-0000-0000-000074360000}"/>
    <cellStyle name="40% - Accent3 26 3" xfId="20855" xr:uid="{00000000-0005-0000-0000-000075360000}"/>
    <cellStyle name="40% - Accent3 27" xfId="3531" xr:uid="{00000000-0005-0000-0000-000076360000}"/>
    <cellStyle name="40% - Accent3 27 2" xfId="15833" xr:uid="{00000000-0005-0000-0000-000077360000}"/>
    <cellStyle name="40% - Accent3 27 2 2" xfId="29240" xr:uid="{00000000-0005-0000-0000-000078360000}"/>
    <cellStyle name="40% - Accent3 27 3" xfId="20856" xr:uid="{00000000-0005-0000-0000-000079360000}"/>
    <cellStyle name="40% - Accent3 28" xfId="3532" xr:uid="{00000000-0005-0000-0000-00007A360000}"/>
    <cellStyle name="40% - Accent3 28 2" xfId="15853" xr:uid="{00000000-0005-0000-0000-00007B360000}"/>
    <cellStyle name="40% - Accent3 28 2 2" xfId="29260" xr:uid="{00000000-0005-0000-0000-00007C360000}"/>
    <cellStyle name="40% - Accent3 28 3" xfId="20857" xr:uid="{00000000-0005-0000-0000-00007D360000}"/>
    <cellStyle name="40% - Accent3 29" xfId="3533" xr:uid="{00000000-0005-0000-0000-00007E360000}"/>
    <cellStyle name="40% - Accent3 29 2" xfId="9294" xr:uid="{00000000-0005-0000-0000-00007F360000}"/>
    <cellStyle name="40% - Accent3 29 2 2" xfId="23769" xr:uid="{00000000-0005-0000-0000-000080360000}"/>
    <cellStyle name="40% - Accent3 29 3" xfId="20858" xr:uid="{00000000-0005-0000-0000-000081360000}"/>
    <cellStyle name="40% - Accent3 3" xfId="3534" xr:uid="{00000000-0005-0000-0000-000082360000}"/>
    <cellStyle name="40% - Accent3 3 10" xfId="3535" xr:uid="{00000000-0005-0000-0000-000083360000}"/>
    <cellStyle name="40% - Accent3 3 10 2" xfId="14044" xr:uid="{00000000-0005-0000-0000-000084360000}"/>
    <cellStyle name="40% - Accent3 3 10 2 2" xfId="27593" xr:uid="{00000000-0005-0000-0000-000085360000}"/>
    <cellStyle name="40% - Accent3 3 10 3" xfId="20860" xr:uid="{00000000-0005-0000-0000-000086360000}"/>
    <cellStyle name="40% - Accent3 3 11" xfId="3536" xr:uid="{00000000-0005-0000-0000-000087360000}"/>
    <cellStyle name="40% - Accent3 3 11 2" xfId="15212" xr:uid="{00000000-0005-0000-0000-000088360000}"/>
    <cellStyle name="40% - Accent3 3 11 2 2" xfId="28761" xr:uid="{00000000-0005-0000-0000-000089360000}"/>
    <cellStyle name="40% - Accent3 3 11 3" xfId="20861" xr:uid="{00000000-0005-0000-0000-00008A360000}"/>
    <cellStyle name="40% - Accent3 3 12" xfId="3537" xr:uid="{00000000-0005-0000-0000-00008B360000}"/>
    <cellStyle name="40% - Accent3 3 12 2" xfId="15930" xr:uid="{00000000-0005-0000-0000-00008C360000}"/>
    <cellStyle name="40% - Accent3 3 12 2 2" xfId="29337" xr:uid="{00000000-0005-0000-0000-00008D360000}"/>
    <cellStyle name="40% - Accent3 3 12 3" xfId="20862" xr:uid="{00000000-0005-0000-0000-00008E360000}"/>
    <cellStyle name="40% - Accent3 3 13" xfId="9324" xr:uid="{00000000-0005-0000-0000-00008F360000}"/>
    <cellStyle name="40% - Accent3 3 13 2" xfId="23799" xr:uid="{00000000-0005-0000-0000-000090360000}"/>
    <cellStyle name="40% - Accent3 3 14" xfId="20859" xr:uid="{00000000-0005-0000-0000-000091360000}"/>
    <cellStyle name="40% - Accent3 3 2" xfId="3538" xr:uid="{00000000-0005-0000-0000-000092360000}"/>
    <cellStyle name="40% - Accent3 3 2 10" xfId="3539" xr:uid="{00000000-0005-0000-0000-000093360000}"/>
    <cellStyle name="40% - Accent3 3 2 10 2" xfId="16073" xr:uid="{00000000-0005-0000-0000-000094360000}"/>
    <cellStyle name="40% - Accent3 3 2 10 2 2" xfId="29480" xr:uid="{00000000-0005-0000-0000-000095360000}"/>
    <cellStyle name="40% - Accent3 3 2 10 3" xfId="20864" xr:uid="{00000000-0005-0000-0000-000096360000}"/>
    <cellStyle name="40% - Accent3 3 2 11" xfId="9325" xr:uid="{00000000-0005-0000-0000-000097360000}"/>
    <cellStyle name="40% - Accent3 3 2 11 2" xfId="23800" xr:uid="{00000000-0005-0000-0000-000098360000}"/>
    <cellStyle name="40% - Accent3 3 2 12" xfId="20863" xr:uid="{00000000-0005-0000-0000-000099360000}"/>
    <cellStyle name="40% - Accent3 3 2 2" xfId="3540" xr:uid="{00000000-0005-0000-0000-00009A360000}"/>
    <cellStyle name="40% - Accent3 3 2 2 10" xfId="9326" xr:uid="{00000000-0005-0000-0000-00009B360000}"/>
    <cellStyle name="40% - Accent3 3 2 2 10 2" xfId="23801" xr:uid="{00000000-0005-0000-0000-00009C360000}"/>
    <cellStyle name="40% - Accent3 3 2 2 11" xfId="20865" xr:uid="{00000000-0005-0000-0000-00009D360000}"/>
    <cellStyle name="40% - Accent3 3 2 2 2" xfId="3541" xr:uid="{00000000-0005-0000-0000-00009E360000}"/>
    <cellStyle name="40% - Accent3 3 2 2 2 2" xfId="3542" xr:uid="{00000000-0005-0000-0000-00009F360000}"/>
    <cellStyle name="40% - Accent3 3 2 2 2 2 2" xfId="11054" xr:uid="{00000000-0005-0000-0000-0000A0360000}"/>
    <cellStyle name="40% - Accent3 3 2 2 2 2 2 2" xfId="24996" xr:uid="{00000000-0005-0000-0000-0000A1360000}"/>
    <cellStyle name="40% - Accent3 3 2 2 2 2 3" xfId="20867" xr:uid="{00000000-0005-0000-0000-0000A2360000}"/>
    <cellStyle name="40% - Accent3 3 2 2 2 3" xfId="3543" xr:uid="{00000000-0005-0000-0000-0000A3360000}"/>
    <cellStyle name="40% - Accent3 3 2 2 2 3 2" xfId="12827" xr:uid="{00000000-0005-0000-0000-0000A4360000}"/>
    <cellStyle name="40% - Accent3 3 2 2 2 3 2 2" xfId="26539" xr:uid="{00000000-0005-0000-0000-0000A5360000}"/>
    <cellStyle name="40% - Accent3 3 2 2 2 3 3" xfId="20868" xr:uid="{00000000-0005-0000-0000-0000A6360000}"/>
    <cellStyle name="40% - Accent3 3 2 2 2 4" xfId="3544" xr:uid="{00000000-0005-0000-0000-0000A7360000}"/>
    <cellStyle name="40% - Accent3 3 2 2 2 4 2" xfId="15215" xr:uid="{00000000-0005-0000-0000-0000A8360000}"/>
    <cellStyle name="40% - Accent3 3 2 2 2 4 2 2" xfId="28764" xr:uid="{00000000-0005-0000-0000-0000A9360000}"/>
    <cellStyle name="40% - Accent3 3 2 2 2 4 3" xfId="20869" xr:uid="{00000000-0005-0000-0000-0000AA360000}"/>
    <cellStyle name="40% - Accent3 3 2 2 2 5" xfId="3545" xr:uid="{00000000-0005-0000-0000-0000AB360000}"/>
    <cellStyle name="40% - Accent3 3 2 2 2 5 2" xfId="16943" xr:uid="{00000000-0005-0000-0000-0000AC360000}"/>
    <cellStyle name="40% - Accent3 3 2 2 2 5 2 2" xfId="30350" xr:uid="{00000000-0005-0000-0000-0000AD360000}"/>
    <cellStyle name="40% - Accent3 3 2 2 2 5 3" xfId="20870" xr:uid="{00000000-0005-0000-0000-0000AE360000}"/>
    <cellStyle name="40% - Accent3 3 2 2 2 6" xfId="9327" xr:uid="{00000000-0005-0000-0000-0000AF360000}"/>
    <cellStyle name="40% - Accent3 3 2 2 2 6 2" xfId="23802" xr:uid="{00000000-0005-0000-0000-0000B0360000}"/>
    <cellStyle name="40% - Accent3 3 2 2 2 7" xfId="20866" xr:uid="{00000000-0005-0000-0000-0000B1360000}"/>
    <cellStyle name="40% - Accent3 3 2 2 3" xfId="3546" xr:uid="{00000000-0005-0000-0000-0000B2360000}"/>
    <cellStyle name="40% - Accent3 3 2 2 3 2" xfId="3547" xr:uid="{00000000-0005-0000-0000-0000B3360000}"/>
    <cellStyle name="40% - Accent3 3 2 2 3 2 2" xfId="15216" xr:uid="{00000000-0005-0000-0000-0000B4360000}"/>
    <cellStyle name="40% - Accent3 3 2 2 3 2 2 2" xfId="28765" xr:uid="{00000000-0005-0000-0000-0000B5360000}"/>
    <cellStyle name="40% - Accent3 3 2 2 3 2 3" xfId="20872" xr:uid="{00000000-0005-0000-0000-0000B6360000}"/>
    <cellStyle name="40% - Accent3 3 2 2 3 3" xfId="11053" xr:uid="{00000000-0005-0000-0000-0000B7360000}"/>
    <cellStyle name="40% - Accent3 3 2 2 3 3 2" xfId="24995" xr:uid="{00000000-0005-0000-0000-0000B8360000}"/>
    <cellStyle name="40% - Accent3 3 2 2 3 4" xfId="20871" xr:uid="{00000000-0005-0000-0000-0000B9360000}"/>
    <cellStyle name="40% - Accent3 3 2 2 4" xfId="3548" xr:uid="{00000000-0005-0000-0000-0000BA360000}"/>
    <cellStyle name="40% - Accent3 3 2 2 4 2" xfId="12331" xr:uid="{00000000-0005-0000-0000-0000BB360000}"/>
    <cellStyle name="40% - Accent3 3 2 2 4 2 2" xfId="26043" xr:uid="{00000000-0005-0000-0000-0000BC360000}"/>
    <cellStyle name="40% - Accent3 3 2 2 4 3" xfId="20873" xr:uid="{00000000-0005-0000-0000-0000BD360000}"/>
    <cellStyle name="40% - Accent3 3 2 2 5" xfId="3549" xr:uid="{00000000-0005-0000-0000-0000BE360000}"/>
    <cellStyle name="40% - Accent3 3 2 2 5 2" xfId="12826" xr:uid="{00000000-0005-0000-0000-0000BF360000}"/>
    <cellStyle name="40% - Accent3 3 2 2 5 2 2" xfId="26538" xr:uid="{00000000-0005-0000-0000-0000C0360000}"/>
    <cellStyle name="40% - Accent3 3 2 2 5 3" xfId="20874" xr:uid="{00000000-0005-0000-0000-0000C1360000}"/>
    <cellStyle name="40% - Accent3 3 2 2 6" xfId="3550" xr:uid="{00000000-0005-0000-0000-0000C2360000}"/>
    <cellStyle name="40% - Accent3 3 2 2 6 2" xfId="13895" xr:uid="{00000000-0005-0000-0000-0000C3360000}"/>
    <cellStyle name="40% - Accent3 3 2 2 6 2 2" xfId="27444" xr:uid="{00000000-0005-0000-0000-0000C4360000}"/>
    <cellStyle name="40% - Accent3 3 2 2 6 3" xfId="20875" xr:uid="{00000000-0005-0000-0000-0000C5360000}"/>
    <cellStyle name="40% - Accent3 3 2 2 7" xfId="3551" xr:uid="{00000000-0005-0000-0000-0000C6360000}"/>
    <cellStyle name="40% - Accent3 3 2 2 7 2" xfId="14476" xr:uid="{00000000-0005-0000-0000-0000C7360000}"/>
    <cellStyle name="40% - Accent3 3 2 2 7 2 2" xfId="28025" xr:uid="{00000000-0005-0000-0000-0000C8360000}"/>
    <cellStyle name="40% - Accent3 3 2 2 7 3" xfId="20876" xr:uid="{00000000-0005-0000-0000-0000C9360000}"/>
    <cellStyle name="40% - Accent3 3 2 2 8" xfId="3552" xr:uid="{00000000-0005-0000-0000-0000CA360000}"/>
    <cellStyle name="40% - Accent3 3 2 2 8 2" xfId="15214" xr:uid="{00000000-0005-0000-0000-0000CB360000}"/>
    <cellStyle name="40% - Accent3 3 2 2 8 2 2" xfId="28763" xr:uid="{00000000-0005-0000-0000-0000CC360000}"/>
    <cellStyle name="40% - Accent3 3 2 2 8 3" xfId="20877" xr:uid="{00000000-0005-0000-0000-0000CD360000}"/>
    <cellStyle name="40% - Accent3 3 2 2 9" xfId="3553" xr:uid="{00000000-0005-0000-0000-0000CE360000}"/>
    <cellStyle name="40% - Accent3 3 2 2 9 2" xfId="16362" xr:uid="{00000000-0005-0000-0000-0000CF360000}"/>
    <cellStyle name="40% - Accent3 3 2 2 9 2 2" xfId="29769" xr:uid="{00000000-0005-0000-0000-0000D0360000}"/>
    <cellStyle name="40% - Accent3 3 2 2 9 3" xfId="20878" xr:uid="{00000000-0005-0000-0000-0000D1360000}"/>
    <cellStyle name="40% - Accent3 3 2 3" xfId="3554" xr:uid="{00000000-0005-0000-0000-0000D2360000}"/>
    <cellStyle name="40% - Accent3 3 2 3 2" xfId="3555" xr:uid="{00000000-0005-0000-0000-0000D3360000}"/>
    <cellStyle name="40% - Accent3 3 2 3 2 2" xfId="11055" xr:uid="{00000000-0005-0000-0000-0000D4360000}"/>
    <cellStyle name="40% - Accent3 3 2 3 2 2 2" xfId="24997" xr:uid="{00000000-0005-0000-0000-0000D5360000}"/>
    <cellStyle name="40% - Accent3 3 2 3 2 3" xfId="20880" xr:uid="{00000000-0005-0000-0000-0000D6360000}"/>
    <cellStyle name="40% - Accent3 3 2 3 3" xfId="3556" xr:uid="{00000000-0005-0000-0000-0000D7360000}"/>
    <cellStyle name="40% - Accent3 3 2 3 3 2" xfId="12828" xr:uid="{00000000-0005-0000-0000-0000D8360000}"/>
    <cellStyle name="40% - Accent3 3 2 3 3 2 2" xfId="26540" xr:uid="{00000000-0005-0000-0000-0000D9360000}"/>
    <cellStyle name="40% - Accent3 3 2 3 3 3" xfId="20881" xr:uid="{00000000-0005-0000-0000-0000DA360000}"/>
    <cellStyle name="40% - Accent3 3 2 3 4" xfId="3557" xr:uid="{00000000-0005-0000-0000-0000DB360000}"/>
    <cellStyle name="40% - Accent3 3 2 3 4 2" xfId="15217" xr:uid="{00000000-0005-0000-0000-0000DC360000}"/>
    <cellStyle name="40% - Accent3 3 2 3 4 2 2" xfId="28766" xr:uid="{00000000-0005-0000-0000-0000DD360000}"/>
    <cellStyle name="40% - Accent3 3 2 3 4 3" xfId="20882" xr:uid="{00000000-0005-0000-0000-0000DE360000}"/>
    <cellStyle name="40% - Accent3 3 2 3 5" xfId="3558" xr:uid="{00000000-0005-0000-0000-0000DF360000}"/>
    <cellStyle name="40% - Accent3 3 2 3 5 2" xfId="16654" xr:uid="{00000000-0005-0000-0000-0000E0360000}"/>
    <cellStyle name="40% - Accent3 3 2 3 5 2 2" xfId="30061" xr:uid="{00000000-0005-0000-0000-0000E1360000}"/>
    <cellStyle name="40% - Accent3 3 2 3 5 3" xfId="20883" xr:uid="{00000000-0005-0000-0000-0000E2360000}"/>
    <cellStyle name="40% - Accent3 3 2 3 6" xfId="9328" xr:uid="{00000000-0005-0000-0000-0000E3360000}"/>
    <cellStyle name="40% - Accent3 3 2 3 6 2" xfId="23803" xr:uid="{00000000-0005-0000-0000-0000E4360000}"/>
    <cellStyle name="40% - Accent3 3 2 3 7" xfId="20879" xr:uid="{00000000-0005-0000-0000-0000E5360000}"/>
    <cellStyle name="40% - Accent3 3 2 4" xfId="3559" xr:uid="{00000000-0005-0000-0000-0000E6360000}"/>
    <cellStyle name="40% - Accent3 3 2 4 2" xfId="3560" xr:uid="{00000000-0005-0000-0000-0000E7360000}"/>
    <cellStyle name="40% - Accent3 3 2 4 2 2" xfId="15218" xr:uid="{00000000-0005-0000-0000-0000E8360000}"/>
    <cellStyle name="40% - Accent3 3 2 4 2 2 2" xfId="28767" xr:uid="{00000000-0005-0000-0000-0000E9360000}"/>
    <cellStyle name="40% - Accent3 3 2 4 2 3" xfId="20885" xr:uid="{00000000-0005-0000-0000-0000EA360000}"/>
    <cellStyle name="40% - Accent3 3 2 4 3" xfId="11052" xr:uid="{00000000-0005-0000-0000-0000EB360000}"/>
    <cellStyle name="40% - Accent3 3 2 4 3 2" xfId="24994" xr:uid="{00000000-0005-0000-0000-0000EC360000}"/>
    <cellStyle name="40% - Accent3 3 2 4 4" xfId="20884" xr:uid="{00000000-0005-0000-0000-0000ED360000}"/>
    <cellStyle name="40% - Accent3 3 2 5" xfId="3561" xr:uid="{00000000-0005-0000-0000-0000EE360000}"/>
    <cellStyle name="40% - Accent3 3 2 5 2" xfId="12031" xr:uid="{00000000-0005-0000-0000-0000EF360000}"/>
    <cellStyle name="40% - Accent3 3 2 5 2 2" xfId="25746" xr:uid="{00000000-0005-0000-0000-0000F0360000}"/>
    <cellStyle name="40% - Accent3 3 2 5 3" xfId="20886" xr:uid="{00000000-0005-0000-0000-0000F1360000}"/>
    <cellStyle name="40% - Accent3 3 2 6" xfId="3562" xr:uid="{00000000-0005-0000-0000-0000F2360000}"/>
    <cellStyle name="40% - Accent3 3 2 6 2" xfId="12825" xr:uid="{00000000-0005-0000-0000-0000F3360000}"/>
    <cellStyle name="40% - Accent3 3 2 6 2 2" xfId="26537" xr:uid="{00000000-0005-0000-0000-0000F4360000}"/>
    <cellStyle name="40% - Accent3 3 2 6 3" xfId="20887" xr:uid="{00000000-0005-0000-0000-0000F5360000}"/>
    <cellStyle name="40% - Accent3 3 2 7" xfId="3563" xr:uid="{00000000-0005-0000-0000-0000F6360000}"/>
    <cellStyle name="40% - Accent3 3 2 7 2" xfId="13606" xr:uid="{00000000-0005-0000-0000-0000F7360000}"/>
    <cellStyle name="40% - Accent3 3 2 7 2 2" xfId="27155" xr:uid="{00000000-0005-0000-0000-0000F8360000}"/>
    <cellStyle name="40% - Accent3 3 2 7 3" xfId="20888" xr:uid="{00000000-0005-0000-0000-0000F9360000}"/>
    <cellStyle name="40% - Accent3 3 2 8" xfId="3564" xr:uid="{00000000-0005-0000-0000-0000FA360000}"/>
    <cellStyle name="40% - Accent3 3 2 8 2" xfId="14187" xr:uid="{00000000-0005-0000-0000-0000FB360000}"/>
    <cellStyle name="40% - Accent3 3 2 8 2 2" xfId="27736" xr:uid="{00000000-0005-0000-0000-0000FC360000}"/>
    <cellStyle name="40% - Accent3 3 2 8 3" xfId="20889" xr:uid="{00000000-0005-0000-0000-0000FD360000}"/>
    <cellStyle name="40% - Accent3 3 2 9" xfId="3565" xr:uid="{00000000-0005-0000-0000-0000FE360000}"/>
    <cellStyle name="40% - Accent3 3 2 9 2" xfId="15213" xr:uid="{00000000-0005-0000-0000-0000FF360000}"/>
    <cellStyle name="40% - Accent3 3 2 9 2 2" xfId="28762" xr:uid="{00000000-0005-0000-0000-000000370000}"/>
    <cellStyle name="40% - Accent3 3 2 9 3" xfId="20890" xr:uid="{00000000-0005-0000-0000-000001370000}"/>
    <cellStyle name="40% - Accent3 3 3" xfId="3566" xr:uid="{00000000-0005-0000-0000-000002370000}"/>
    <cellStyle name="40% - Accent3 3 3 10" xfId="9329" xr:uid="{00000000-0005-0000-0000-000003370000}"/>
    <cellStyle name="40% - Accent3 3 3 10 2" xfId="23804" xr:uid="{00000000-0005-0000-0000-000004370000}"/>
    <cellStyle name="40% - Accent3 3 3 11" xfId="20891" xr:uid="{00000000-0005-0000-0000-000005370000}"/>
    <cellStyle name="40% - Accent3 3 3 2" xfId="3567" xr:uid="{00000000-0005-0000-0000-000006370000}"/>
    <cellStyle name="40% - Accent3 3 3 2 2" xfId="3568" xr:uid="{00000000-0005-0000-0000-000007370000}"/>
    <cellStyle name="40% - Accent3 3 3 2 2 2" xfId="11057" xr:uid="{00000000-0005-0000-0000-000008370000}"/>
    <cellStyle name="40% - Accent3 3 3 2 2 2 2" xfId="24999" xr:uid="{00000000-0005-0000-0000-000009370000}"/>
    <cellStyle name="40% - Accent3 3 3 2 2 3" xfId="20893" xr:uid="{00000000-0005-0000-0000-00000A370000}"/>
    <cellStyle name="40% - Accent3 3 3 2 3" xfId="3569" xr:uid="{00000000-0005-0000-0000-00000B370000}"/>
    <cellStyle name="40% - Accent3 3 3 2 3 2" xfId="12830" xr:uid="{00000000-0005-0000-0000-00000C370000}"/>
    <cellStyle name="40% - Accent3 3 3 2 3 2 2" xfId="26542" xr:uid="{00000000-0005-0000-0000-00000D370000}"/>
    <cellStyle name="40% - Accent3 3 3 2 3 3" xfId="20894" xr:uid="{00000000-0005-0000-0000-00000E370000}"/>
    <cellStyle name="40% - Accent3 3 3 2 4" xfId="3570" xr:uid="{00000000-0005-0000-0000-00000F370000}"/>
    <cellStyle name="40% - Accent3 3 3 2 4 2" xfId="15220" xr:uid="{00000000-0005-0000-0000-000010370000}"/>
    <cellStyle name="40% - Accent3 3 3 2 4 2 2" xfId="28769" xr:uid="{00000000-0005-0000-0000-000011370000}"/>
    <cellStyle name="40% - Accent3 3 3 2 4 3" xfId="20895" xr:uid="{00000000-0005-0000-0000-000012370000}"/>
    <cellStyle name="40% - Accent3 3 3 2 5" xfId="3571" xr:uid="{00000000-0005-0000-0000-000013370000}"/>
    <cellStyle name="40% - Accent3 3 3 2 5 2" xfId="16800" xr:uid="{00000000-0005-0000-0000-000014370000}"/>
    <cellStyle name="40% - Accent3 3 3 2 5 2 2" xfId="30207" xr:uid="{00000000-0005-0000-0000-000015370000}"/>
    <cellStyle name="40% - Accent3 3 3 2 5 3" xfId="20896" xr:uid="{00000000-0005-0000-0000-000016370000}"/>
    <cellStyle name="40% - Accent3 3 3 2 6" xfId="9330" xr:uid="{00000000-0005-0000-0000-000017370000}"/>
    <cellStyle name="40% - Accent3 3 3 2 6 2" xfId="23805" xr:uid="{00000000-0005-0000-0000-000018370000}"/>
    <cellStyle name="40% - Accent3 3 3 2 7" xfId="20892" xr:uid="{00000000-0005-0000-0000-000019370000}"/>
    <cellStyle name="40% - Accent3 3 3 3" xfId="3572" xr:uid="{00000000-0005-0000-0000-00001A370000}"/>
    <cellStyle name="40% - Accent3 3 3 3 2" xfId="3573" xr:uid="{00000000-0005-0000-0000-00001B370000}"/>
    <cellStyle name="40% - Accent3 3 3 3 2 2" xfId="15221" xr:uid="{00000000-0005-0000-0000-00001C370000}"/>
    <cellStyle name="40% - Accent3 3 3 3 2 2 2" xfId="28770" xr:uid="{00000000-0005-0000-0000-00001D370000}"/>
    <cellStyle name="40% - Accent3 3 3 3 2 3" xfId="20898" xr:uid="{00000000-0005-0000-0000-00001E370000}"/>
    <cellStyle name="40% - Accent3 3 3 3 3" xfId="11056" xr:uid="{00000000-0005-0000-0000-00001F370000}"/>
    <cellStyle name="40% - Accent3 3 3 3 3 2" xfId="24998" xr:uid="{00000000-0005-0000-0000-000020370000}"/>
    <cellStyle name="40% - Accent3 3 3 3 4" xfId="20897" xr:uid="{00000000-0005-0000-0000-000021370000}"/>
    <cellStyle name="40% - Accent3 3 3 4" xfId="3574" xr:uid="{00000000-0005-0000-0000-000022370000}"/>
    <cellStyle name="40% - Accent3 3 3 4 2" xfId="12188" xr:uid="{00000000-0005-0000-0000-000023370000}"/>
    <cellStyle name="40% - Accent3 3 3 4 2 2" xfId="25900" xr:uid="{00000000-0005-0000-0000-000024370000}"/>
    <cellStyle name="40% - Accent3 3 3 4 3" xfId="20899" xr:uid="{00000000-0005-0000-0000-000025370000}"/>
    <cellStyle name="40% - Accent3 3 3 5" xfId="3575" xr:uid="{00000000-0005-0000-0000-000026370000}"/>
    <cellStyle name="40% - Accent3 3 3 5 2" xfId="12829" xr:uid="{00000000-0005-0000-0000-000027370000}"/>
    <cellStyle name="40% - Accent3 3 3 5 2 2" xfId="26541" xr:uid="{00000000-0005-0000-0000-000028370000}"/>
    <cellStyle name="40% - Accent3 3 3 5 3" xfId="20900" xr:uid="{00000000-0005-0000-0000-000029370000}"/>
    <cellStyle name="40% - Accent3 3 3 6" xfId="3576" xr:uid="{00000000-0005-0000-0000-00002A370000}"/>
    <cellStyle name="40% - Accent3 3 3 6 2" xfId="13752" xr:uid="{00000000-0005-0000-0000-00002B370000}"/>
    <cellStyle name="40% - Accent3 3 3 6 2 2" xfId="27301" xr:uid="{00000000-0005-0000-0000-00002C370000}"/>
    <cellStyle name="40% - Accent3 3 3 6 3" xfId="20901" xr:uid="{00000000-0005-0000-0000-00002D370000}"/>
    <cellStyle name="40% - Accent3 3 3 7" xfId="3577" xr:uid="{00000000-0005-0000-0000-00002E370000}"/>
    <cellStyle name="40% - Accent3 3 3 7 2" xfId="14333" xr:uid="{00000000-0005-0000-0000-00002F370000}"/>
    <cellStyle name="40% - Accent3 3 3 7 2 2" xfId="27882" xr:uid="{00000000-0005-0000-0000-000030370000}"/>
    <cellStyle name="40% - Accent3 3 3 7 3" xfId="20902" xr:uid="{00000000-0005-0000-0000-000031370000}"/>
    <cellStyle name="40% - Accent3 3 3 8" xfId="3578" xr:uid="{00000000-0005-0000-0000-000032370000}"/>
    <cellStyle name="40% - Accent3 3 3 8 2" xfId="15219" xr:uid="{00000000-0005-0000-0000-000033370000}"/>
    <cellStyle name="40% - Accent3 3 3 8 2 2" xfId="28768" xr:uid="{00000000-0005-0000-0000-000034370000}"/>
    <cellStyle name="40% - Accent3 3 3 8 3" xfId="20903" xr:uid="{00000000-0005-0000-0000-000035370000}"/>
    <cellStyle name="40% - Accent3 3 3 9" xfId="3579" xr:uid="{00000000-0005-0000-0000-000036370000}"/>
    <cellStyle name="40% - Accent3 3 3 9 2" xfId="16219" xr:uid="{00000000-0005-0000-0000-000037370000}"/>
    <cellStyle name="40% - Accent3 3 3 9 2 2" xfId="29626" xr:uid="{00000000-0005-0000-0000-000038370000}"/>
    <cellStyle name="40% - Accent3 3 3 9 3" xfId="20904" xr:uid="{00000000-0005-0000-0000-000039370000}"/>
    <cellStyle name="40% - Accent3 3 4" xfId="3580" xr:uid="{00000000-0005-0000-0000-00003A370000}"/>
    <cellStyle name="40% - Accent3 3 4 2" xfId="3581" xr:uid="{00000000-0005-0000-0000-00003B370000}"/>
    <cellStyle name="40% - Accent3 3 4 2 2" xfId="11058" xr:uid="{00000000-0005-0000-0000-00003C370000}"/>
    <cellStyle name="40% - Accent3 3 4 2 2 2" xfId="25000" xr:uid="{00000000-0005-0000-0000-00003D370000}"/>
    <cellStyle name="40% - Accent3 3 4 2 3" xfId="20906" xr:uid="{00000000-0005-0000-0000-00003E370000}"/>
    <cellStyle name="40% - Accent3 3 4 3" xfId="3582" xr:uid="{00000000-0005-0000-0000-00003F370000}"/>
    <cellStyle name="40% - Accent3 3 4 3 2" xfId="12831" xr:uid="{00000000-0005-0000-0000-000040370000}"/>
    <cellStyle name="40% - Accent3 3 4 3 2 2" xfId="26543" xr:uid="{00000000-0005-0000-0000-000041370000}"/>
    <cellStyle name="40% - Accent3 3 4 3 3" xfId="20907" xr:uid="{00000000-0005-0000-0000-000042370000}"/>
    <cellStyle name="40% - Accent3 3 4 4" xfId="3583" xr:uid="{00000000-0005-0000-0000-000043370000}"/>
    <cellStyle name="40% - Accent3 3 4 4 2" xfId="15222" xr:uid="{00000000-0005-0000-0000-000044370000}"/>
    <cellStyle name="40% - Accent3 3 4 4 2 2" xfId="28771" xr:uid="{00000000-0005-0000-0000-000045370000}"/>
    <cellStyle name="40% - Accent3 3 4 4 3" xfId="20908" xr:uid="{00000000-0005-0000-0000-000046370000}"/>
    <cellStyle name="40% - Accent3 3 4 5" xfId="3584" xr:uid="{00000000-0005-0000-0000-000047370000}"/>
    <cellStyle name="40% - Accent3 3 4 5 2" xfId="17147" xr:uid="{00000000-0005-0000-0000-000048370000}"/>
    <cellStyle name="40% - Accent3 3 4 5 2 2" xfId="30506" xr:uid="{00000000-0005-0000-0000-000049370000}"/>
    <cellStyle name="40% - Accent3 3 4 5 3" xfId="20909" xr:uid="{00000000-0005-0000-0000-00004A370000}"/>
    <cellStyle name="40% - Accent3 3 4 6" xfId="9331" xr:uid="{00000000-0005-0000-0000-00004B370000}"/>
    <cellStyle name="40% - Accent3 3 4 6 2" xfId="23806" xr:uid="{00000000-0005-0000-0000-00004C370000}"/>
    <cellStyle name="40% - Accent3 3 4 7" xfId="20905" xr:uid="{00000000-0005-0000-0000-00004D370000}"/>
    <cellStyle name="40% - Accent3 3 5" xfId="3585" xr:uid="{00000000-0005-0000-0000-00004E370000}"/>
    <cellStyle name="40% - Accent3 3 5 2" xfId="3586" xr:uid="{00000000-0005-0000-0000-00004F370000}"/>
    <cellStyle name="40% - Accent3 3 5 2 2" xfId="11059" xr:uid="{00000000-0005-0000-0000-000050370000}"/>
    <cellStyle name="40% - Accent3 3 5 2 2 2" xfId="25001" xr:uid="{00000000-0005-0000-0000-000051370000}"/>
    <cellStyle name="40% - Accent3 3 5 2 3" xfId="20911" xr:uid="{00000000-0005-0000-0000-000052370000}"/>
    <cellStyle name="40% - Accent3 3 5 3" xfId="3587" xr:uid="{00000000-0005-0000-0000-000053370000}"/>
    <cellStyle name="40% - Accent3 3 5 3 2" xfId="12832" xr:uid="{00000000-0005-0000-0000-000054370000}"/>
    <cellStyle name="40% - Accent3 3 5 3 2 2" xfId="26544" xr:uid="{00000000-0005-0000-0000-000055370000}"/>
    <cellStyle name="40% - Accent3 3 5 3 3" xfId="20912" xr:uid="{00000000-0005-0000-0000-000056370000}"/>
    <cellStyle name="40% - Accent3 3 5 4" xfId="3588" xr:uid="{00000000-0005-0000-0000-000057370000}"/>
    <cellStyle name="40% - Accent3 3 5 4 2" xfId="15223" xr:uid="{00000000-0005-0000-0000-000058370000}"/>
    <cellStyle name="40% - Accent3 3 5 4 2 2" xfId="28772" xr:uid="{00000000-0005-0000-0000-000059370000}"/>
    <cellStyle name="40% - Accent3 3 5 4 3" xfId="20913" xr:uid="{00000000-0005-0000-0000-00005A370000}"/>
    <cellStyle name="40% - Accent3 3 5 5" xfId="3589" xr:uid="{00000000-0005-0000-0000-00005B370000}"/>
    <cellStyle name="40% - Accent3 3 5 5 2" xfId="17236" xr:uid="{00000000-0005-0000-0000-00005C370000}"/>
    <cellStyle name="40% - Accent3 3 5 5 2 2" xfId="30595" xr:uid="{00000000-0005-0000-0000-00005D370000}"/>
    <cellStyle name="40% - Accent3 3 5 5 3" xfId="20914" xr:uid="{00000000-0005-0000-0000-00005E370000}"/>
    <cellStyle name="40% - Accent3 3 5 6" xfId="9332" xr:uid="{00000000-0005-0000-0000-00005F370000}"/>
    <cellStyle name="40% - Accent3 3 5 6 2" xfId="23807" xr:uid="{00000000-0005-0000-0000-000060370000}"/>
    <cellStyle name="40% - Accent3 3 5 7" xfId="20910" xr:uid="{00000000-0005-0000-0000-000061370000}"/>
    <cellStyle name="40% - Accent3 3 6" xfId="3590" xr:uid="{00000000-0005-0000-0000-000062370000}"/>
    <cellStyle name="40% - Accent3 3 6 2" xfId="3591" xr:uid="{00000000-0005-0000-0000-000063370000}"/>
    <cellStyle name="40% - Accent3 3 6 2 2" xfId="15224" xr:uid="{00000000-0005-0000-0000-000064370000}"/>
    <cellStyle name="40% - Accent3 3 6 2 2 2" xfId="28773" xr:uid="{00000000-0005-0000-0000-000065370000}"/>
    <cellStyle name="40% - Accent3 3 6 2 3" xfId="20916" xr:uid="{00000000-0005-0000-0000-000066370000}"/>
    <cellStyle name="40% - Accent3 3 6 3" xfId="3592" xr:uid="{00000000-0005-0000-0000-000067370000}"/>
    <cellStyle name="40% - Accent3 3 6 3 2" xfId="16511" xr:uid="{00000000-0005-0000-0000-000068370000}"/>
    <cellStyle name="40% - Accent3 3 6 3 2 2" xfId="29918" xr:uid="{00000000-0005-0000-0000-000069370000}"/>
    <cellStyle name="40% - Accent3 3 6 3 3" xfId="20917" xr:uid="{00000000-0005-0000-0000-00006A370000}"/>
    <cellStyle name="40% - Accent3 3 6 4" xfId="11051" xr:uid="{00000000-0005-0000-0000-00006B370000}"/>
    <cellStyle name="40% - Accent3 3 6 4 2" xfId="24993" xr:uid="{00000000-0005-0000-0000-00006C370000}"/>
    <cellStyle name="40% - Accent3 3 6 5" xfId="20915" xr:uid="{00000000-0005-0000-0000-00006D370000}"/>
    <cellStyle name="40% - Accent3 3 7" xfId="3593" xr:uid="{00000000-0005-0000-0000-00006E370000}"/>
    <cellStyle name="40% - Accent3 3 7 2" xfId="11883" xr:uid="{00000000-0005-0000-0000-00006F370000}"/>
    <cellStyle name="40% - Accent3 3 7 2 2" xfId="25598" xr:uid="{00000000-0005-0000-0000-000070370000}"/>
    <cellStyle name="40% - Accent3 3 7 3" xfId="20918" xr:uid="{00000000-0005-0000-0000-000071370000}"/>
    <cellStyle name="40% - Accent3 3 8" xfId="3594" xr:uid="{00000000-0005-0000-0000-000072370000}"/>
    <cellStyle name="40% - Accent3 3 8 2" xfId="12824" xr:uid="{00000000-0005-0000-0000-000073370000}"/>
    <cellStyle name="40% - Accent3 3 8 2 2" xfId="26536" xr:uid="{00000000-0005-0000-0000-000074370000}"/>
    <cellStyle name="40% - Accent3 3 8 3" xfId="20919" xr:uid="{00000000-0005-0000-0000-000075370000}"/>
    <cellStyle name="40% - Accent3 3 9" xfId="3595" xr:uid="{00000000-0005-0000-0000-000076370000}"/>
    <cellStyle name="40% - Accent3 3 9 2" xfId="13463" xr:uid="{00000000-0005-0000-0000-000077370000}"/>
    <cellStyle name="40% - Accent3 3 9 2 2" xfId="27012" xr:uid="{00000000-0005-0000-0000-000078370000}"/>
    <cellStyle name="40% - Accent3 3 9 3" xfId="20920" xr:uid="{00000000-0005-0000-0000-000079370000}"/>
    <cellStyle name="40% - Accent3 30" xfId="23254" xr:uid="{00000000-0005-0000-0000-00007A370000}"/>
    <cellStyle name="40% - Accent3 4" xfId="3596" xr:uid="{00000000-0005-0000-0000-00007B370000}"/>
    <cellStyle name="40% - Accent3 4 10" xfId="3597" xr:uid="{00000000-0005-0000-0000-00007C370000}"/>
    <cellStyle name="40% - Accent3 4 10 2" xfId="15225" xr:uid="{00000000-0005-0000-0000-00007D370000}"/>
    <cellStyle name="40% - Accent3 4 10 2 2" xfId="28774" xr:uid="{00000000-0005-0000-0000-00007E370000}"/>
    <cellStyle name="40% - Accent3 4 10 3" xfId="20922" xr:uid="{00000000-0005-0000-0000-00007F370000}"/>
    <cellStyle name="40% - Accent3 4 11" xfId="3598" xr:uid="{00000000-0005-0000-0000-000080370000}"/>
    <cellStyle name="40% - Accent3 4 11 2" xfId="15887" xr:uid="{00000000-0005-0000-0000-000081370000}"/>
    <cellStyle name="40% - Accent3 4 11 2 2" xfId="29294" xr:uid="{00000000-0005-0000-0000-000082370000}"/>
    <cellStyle name="40% - Accent3 4 11 3" xfId="20923" xr:uid="{00000000-0005-0000-0000-000083370000}"/>
    <cellStyle name="40% - Accent3 4 12" xfId="9333" xr:uid="{00000000-0005-0000-0000-000084370000}"/>
    <cellStyle name="40% - Accent3 4 12 2" xfId="23808" xr:uid="{00000000-0005-0000-0000-000085370000}"/>
    <cellStyle name="40% - Accent3 4 13" xfId="20921" xr:uid="{00000000-0005-0000-0000-000086370000}"/>
    <cellStyle name="40% - Accent3 4 2" xfId="3599" xr:uid="{00000000-0005-0000-0000-000087370000}"/>
    <cellStyle name="40% - Accent3 4 2 10" xfId="3600" xr:uid="{00000000-0005-0000-0000-000088370000}"/>
    <cellStyle name="40% - Accent3 4 2 10 2" xfId="16030" xr:uid="{00000000-0005-0000-0000-000089370000}"/>
    <cellStyle name="40% - Accent3 4 2 10 2 2" xfId="29437" xr:uid="{00000000-0005-0000-0000-00008A370000}"/>
    <cellStyle name="40% - Accent3 4 2 10 3" xfId="20925" xr:uid="{00000000-0005-0000-0000-00008B370000}"/>
    <cellStyle name="40% - Accent3 4 2 11" xfId="9334" xr:uid="{00000000-0005-0000-0000-00008C370000}"/>
    <cellStyle name="40% - Accent3 4 2 11 2" xfId="23809" xr:uid="{00000000-0005-0000-0000-00008D370000}"/>
    <cellStyle name="40% - Accent3 4 2 12" xfId="20924" xr:uid="{00000000-0005-0000-0000-00008E370000}"/>
    <cellStyle name="40% - Accent3 4 2 2" xfId="3601" xr:uid="{00000000-0005-0000-0000-00008F370000}"/>
    <cellStyle name="40% - Accent3 4 2 2 10" xfId="9335" xr:uid="{00000000-0005-0000-0000-000090370000}"/>
    <cellStyle name="40% - Accent3 4 2 2 10 2" xfId="23810" xr:uid="{00000000-0005-0000-0000-000091370000}"/>
    <cellStyle name="40% - Accent3 4 2 2 11" xfId="20926" xr:uid="{00000000-0005-0000-0000-000092370000}"/>
    <cellStyle name="40% - Accent3 4 2 2 2" xfId="3602" xr:uid="{00000000-0005-0000-0000-000093370000}"/>
    <cellStyle name="40% - Accent3 4 2 2 2 2" xfId="3603" xr:uid="{00000000-0005-0000-0000-000094370000}"/>
    <cellStyle name="40% - Accent3 4 2 2 2 2 2" xfId="11063" xr:uid="{00000000-0005-0000-0000-000095370000}"/>
    <cellStyle name="40% - Accent3 4 2 2 2 2 2 2" xfId="25005" xr:uid="{00000000-0005-0000-0000-000096370000}"/>
    <cellStyle name="40% - Accent3 4 2 2 2 2 3" xfId="20928" xr:uid="{00000000-0005-0000-0000-000097370000}"/>
    <cellStyle name="40% - Accent3 4 2 2 2 3" xfId="3604" xr:uid="{00000000-0005-0000-0000-000098370000}"/>
    <cellStyle name="40% - Accent3 4 2 2 2 3 2" xfId="12836" xr:uid="{00000000-0005-0000-0000-000099370000}"/>
    <cellStyle name="40% - Accent3 4 2 2 2 3 2 2" xfId="26548" xr:uid="{00000000-0005-0000-0000-00009A370000}"/>
    <cellStyle name="40% - Accent3 4 2 2 2 3 3" xfId="20929" xr:uid="{00000000-0005-0000-0000-00009B370000}"/>
    <cellStyle name="40% - Accent3 4 2 2 2 4" xfId="3605" xr:uid="{00000000-0005-0000-0000-00009C370000}"/>
    <cellStyle name="40% - Accent3 4 2 2 2 4 2" xfId="15228" xr:uid="{00000000-0005-0000-0000-00009D370000}"/>
    <cellStyle name="40% - Accent3 4 2 2 2 4 2 2" xfId="28777" xr:uid="{00000000-0005-0000-0000-00009E370000}"/>
    <cellStyle name="40% - Accent3 4 2 2 2 4 3" xfId="20930" xr:uid="{00000000-0005-0000-0000-00009F370000}"/>
    <cellStyle name="40% - Accent3 4 2 2 2 5" xfId="3606" xr:uid="{00000000-0005-0000-0000-0000A0370000}"/>
    <cellStyle name="40% - Accent3 4 2 2 2 5 2" xfId="16900" xr:uid="{00000000-0005-0000-0000-0000A1370000}"/>
    <cellStyle name="40% - Accent3 4 2 2 2 5 2 2" xfId="30307" xr:uid="{00000000-0005-0000-0000-0000A2370000}"/>
    <cellStyle name="40% - Accent3 4 2 2 2 5 3" xfId="20931" xr:uid="{00000000-0005-0000-0000-0000A3370000}"/>
    <cellStyle name="40% - Accent3 4 2 2 2 6" xfId="9336" xr:uid="{00000000-0005-0000-0000-0000A4370000}"/>
    <cellStyle name="40% - Accent3 4 2 2 2 6 2" xfId="23811" xr:uid="{00000000-0005-0000-0000-0000A5370000}"/>
    <cellStyle name="40% - Accent3 4 2 2 2 7" xfId="20927" xr:uid="{00000000-0005-0000-0000-0000A6370000}"/>
    <cellStyle name="40% - Accent3 4 2 2 3" xfId="3607" xr:uid="{00000000-0005-0000-0000-0000A7370000}"/>
    <cellStyle name="40% - Accent3 4 2 2 3 2" xfId="3608" xr:uid="{00000000-0005-0000-0000-0000A8370000}"/>
    <cellStyle name="40% - Accent3 4 2 2 3 2 2" xfId="15229" xr:uid="{00000000-0005-0000-0000-0000A9370000}"/>
    <cellStyle name="40% - Accent3 4 2 2 3 2 2 2" xfId="28778" xr:uid="{00000000-0005-0000-0000-0000AA370000}"/>
    <cellStyle name="40% - Accent3 4 2 2 3 2 3" xfId="20933" xr:uid="{00000000-0005-0000-0000-0000AB370000}"/>
    <cellStyle name="40% - Accent3 4 2 2 3 3" xfId="11062" xr:uid="{00000000-0005-0000-0000-0000AC370000}"/>
    <cellStyle name="40% - Accent3 4 2 2 3 3 2" xfId="25004" xr:uid="{00000000-0005-0000-0000-0000AD370000}"/>
    <cellStyle name="40% - Accent3 4 2 2 3 4" xfId="20932" xr:uid="{00000000-0005-0000-0000-0000AE370000}"/>
    <cellStyle name="40% - Accent3 4 2 2 4" xfId="3609" xr:uid="{00000000-0005-0000-0000-0000AF370000}"/>
    <cellStyle name="40% - Accent3 4 2 2 4 2" xfId="12288" xr:uid="{00000000-0005-0000-0000-0000B0370000}"/>
    <cellStyle name="40% - Accent3 4 2 2 4 2 2" xfId="26000" xr:uid="{00000000-0005-0000-0000-0000B1370000}"/>
    <cellStyle name="40% - Accent3 4 2 2 4 3" xfId="20934" xr:uid="{00000000-0005-0000-0000-0000B2370000}"/>
    <cellStyle name="40% - Accent3 4 2 2 5" xfId="3610" xr:uid="{00000000-0005-0000-0000-0000B3370000}"/>
    <cellStyle name="40% - Accent3 4 2 2 5 2" xfId="12835" xr:uid="{00000000-0005-0000-0000-0000B4370000}"/>
    <cellStyle name="40% - Accent3 4 2 2 5 2 2" xfId="26547" xr:uid="{00000000-0005-0000-0000-0000B5370000}"/>
    <cellStyle name="40% - Accent3 4 2 2 5 3" xfId="20935" xr:uid="{00000000-0005-0000-0000-0000B6370000}"/>
    <cellStyle name="40% - Accent3 4 2 2 6" xfId="3611" xr:uid="{00000000-0005-0000-0000-0000B7370000}"/>
    <cellStyle name="40% - Accent3 4 2 2 6 2" xfId="13852" xr:uid="{00000000-0005-0000-0000-0000B8370000}"/>
    <cellStyle name="40% - Accent3 4 2 2 6 2 2" xfId="27401" xr:uid="{00000000-0005-0000-0000-0000B9370000}"/>
    <cellStyle name="40% - Accent3 4 2 2 6 3" xfId="20936" xr:uid="{00000000-0005-0000-0000-0000BA370000}"/>
    <cellStyle name="40% - Accent3 4 2 2 7" xfId="3612" xr:uid="{00000000-0005-0000-0000-0000BB370000}"/>
    <cellStyle name="40% - Accent3 4 2 2 7 2" xfId="14433" xr:uid="{00000000-0005-0000-0000-0000BC370000}"/>
    <cellStyle name="40% - Accent3 4 2 2 7 2 2" xfId="27982" xr:uid="{00000000-0005-0000-0000-0000BD370000}"/>
    <cellStyle name="40% - Accent3 4 2 2 7 3" xfId="20937" xr:uid="{00000000-0005-0000-0000-0000BE370000}"/>
    <cellStyle name="40% - Accent3 4 2 2 8" xfId="3613" xr:uid="{00000000-0005-0000-0000-0000BF370000}"/>
    <cellStyle name="40% - Accent3 4 2 2 8 2" xfId="15227" xr:uid="{00000000-0005-0000-0000-0000C0370000}"/>
    <cellStyle name="40% - Accent3 4 2 2 8 2 2" xfId="28776" xr:uid="{00000000-0005-0000-0000-0000C1370000}"/>
    <cellStyle name="40% - Accent3 4 2 2 8 3" xfId="20938" xr:uid="{00000000-0005-0000-0000-0000C2370000}"/>
    <cellStyle name="40% - Accent3 4 2 2 9" xfId="3614" xr:uid="{00000000-0005-0000-0000-0000C3370000}"/>
    <cellStyle name="40% - Accent3 4 2 2 9 2" xfId="16319" xr:uid="{00000000-0005-0000-0000-0000C4370000}"/>
    <cellStyle name="40% - Accent3 4 2 2 9 2 2" xfId="29726" xr:uid="{00000000-0005-0000-0000-0000C5370000}"/>
    <cellStyle name="40% - Accent3 4 2 2 9 3" xfId="20939" xr:uid="{00000000-0005-0000-0000-0000C6370000}"/>
    <cellStyle name="40% - Accent3 4 2 3" xfId="3615" xr:uid="{00000000-0005-0000-0000-0000C7370000}"/>
    <cellStyle name="40% - Accent3 4 2 3 2" xfId="3616" xr:uid="{00000000-0005-0000-0000-0000C8370000}"/>
    <cellStyle name="40% - Accent3 4 2 3 2 2" xfId="11064" xr:uid="{00000000-0005-0000-0000-0000C9370000}"/>
    <cellStyle name="40% - Accent3 4 2 3 2 2 2" xfId="25006" xr:uid="{00000000-0005-0000-0000-0000CA370000}"/>
    <cellStyle name="40% - Accent3 4 2 3 2 3" xfId="20941" xr:uid="{00000000-0005-0000-0000-0000CB370000}"/>
    <cellStyle name="40% - Accent3 4 2 3 3" xfId="3617" xr:uid="{00000000-0005-0000-0000-0000CC370000}"/>
    <cellStyle name="40% - Accent3 4 2 3 3 2" xfId="12837" xr:uid="{00000000-0005-0000-0000-0000CD370000}"/>
    <cellStyle name="40% - Accent3 4 2 3 3 2 2" xfId="26549" xr:uid="{00000000-0005-0000-0000-0000CE370000}"/>
    <cellStyle name="40% - Accent3 4 2 3 3 3" xfId="20942" xr:uid="{00000000-0005-0000-0000-0000CF370000}"/>
    <cellStyle name="40% - Accent3 4 2 3 4" xfId="3618" xr:uid="{00000000-0005-0000-0000-0000D0370000}"/>
    <cellStyle name="40% - Accent3 4 2 3 4 2" xfId="15230" xr:uid="{00000000-0005-0000-0000-0000D1370000}"/>
    <cellStyle name="40% - Accent3 4 2 3 4 2 2" xfId="28779" xr:uid="{00000000-0005-0000-0000-0000D2370000}"/>
    <cellStyle name="40% - Accent3 4 2 3 4 3" xfId="20943" xr:uid="{00000000-0005-0000-0000-0000D3370000}"/>
    <cellStyle name="40% - Accent3 4 2 3 5" xfId="3619" xr:uid="{00000000-0005-0000-0000-0000D4370000}"/>
    <cellStyle name="40% - Accent3 4 2 3 5 2" xfId="16611" xr:uid="{00000000-0005-0000-0000-0000D5370000}"/>
    <cellStyle name="40% - Accent3 4 2 3 5 2 2" xfId="30018" xr:uid="{00000000-0005-0000-0000-0000D6370000}"/>
    <cellStyle name="40% - Accent3 4 2 3 5 3" xfId="20944" xr:uid="{00000000-0005-0000-0000-0000D7370000}"/>
    <cellStyle name="40% - Accent3 4 2 3 6" xfId="9337" xr:uid="{00000000-0005-0000-0000-0000D8370000}"/>
    <cellStyle name="40% - Accent3 4 2 3 6 2" xfId="23812" xr:uid="{00000000-0005-0000-0000-0000D9370000}"/>
    <cellStyle name="40% - Accent3 4 2 3 7" xfId="20940" xr:uid="{00000000-0005-0000-0000-0000DA370000}"/>
    <cellStyle name="40% - Accent3 4 2 4" xfId="3620" xr:uid="{00000000-0005-0000-0000-0000DB370000}"/>
    <cellStyle name="40% - Accent3 4 2 4 2" xfId="3621" xr:uid="{00000000-0005-0000-0000-0000DC370000}"/>
    <cellStyle name="40% - Accent3 4 2 4 2 2" xfId="15231" xr:uid="{00000000-0005-0000-0000-0000DD370000}"/>
    <cellStyle name="40% - Accent3 4 2 4 2 2 2" xfId="28780" xr:uid="{00000000-0005-0000-0000-0000DE370000}"/>
    <cellStyle name="40% - Accent3 4 2 4 2 3" xfId="20946" xr:uid="{00000000-0005-0000-0000-0000DF370000}"/>
    <cellStyle name="40% - Accent3 4 2 4 3" xfId="11061" xr:uid="{00000000-0005-0000-0000-0000E0370000}"/>
    <cellStyle name="40% - Accent3 4 2 4 3 2" xfId="25003" xr:uid="{00000000-0005-0000-0000-0000E1370000}"/>
    <cellStyle name="40% - Accent3 4 2 4 4" xfId="20945" xr:uid="{00000000-0005-0000-0000-0000E2370000}"/>
    <cellStyle name="40% - Accent3 4 2 5" xfId="3622" xr:uid="{00000000-0005-0000-0000-0000E3370000}"/>
    <cellStyle name="40% - Accent3 4 2 5 2" xfId="11988" xr:uid="{00000000-0005-0000-0000-0000E4370000}"/>
    <cellStyle name="40% - Accent3 4 2 5 2 2" xfId="25703" xr:uid="{00000000-0005-0000-0000-0000E5370000}"/>
    <cellStyle name="40% - Accent3 4 2 5 3" xfId="20947" xr:uid="{00000000-0005-0000-0000-0000E6370000}"/>
    <cellStyle name="40% - Accent3 4 2 6" xfId="3623" xr:uid="{00000000-0005-0000-0000-0000E7370000}"/>
    <cellStyle name="40% - Accent3 4 2 6 2" xfId="12834" xr:uid="{00000000-0005-0000-0000-0000E8370000}"/>
    <cellStyle name="40% - Accent3 4 2 6 2 2" xfId="26546" xr:uid="{00000000-0005-0000-0000-0000E9370000}"/>
    <cellStyle name="40% - Accent3 4 2 6 3" xfId="20948" xr:uid="{00000000-0005-0000-0000-0000EA370000}"/>
    <cellStyle name="40% - Accent3 4 2 7" xfId="3624" xr:uid="{00000000-0005-0000-0000-0000EB370000}"/>
    <cellStyle name="40% - Accent3 4 2 7 2" xfId="13563" xr:uid="{00000000-0005-0000-0000-0000EC370000}"/>
    <cellStyle name="40% - Accent3 4 2 7 2 2" xfId="27112" xr:uid="{00000000-0005-0000-0000-0000ED370000}"/>
    <cellStyle name="40% - Accent3 4 2 7 3" xfId="20949" xr:uid="{00000000-0005-0000-0000-0000EE370000}"/>
    <cellStyle name="40% - Accent3 4 2 8" xfId="3625" xr:uid="{00000000-0005-0000-0000-0000EF370000}"/>
    <cellStyle name="40% - Accent3 4 2 8 2" xfId="14144" xr:uid="{00000000-0005-0000-0000-0000F0370000}"/>
    <cellStyle name="40% - Accent3 4 2 8 2 2" xfId="27693" xr:uid="{00000000-0005-0000-0000-0000F1370000}"/>
    <cellStyle name="40% - Accent3 4 2 8 3" xfId="20950" xr:uid="{00000000-0005-0000-0000-0000F2370000}"/>
    <cellStyle name="40% - Accent3 4 2 9" xfId="3626" xr:uid="{00000000-0005-0000-0000-0000F3370000}"/>
    <cellStyle name="40% - Accent3 4 2 9 2" xfId="15226" xr:uid="{00000000-0005-0000-0000-0000F4370000}"/>
    <cellStyle name="40% - Accent3 4 2 9 2 2" xfId="28775" xr:uid="{00000000-0005-0000-0000-0000F5370000}"/>
    <cellStyle name="40% - Accent3 4 2 9 3" xfId="20951" xr:uid="{00000000-0005-0000-0000-0000F6370000}"/>
    <cellStyle name="40% - Accent3 4 3" xfId="3627" xr:uid="{00000000-0005-0000-0000-0000F7370000}"/>
    <cellStyle name="40% - Accent3 4 3 10" xfId="9338" xr:uid="{00000000-0005-0000-0000-0000F8370000}"/>
    <cellStyle name="40% - Accent3 4 3 10 2" xfId="23813" xr:uid="{00000000-0005-0000-0000-0000F9370000}"/>
    <cellStyle name="40% - Accent3 4 3 11" xfId="20952" xr:uid="{00000000-0005-0000-0000-0000FA370000}"/>
    <cellStyle name="40% - Accent3 4 3 2" xfId="3628" xr:uid="{00000000-0005-0000-0000-0000FB370000}"/>
    <cellStyle name="40% - Accent3 4 3 2 2" xfId="3629" xr:uid="{00000000-0005-0000-0000-0000FC370000}"/>
    <cellStyle name="40% - Accent3 4 3 2 2 2" xfId="11066" xr:uid="{00000000-0005-0000-0000-0000FD370000}"/>
    <cellStyle name="40% - Accent3 4 3 2 2 2 2" xfId="25008" xr:uid="{00000000-0005-0000-0000-0000FE370000}"/>
    <cellStyle name="40% - Accent3 4 3 2 2 3" xfId="20954" xr:uid="{00000000-0005-0000-0000-0000FF370000}"/>
    <cellStyle name="40% - Accent3 4 3 2 3" xfId="3630" xr:uid="{00000000-0005-0000-0000-000000380000}"/>
    <cellStyle name="40% - Accent3 4 3 2 3 2" xfId="12839" xr:uid="{00000000-0005-0000-0000-000001380000}"/>
    <cellStyle name="40% - Accent3 4 3 2 3 2 2" xfId="26551" xr:uid="{00000000-0005-0000-0000-000002380000}"/>
    <cellStyle name="40% - Accent3 4 3 2 3 3" xfId="20955" xr:uid="{00000000-0005-0000-0000-000003380000}"/>
    <cellStyle name="40% - Accent3 4 3 2 4" xfId="3631" xr:uid="{00000000-0005-0000-0000-000004380000}"/>
    <cellStyle name="40% - Accent3 4 3 2 4 2" xfId="15233" xr:uid="{00000000-0005-0000-0000-000005380000}"/>
    <cellStyle name="40% - Accent3 4 3 2 4 2 2" xfId="28782" xr:uid="{00000000-0005-0000-0000-000006380000}"/>
    <cellStyle name="40% - Accent3 4 3 2 4 3" xfId="20956" xr:uid="{00000000-0005-0000-0000-000007380000}"/>
    <cellStyle name="40% - Accent3 4 3 2 5" xfId="3632" xr:uid="{00000000-0005-0000-0000-000008380000}"/>
    <cellStyle name="40% - Accent3 4 3 2 5 2" xfId="16760" xr:uid="{00000000-0005-0000-0000-000009380000}"/>
    <cellStyle name="40% - Accent3 4 3 2 5 2 2" xfId="30167" xr:uid="{00000000-0005-0000-0000-00000A380000}"/>
    <cellStyle name="40% - Accent3 4 3 2 5 3" xfId="20957" xr:uid="{00000000-0005-0000-0000-00000B380000}"/>
    <cellStyle name="40% - Accent3 4 3 2 6" xfId="9339" xr:uid="{00000000-0005-0000-0000-00000C380000}"/>
    <cellStyle name="40% - Accent3 4 3 2 6 2" xfId="23814" xr:uid="{00000000-0005-0000-0000-00000D380000}"/>
    <cellStyle name="40% - Accent3 4 3 2 7" xfId="20953" xr:uid="{00000000-0005-0000-0000-00000E380000}"/>
    <cellStyle name="40% - Accent3 4 3 3" xfId="3633" xr:uid="{00000000-0005-0000-0000-00000F380000}"/>
    <cellStyle name="40% - Accent3 4 3 3 2" xfId="3634" xr:uid="{00000000-0005-0000-0000-000010380000}"/>
    <cellStyle name="40% - Accent3 4 3 3 2 2" xfId="15234" xr:uid="{00000000-0005-0000-0000-000011380000}"/>
    <cellStyle name="40% - Accent3 4 3 3 2 2 2" xfId="28783" xr:uid="{00000000-0005-0000-0000-000012380000}"/>
    <cellStyle name="40% - Accent3 4 3 3 2 3" xfId="20959" xr:uid="{00000000-0005-0000-0000-000013380000}"/>
    <cellStyle name="40% - Accent3 4 3 3 3" xfId="11065" xr:uid="{00000000-0005-0000-0000-000014380000}"/>
    <cellStyle name="40% - Accent3 4 3 3 3 2" xfId="25007" xr:uid="{00000000-0005-0000-0000-000015380000}"/>
    <cellStyle name="40% - Accent3 4 3 3 4" xfId="20958" xr:uid="{00000000-0005-0000-0000-000016380000}"/>
    <cellStyle name="40% - Accent3 4 3 4" xfId="3635" xr:uid="{00000000-0005-0000-0000-000017380000}"/>
    <cellStyle name="40% - Accent3 4 3 4 2" xfId="12148" xr:uid="{00000000-0005-0000-0000-000018380000}"/>
    <cellStyle name="40% - Accent3 4 3 4 2 2" xfId="25860" xr:uid="{00000000-0005-0000-0000-000019380000}"/>
    <cellStyle name="40% - Accent3 4 3 4 3" xfId="20960" xr:uid="{00000000-0005-0000-0000-00001A380000}"/>
    <cellStyle name="40% - Accent3 4 3 5" xfId="3636" xr:uid="{00000000-0005-0000-0000-00001B380000}"/>
    <cellStyle name="40% - Accent3 4 3 5 2" xfId="12838" xr:uid="{00000000-0005-0000-0000-00001C380000}"/>
    <cellStyle name="40% - Accent3 4 3 5 2 2" xfId="26550" xr:uid="{00000000-0005-0000-0000-00001D380000}"/>
    <cellStyle name="40% - Accent3 4 3 5 3" xfId="20961" xr:uid="{00000000-0005-0000-0000-00001E380000}"/>
    <cellStyle name="40% - Accent3 4 3 6" xfId="3637" xr:uid="{00000000-0005-0000-0000-00001F380000}"/>
    <cellStyle name="40% - Accent3 4 3 6 2" xfId="13712" xr:uid="{00000000-0005-0000-0000-000020380000}"/>
    <cellStyle name="40% - Accent3 4 3 6 2 2" xfId="27261" xr:uid="{00000000-0005-0000-0000-000021380000}"/>
    <cellStyle name="40% - Accent3 4 3 6 3" xfId="20962" xr:uid="{00000000-0005-0000-0000-000022380000}"/>
    <cellStyle name="40% - Accent3 4 3 7" xfId="3638" xr:uid="{00000000-0005-0000-0000-000023380000}"/>
    <cellStyle name="40% - Accent3 4 3 7 2" xfId="14293" xr:uid="{00000000-0005-0000-0000-000024380000}"/>
    <cellStyle name="40% - Accent3 4 3 7 2 2" xfId="27842" xr:uid="{00000000-0005-0000-0000-000025380000}"/>
    <cellStyle name="40% - Accent3 4 3 7 3" xfId="20963" xr:uid="{00000000-0005-0000-0000-000026380000}"/>
    <cellStyle name="40% - Accent3 4 3 8" xfId="3639" xr:uid="{00000000-0005-0000-0000-000027380000}"/>
    <cellStyle name="40% - Accent3 4 3 8 2" xfId="15232" xr:uid="{00000000-0005-0000-0000-000028380000}"/>
    <cellStyle name="40% - Accent3 4 3 8 2 2" xfId="28781" xr:uid="{00000000-0005-0000-0000-000029380000}"/>
    <cellStyle name="40% - Accent3 4 3 8 3" xfId="20964" xr:uid="{00000000-0005-0000-0000-00002A380000}"/>
    <cellStyle name="40% - Accent3 4 3 9" xfId="3640" xr:uid="{00000000-0005-0000-0000-00002B380000}"/>
    <cellStyle name="40% - Accent3 4 3 9 2" xfId="16179" xr:uid="{00000000-0005-0000-0000-00002C380000}"/>
    <cellStyle name="40% - Accent3 4 3 9 2 2" xfId="29586" xr:uid="{00000000-0005-0000-0000-00002D380000}"/>
    <cellStyle name="40% - Accent3 4 3 9 3" xfId="20965" xr:uid="{00000000-0005-0000-0000-00002E380000}"/>
    <cellStyle name="40% - Accent3 4 4" xfId="3641" xr:uid="{00000000-0005-0000-0000-00002F380000}"/>
    <cellStyle name="40% - Accent3 4 4 2" xfId="3642" xr:uid="{00000000-0005-0000-0000-000030380000}"/>
    <cellStyle name="40% - Accent3 4 4 2 2" xfId="11067" xr:uid="{00000000-0005-0000-0000-000031380000}"/>
    <cellStyle name="40% - Accent3 4 4 2 2 2" xfId="25009" xr:uid="{00000000-0005-0000-0000-000032380000}"/>
    <cellStyle name="40% - Accent3 4 4 2 3" xfId="20967" xr:uid="{00000000-0005-0000-0000-000033380000}"/>
    <cellStyle name="40% - Accent3 4 4 3" xfId="3643" xr:uid="{00000000-0005-0000-0000-000034380000}"/>
    <cellStyle name="40% - Accent3 4 4 3 2" xfId="12840" xr:uid="{00000000-0005-0000-0000-000035380000}"/>
    <cellStyle name="40% - Accent3 4 4 3 2 2" xfId="26552" xr:uid="{00000000-0005-0000-0000-000036380000}"/>
    <cellStyle name="40% - Accent3 4 4 3 3" xfId="20968" xr:uid="{00000000-0005-0000-0000-000037380000}"/>
    <cellStyle name="40% - Accent3 4 4 4" xfId="3644" xr:uid="{00000000-0005-0000-0000-000038380000}"/>
    <cellStyle name="40% - Accent3 4 4 4 2" xfId="15235" xr:uid="{00000000-0005-0000-0000-000039380000}"/>
    <cellStyle name="40% - Accent3 4 4 4 2 2" xfId="28784" xr:uid="{00000000-0005-0000-0000-00003A380000}"/>
    <cellStyle name="40% - Accent3 4 4 4 3" xfId="20969" xr:uid="{00000000-0005-0000-0000-00003B380000}"/>
    <cellStyle name="40% - Accent3 4 4 5" xfId="3645" xr:uid="{00000000-0005-0000-0000-00003C380000}"/>
    <cellStyle name="40% - Accent3 4 4 5 2" xfId="16468" xr:uid="{00000000-0005-0000-0000-00003D380000}"/>
    <cellStyle name="40% - Accent3 4 4 5 2 2" xfId="29875" xr:uid="{00000000-0005-0000-0000-00003E380000}"/>
    <cellStyle name="40% - Accent3 4 4 5 3" xfId="20970" xr:uid="{00000000-0005-0000-0000-00003F380000}"/>
    <cellStyle name="40% - Accent3 4 4 6" xfId="9340" xr:uid="{00000000-0005-0000-0000-000040380000}"/>
    <cellStyle name="40% - Accent3 4 4 6 2" xfId="23815" xr:uid="{00000000-0005-0000-0000-000041380000}"/>
    <cellStyle name="40% - Accent3 4 4 7" xfId="20966" xr:uid="{00000000-0005-0000-0000-000042380000}"/>
    <cellStyle name="40% - Accent3 4 5" xfId="3646" xr:uid="{00000000-0005-0000-0000-000043380000}"/>
    <cellStyle name="40% - Accent3 4 5 2" xfId="3647" xr:uid="{00000000-0005-0000-0000-000044380000}"/>
    <cellStyle name="40% - Accent3 4 5 2 2" xfId="15236" xr:uid="{00000000-0005-0000-0000-000045380000}"/>
    <cellStyle name="40% - Accent3 4 5 2 2 2" xfId="28785" xr:uid="{00000000-0005-0000-0000-000046380000}"/>
    <cellStyle name="40% - Accent3 4 5 2 3" xfId="20972" xr:uid="{00000000-0005-0000-0000-000047380000}"/>
    <cellStyle name="40% - Accent3 4 5 3" xfId="11060" xr:uid="{00000000-0005-0000-0000-000048380000}"/>
    <cellStyle name="40% - Accent3 4 5 3 2" xfId="25002" xr:uid="{00000000-0005-0000-0000-000049380000}"/>
    <cellStyle name="40% - Accent3 4 5 4" xfId="20971" xr:uid="{00000000-0005-0000-0000-00004A380000}"/>
    <cellStyle name="40% - Accent3 4 6" xfId="3648" xr:uid="{00000000-0005-0000-0000-00004B380000}"/>
    <cellStyle name="40% - Accent3 4 6 2" xfId="11819" xr:uid="{00000000-0005-0000-0000-00004C380000}"/>
    <cellStyle name="40% - Accent3 4 6 2 2" xfId="25534" xr:uid="{00000000-0005-0000-0000-00004D380000}"/>
    <cellStyle name="40% - Accent3 4 6 3" xfId="20973" xr:uid="{00000000-0005-0000-0000-00004E380000}"/>
    <cellStyle name="40% - Accent3 4 7" xfId="3649" xr:uid="{00000000-0005-0000-0000-00004F380000}"/>
    <cellStyle name="40% - Accent3 4 7 2" xfId="12833" xr:uid="{00000000-0005-0000-0000-000050380000}"/>
    <cellStyle name="40% - Accent3 4 7 2 2" xfId="26545" xr:uid="{00000000-0005-0000-0000-000051380000}"/>
    <cellStyle name="40% - Accent3 4 7 3" xfId="20974" xr:uid="{00000000-0005-0000-0000-000052380000}"/>
    <cellStyle name="40% - Accent3 4 8" xfId="3650" xr:uid="{00000000-0005-0000-0000-000053380000}"/>
    <cellStyle name="40% - Accent3 4 8 2" xfId="13420" xr:uid="{00000000-0005-0000-0000-000054380000}"/>
    <cellStyle name="40% - Accent3 4 8 2 2" xfId="26969" xr:uid="{00000000-0005-0000-0000-000055380000}"/>
    <cellStyle name="40% - Accent3 4 8 3" xfId="20975" xr:uid="{00000000-0005-0000-0000-000056380000}"/>
    <cellStyle name="40% - Accent3 4 9" xfId="3651" xr:uid="{00000000-0005-0000-0000-000057380000}"/>
    <cellStyle name="40% - Accent3 4 9 2" xfId="14001" xr:uid="{00000000-0005-0000-0000-000058380000}"/>
    <cellStyle name="40% - Accent3 4 9 2 2" xfId="27550" xr:uid="{00000000-0005-0000-0000-000059380000}"/>
    <cellStyle name="40% - Accent3 4 9 3" xfId="20976" xr:uid="{00000000-0005-0000-0000-00005A380000}"/>
    <cellStyle name="40% - Accent3 5" xfId="3652" xr:uid="{00000000-0005-0000-0000-00005B380000}"/>
    <cellStyle name="40% - Accent3 5 10" xfId="3653" xr:uid="{00000000-0005-0000-0000-00005C380000}"/>
    <cellStyle name="40% - Accent3 5 10 2" xfId="15237" xr:uid="{00000000-0005-0000-0000-00005D380000}"/>
    <cellStyle name="40% - Accent3 5 10 2 2" xfId="28786" xr:uid="{00000000-0005-0000-0000-00005E380000}"/>
    <cellStyle name="40% - Accent3 5 10 3" xfId="20978" xr:uid="{00000000-0005-0000-0000-00005F380000}"/>
    <cellStyle name="40% - Accent3 5 11" xfId="3654" xr:uid="{00000000-0005-0000-0000-000060380000}"/>
    <cellStyle name="40% - Accent3 5 11 2" xfId="15870" xr:uid="{00000000-0005-0000-0000-000061380000}"/>
    <cellStyle name="40% - Accent3 5 11 2 2" xfId="29277" xr:uid="{00000000-0005-0000-0000-000062380000}"/>
    <cellStyle name="40% - Accent3 5 11 3" xfId="20979" xr:uid="{00000000-0005-0000-0000-000063380000}"/>
    <cellStyle name="40% - Accent3 5 12" xfId="9341" xr:uid="{00000000-0005-0000-0000-000064380000}"/>
    <cellStyle name="40% - Accent3 5 12 2" xfId="23816" xr:uid="{00000000-0005-0000-0000-000065380000}"/>
    <cellStyle name="40% - Accent3 5 13" xfId="20977" xr:uid="{00000000-0005-0000-0000-000066380000}"/>
    <cellStyle name="40% - Accent3 5 2" xfId="3655" xr:uid="{00000000-0005-0000-0000-000067380000}"/>
    <cellStyle name="40% - Accent3 5 2 10" xfId="3656" xr:uid="{00000000-0005-0000-0000-000068380000}"/>
    <cellStyle name="40% - Accent3 5 2 10 2" xfId="16013" xr:uid="{00000000-0005-0000-0000-000069380000}"/>
    <cellStyle name="40% - Accent3 5 2 10 2 2" xfId="29420" xr:uid="{00000000-0005-0000-0000-00006A380000}"/>
    <cellStyle name="40% - Accent3 5 2 10 3" xfId="20981" xr:uid="{00000000-0005-0000-0000-00006B380000}"/>
    <cellStyle name="40% - Accent3 5 2 11" xfId="9342" xr:uid="{00000000-0005-0000-0000-00006C380000}"/>
    <cellStyle name="40% - Accent3 5 2 11 2" xfId="23817" xr:uid="{00000000-0005-0000-0000-00006D380000}"/>
    <cellStyle name="40% - Accent3 5 2 12" xfId="20980" xr:uid="{00000000-0005-0000-0000-00006E380000}"/>
    <cellStyle name="40% - Accent3 5 2 2" xfId="3657" xr:uid="{00000000-0005-0000-0000-00006F380000}"/>
    <cellStyle name="40% - Accent3 5 2 2 10" xfId="9343" xr:uid="{00000000-0005-0000-0000-000070380000}"/>
    <cellStyle name="40% - Accent3 5 2 2 10 2" xfId="23818" xr:uid="{00000000-0005-0000-0000-000071380000}"/>
    <cellStyle name="40% - Accent3 5 2 2 11" xfId="20982" xr:uid="{00000000-0005-0000-0000-000072380000}"/>
    <cellStyle name="40% - Accent3 5 2 2 2" xfId="3658" xr:uid="{00000000-0005-0000-0000-000073380000}"/>
    <cellStyle name="40% - Accent3 5 2 2 2 2" xfId="3659" xr:uid="{00000000-0005-0000-0000-000074380000}"/>
    <cellStyle name="40% - Accent3 5 2 2 2 2 2" xfId="11071" xr:uid="{00000000-0005-0000-0000-000075380000}"/>
    <cellStyle name="40% - Accent3 5 2 2 2 2 2 2" xfId="25013" xr:uid="{00000000-0005-0000-0000-000076380000}"/>
    <cellStyle name="40% - Accent3 5 2 2 2 2 3" xfId="20984" xr:uid="{00000000-0005-0000-0000-000077380000}"/>
    <cellStyle name="40% - Accent3 5 2 2 2 3" xfId="3660" xr:uid="{00000000-0005-0000-0000-000078380000}"/>
    <cellStyle name="40% - Accent3 5 2 2 2 3 2" xfId="12844" xr:uid="{00000000-0005-0000-0000-000079380000}"/>
    <cellStyle name="40% - Accent3 5 2 2 2 3 2 2" xfId="26556" xr:uid="{00000000-0005-0000-0000-00007A380000}"/>
    <cellStyle name="40% - Accent3 5 2 2 2 3 3" xfId="20985" xr:uid="{00000000-0005-0000-0000-00007B380000}"/>
    <cellStyle name="40% - Accent3 5 2 2 2 4" xfId="3661" xr:uid="{00000000-0005-0000-0000-00007C380000}"/>
    <cellStyle name="40% - Accent3 5 2 2 2 4 2" xfId="15240" xr:uid="{00000000-0005-0000-0000-00007D380000}"/>
    <cellStyle name="40% - Accent3 5 2 2 2 4 2 2" xfId="28789" xr:uid="{00000000-0005-0000-0000-00007E380000}"/>
    <cellStyle name="40% - Accent3 5 2 2 2 4 3" xfId="20986" xr:uid="{00000000-0005-0000-0000-00007F380000}"/>
    <cellStyle name="40% - Accent3 5 2 2 2 5" xfId="3662" xr:uid="{00000000-0005-0000-0000-000080380000}"/>
    <cellStyle name="40% - Accent3 5 2 2 2 5 2" xfId="16883" xr:uid="{00000000-0005-0000-0000-000081380000}"/>
    <cellStyle name="40% - Accent3 5 2 2 2 5 2 2" xfId="30290" xr:uid="{00000000-0005-0000-0000-000082380000}"/>
    <cellStyle name="40% - Accent3 5 2 2 2 5 3" xfId="20987" xr:uid="{00000000-0005-0000-0000-000083380000}"/>
    <cellStyle name="40% - Accent3 5 2 2 2 6" xfId="9344" xr:uid="{00000000-0005-0000-0000-000084380000}"/>
    <cellStyle name="40% - Accent3 5 2 2 2 6 2" xfId="23819" xr:uid="{00000000-0005-0000-0000-000085380000}"/>
    <cellStyle name="40% - Accent3 5 2 2 2 7" xfId="20983" xr:uid="{00000000-0005-0000-0000-000086380000}"/>
    <cellStyle name="40% - Accent3 5 2 2 3" xfId="3663" xr:uid="{00000000-0005-0000-0000-000087380000}"/>
    <cellStyle name="40% - Accent3 5 2 2 3 2" xfId="3664" xr:uid="{00000000-0005-0000-0000-000088380000}"/>
    <cellStyle name="40% - Accent3 5 2 2 3 2 2" xfId="15241" xr:uid="{00000000-0005-0000-0000-000089380000}"/>
    <cellStyle name="40% - Accent3 5 2 2 3 2 2 2" xfId="28790" xr:uid="{00000000-0005-0000-0000-00008A380000}"/>
    <cellStyle name="40% - Accent3 5 2 2 3 2 3" xfId="20989" xr:uid="{00000000-0005-0000-0000-00008B380000}"/>
    <cellStyle name="40% - Accent3 5 2 2 3 3" xfId="11070" xr:uid="{00000000-0005-0000-0000-00008C380000}"/>
    <cellStyle name="40% - Accent3 5 2 2 3 3 2" xfId="25012" xr:uid="{00000000-0005-0000-0000-00008D380000}"/>
    <cellStyle name="40% - Accent3 5 2 2 3 4" xfId="20988" xr:uid="{00000000-0005-0000-0000-00008E380000}"/>
    <cellStyle name="40% - Accent3 5 2 2 4" xfId="3665" xr:uid="{00000000-0005-0000-0000-00008F380000}"/>
    <cellStyle name="40% - Accent3 5 2 2 4 2" xfId="12271" xr:uid="{00000000-0005-0000-0000-000090380000}"/>
    <cellStyle name="40% - Accent3 5 2 2 4 2 2" xfId="25983" xr:uid="{00000000-0005-0000-0000-000091380000}"/>
    <cellStyle name="40% - Accent3 5 2 2 4 3" xfId="20990" xr:uid="{00000000-0005-0000-0000-000092380000}"/>
    <cellStyle name="40% - Accent3 5 2 2 5" xfId="3666" xr:uid="{00000000-0005-0000-0000-000093380000}"/>
    <cellStyle name="40% - Accent3 5 2 2 5 2" xfId="12843" xr:uid="{00000000-0005-0000-0000-000094380000}"/>
    <cellStyle name="40% - Accent3 5 2 2 5 2 2" xfId="26555" xr:uid="{00000000-0005-0000-0000-000095380000}"/>
    <cellStyle name="40% - Accent3 5 2 2 5 3" xfId="20991" xr:uid="{00000000-0005-0000-0000-000096380000}"/>
    <cellStyle name="40% - Accent3 5 2 2 6" xfId="3667" xr:uid="{00000000-0005-0000-0000-000097380000}"/>
    <cellStyle name="40% - Accent3 5 2 2 6 2" xfId="13835" xr:uid="{00000000-0005-0000-0000-000098380000}"/>
    <cellStyle name="40% - Accent3 5 2 2 6 2 2" xfId="27384" xr:uid="{00000000-0005-0000-0000-000099380000}"/>
    <cellStyle name="40% - Accent3 5 2 2 6 3" xfId="20992" xr:uid="{00000000-0005-0000-0000-00009A380000}"/>
    <cellStyle name="40% - Accent3 5 2 2 7" xfId="3668" xr:uid="{00000000-0005-0000-0000-00009B380000}"/>
    <cellStyle name="40% - Accent3 5 2 2 7 2" xfId="14416" xr:uid="{00000000-0005-0000-0000-00009C380000}"/>
    <cellStyle name="40% - Accent3 5 2 2 7 2 2" xfId="27965" xr:uid="{00000000-0005-0000-0000-00009D380000}"/>
    <cellStyle name="40% - Accent3 5 2 2 7 3" xfId="20993" xr:uid="{00000000-0005-0000-0000-00009E380000}"/>
    <cellStyle name="40% - Accent3 5 2 2 8" xfId="3669" xr:uid="{00000000-0005-0000-0000-00009F380000}"/>
    <cellStyle name="40% - Accent3 5 2 2 8 2" xfId="15239" xr:uid="{00000000-0005-0000-0000-0000A0380000}"/>
    <cellStyle name="40% - Accent3 5 2 2 8 2 2" xfId="28788" xr:uid="{00000000-0005-0000-0000-0000A1380000}"/>
    <cellStyle name="40% - Accent3 5 2 2 8 3" xfId="20994" xr:uid="{00000000-0005-0000-0000-0000A2380000}"/>
    <cellStyle name="40% - Accent3 5 2 2 9" xfId="3670" xr:uid="{00000000-0005-0000-0000-0000A3380000}"/>
    <cellStyle name="40% - Accent3 5 2 2 9 2" xfId="16302" xr:uid="{00000000-0005-0000-0000-0000A4380000}"/>
    <cellStyle name="40% - Accent3 5 2 2 9 2 2" xfId="29709" xr:uid="{00000000-0005-0000-0000-0000A5380000}"/>
    <cellStyle name="40% - Accent3 5 2 2 9 3" xfId="20995" xr:uid="{00000000-0005-0000-0000-0000A6380000}"/>
    <cellStyle name="40% - Accent3 5 2 3" xfId="3671" xr:uid="{00000000-0005-0000-0000-0000A7380000}"/>
    <cellStyle name="40% - Accent3 5 2 3 2" xfId="3672" xr:uid="{00000000-0005-0000-0000-0000A8380000}"/>
    <cellStyle name="40% - Accent3 5 2 3 2 2" xfId="11072" xr:uid="{00000000-0005-0000-0000-0000A9380000}"/>
    <cellStyle name="40% - Accent3 5 2 3 2 2 2" xfId="25014" xr:uid="{00000000-0005-0000-0000-0000AA380000}"/>
    <cellStyle name="40% - Accent3 5 2 3 2 3" xfId="20997" xr:uid="{00000000-0005-0000-0000-0000AB380000}"/>
    <cellStyle name="40% - Accent3 5 2 3 3" xfId="3673" xr:uid="{00000000-0005-0000-0000-0000AC380000}"/>
    <cellStyle name="40% - Accent3 5 2 3 3 2" xfId="12845" xr:uid="{00000000-0005-0000-0000-0000AD380000}"/>
    <cellStyle name="40% - Accent3 5 2 3 3 2 2" xfId="26557" xr:uid="{00000000-0005-0000-0000-0000AE380000}"/>
    <cellStyle name="40% - Accent3 5 2 3 3 3" xfId="20998" xr:uid="{00000000-0005-0000-0000-0000AF380000}"/>
    <cellStyle name="40% - Accent3 5 2 3 4" xfId="3674" xr:uid="{00000000-0005-0000-0000-0000B0380000}"/>
    <cellStyle name="40% - Accent3 5 2 3 4 2" xfId="15242" xr:uid="{00000000-0005-0000-0000-0000B1380000}"/>
    <cellStyle name="40% - Accent3 5 2 3 4 2 2" xfId="28791" xr:uid="{00000000-0005-0000-0000-0000B2380000}"/>
    <cellStyle name="40% - Accent3 5 2 3 4 3" xfId="20999" xr:uid="{00000000-0005-0000-0000-0000B3380000}"/>
    <cellStyle name="40% - Accent3 5 2 3 5" xfId="3675" xr:uid="{00000000-0005-0000-0000-0000B4380000}"/>
    <cellStyle name="40% - Accent3 5 2 3 5 2" xfId="16594" xr:uid="{00000000-0005-0000-0000-0000B5380000}"/>
    <cellStyle name="40% - Accent3 5 2 3 5 2 2" xfId="30001" xr:uid="{00000000-0005-0000-0000-0000B6380000}"/>
    <cellStyle name="40% - Accent3 5 2 3 5 3" xfId="21000" xr:uid="{00000000-0005-0000-0000-0000B7380000}"/>
    <cellStyle name="40% - Accent3 5 2 3 6" xfId="9345" xr:uid="{00000000-0005-0000-0000-0000B8380000}"/>
    <cellStyle name="40% - Accent3 5 2 3 6 2" xfId="23820" xr:uid="{00000000-0005-0000-0000-0000B9380000}"/>
    <cellStyle name="40% - Accent3 5 2 3 7" xfId="20996" xr:uid="{00000000-0005-0000-0000-0000BA380000}"/>
    <cellStyle name="40% - Accent3 5 2 4" xfId="3676" xr:uid="{00000000-0005-0000-0000-0000BB380000}"/>
    <cellStyle name="40% - Accent3 5 2 4 2" xfId="3677" xr:uid="{00000000-0005-0000-0000-0000BC380000}"/>
    <cellStyle name="40% - Accent3 5 2 4 2 2" xfId="15243" xr:uid="{00000000-0005-0000-0000-0000BD380000}"/>
    <cellStyle name="40% - Accent3 5 2 4 2 2 2" xfId="28792" xr:uid="{00000000-0005-0000-0000-0000BE380000}"/>
    <cellStyle name="40% - Accent3 5 2 4 2 3" xfId="21002" xr:uid="{00000000-0005-0000-0000-0000BF380000}"/>
    <cellStyle name="40% - Accent3 5 2 4 3" xfId="11069" xr:uid="{00000000-0005-0000-0000-0000C0380000}"/>
    <cellStyle name="40% - Accent3 5 2 4 3 2" xfId="25011" xr:uid="{00000000-0005-0000-0000-0000C1380000}"/>
    <cellStyle name="40% - Accent3 5 2 4 4" xfId="21001" xr:uid="{00000000-0005-0000-0000-0000C2380000}"/>
    <cellStyle name="40% - Accent3 5 2 5" xfId="3678" xr:uid="{00000000-0005-0000-0000-0000C3380000}"/>
    <cellStyle name="40% - Accent3 5 2 5 2" xfId="11971" xr:uid="{00000000-0005-0000-0000-0000C4380000}"/>
    <cellStyle name="40% - Accent3 5 2 5 2 2" xfId="25686" xr:uid="{00000000-0005-0000-0000-0000C5380000}"/>
    <cellStyle name="40% - Accent3 5 2 5 3" xfId="21003" xr:uid="{00000000-0005-0000-0000-0000C6380000}"/>
    <cellStyle name="40% - Accent3 5 2 6" xfId="3679" xr:uid="{00000000-0005-0000-0000-0000C7380000}"/>
    <cellStyle name="40% - Accent3 5 2 6 2" xfId="12842" xr:uid="{00000000-0005-0000-0000-0000C8380000}"/>
    <cellStyle name="40% - Accent3 5 2 6 2 2" xfId="26554" xr:uid="{00000000-0005-0000-0000-0000C9380000}"/>
    <cellStyle name="40% - Accent3 5 2 6 3" xfId="21004" xr:uid="{00000000-0005-0000-0000-0000CA380000}"/>
    <cellStyle name="40% - Accent3 5 2 7" xfId="3680" xr:uid="{00000000-0005-0000-0000-0000CB380000}"/>
    <cellStyle name="40% - Accent3 5 2 7 2" xfId="13546" xr:uid="{00000000-0005-0000-0000-0000CC380000}"/>
    <cellStyle name="40% - Accent3 5 2 7 2 2" xfId="27095" xr:uid="{00000000-0005-0000-0000-0000CD380000}"/>
    <cellStyle name="40% - Accent3 5 2 7 3" xfId="21005" xr:uid="{00000000-0005-0000-0000-0000CE380000}"/>
    <cellStyle name="40% - Accent3 5 2 8" xfId="3681" xr:uid="{00000000-0005-0000-0000-0000CF380000}"/>
    <cellStyle name="40% - Accent3 5 2 8 2" xfId="14127" xr:uid="{00000000-0005-0000-0000-0000D0380000}"/>
    <cellStyle name="40% - Accent3 5 2 8 2 2" xfId="27676" xr:uid="{00000000-0005-0000-0000-0000D1380000}"/>
    <cellStyle name="40% - Accent3 5 2 8 3" xfId="21006" xr:uid="{00000000-0005-0000-0000-0000D2380000}"/>
    <cellStyle name="40% - Accent3 5 2 9" xfId="3682" xr:uid="{00000000-0005-0000-0000-0000D3380000}"/>
    <cellStyle name="40% - Accent3 5 2 9 2" xfId="15238" xr:uid="{00000000-0005-0000-0000-0000D4380000}"/>
    <cellStyle name="40% - Accent3 5 2 9 2 2" xfId="28787" xr:uid="{00000000-0005-0000-0000-0000D5380000}"/>
    <cellStyle name="40% - Accent3 5 2 9 3" xfId="21007" xr:uid="{00000000-0005-0000-0000-0000D6380000}"/>
    <cellStyle name="40% - Accent3 5 3" xfId="3683" xr:uid="{00000000-0005-0000-0000-0000D7380000}"/>
    <cellStyle name="40% - Accent3 5 3 10" xfId="9346" xr:uid="{00000000-0005-0000-0000-0000D8380000}"/>
    <cellStyle name="40% - Accent3 5 3 10 2" xfId="23821" xr:uid="{00000000-0005-0000-0000-0000D9380000}"/>
    <cellStyle name="40% - Accent3 5 3 11" xfId="21008" xr:uid="{00000000-0005-0000-0000-0000DA380000}"/>
    <cellStyle name="40% - Accent3 5 3 2" xfId="3684" xr:uid="{00000000-0005-0000-0000-0000DB380000}"/>
    <cellStyle name="40% - Accent3 5 3 2 2" xfId="3685" xr:uid="{00000000-0005-0000-0000-0000DC380000}"/>
    <cellStyle name="40% - Accent3 5 3 2 2 2" xfId="11074" xr:uid="{00000000-0005-0000-0000-0000DD380000}"/>
    <cellStyle name="40% - Accent3 5 3 2 2 2 2" xfId="25016" xr:uid="{00000000-0005-0000-0000-0000DE380000}"/>
    <cellStyle name="40% - Accent3 5 3 2 2 3" xfId="21010" xr:uid="{00000000-0005-0000-0000-0000DF380000}"/>
    <cellStyle name="40% - Accent3 5 3 2 3" xfId="3686" xr:uid="{00000000-0005-0000-0000-0000E0380000}"/>
    <cellStyle name="40% - Accent3 5 3 2 3 2" xfId="12847" xr:uid="{00000000-0005-0000-0000-0000E1380000}"/>
    <cellStyle name="40% - Accent3 5 3 2 3 2 2" xfId="26559" xr:uid="{00000000-0005-0000-0000-0000E2380000}"/>
    <cellStyle name="40% - Accent3 5 3 2 3 3" xfId="21011" xr:uid="{00000000-0005-0000-0000-0000E3380000}"/>
    <cellStyle name="40% - Accent3 5 3 2 4" xfId="3687" xr:uid="{00000000-0005-0000-0000-0000E4380000}"/>
    <cellStyle name="40% - Accent3 5 3 2 4 2" xfId="15245" xr:uid="{00000000-0005-0000-0000-0000E5380000}"/>
    <cellStyle name="40% - Accent3 5 3 2 4 2 2" xfId="28794" xr:uid="{00000000-0005-0000-0000-0000E6380000}"/>
    <cellStyle name="40% - Accent3 5 3 2 4 3" xfId="21012" xr:uid="{00000000-0005-0000-0000-0000E7380000}"/>
    <cellStyle name="40% - Accent3 5 3 2 5" xfId="3688" xr:uid="{00000000-0005-0000-0000-0000E8380000}"/>
    <cellStyle name="40% - Accent3 5 3 2 5 2" xfId="16743" xr:uid="{00000000-0005-0000-0000-0000E9380000}"/>
    <cellStyle name="40% - Accent3 5 3 2 5 2 2" xfId="30150" xr:uid="{00000000-0005-0000-0000-0000EA380000}"/>
    <cellStyle name="40% - Accent3 5 3 2 5 3" xfId="21013" xr:uid="{00000000-0005-0000-0000-0000EB380000}"/>
    <cellStyle name="40% - Accent3 5 3 2 6" xfId="9347" xr:uid="{00000000-0005-0000-0000-0000EC380000}"/>
    <cellStyle name="40% - Accent3 5 3 2 6 2" xfId="23822" xr:uid="{00000000-0005-0000-0000-0000ED380000}"/>
    <cellStyle name="40% - Accent3 5 3 2 7" xfId="21009" xr:uid="{00000000-0005-0000-0000-0000EE380000}"/>
    <cellStyle name="40% - Accent3 5 3 3" xfId="3689" xr:uid="{00000000-0005-0000-0000-0000EF380000}"/>
    <cellStyle name="40% - Accent3 5 3 3 2" xfId="3690" xr:uid="{00000000-0005-0000-0000-0000F0380000}"/>
    <cellStyle name="40% - Accent3 5 3 3 2 2" xfId="15246" xr:uid="{00000000-0005-0000-0000-0000F1380000}"/>
    <cellStyle name="40% - Accent3 5 3 3 2 2 2" xfId="28795" xr:uid="{00000000-0005-0000-0000-0000F2380000}"/>
    <cellStyle name="40% - Accent3 5 3 3 2 3" xfId="21015" xr:uid="{00000000-0005-0000-0000-0000F3380000}"/>
    <cellStyle name="40% - Accent3 5 3 3 3" xfId="11073" xr:uid="{00000000-0005-0000-0000-0000F4380000}"/>
    <cellStyle name="40% - Accent3 5 3 3 3 2" xfId="25015" xr:uid="{00000000-0005-0000-0000-0000F5380000}"/>
    <cellStyle name="40% - Accent3 5 3 3 4" xfId="21014" xr:uid="{00000000-0005-0000-0000-0000F6380000}"/>
    <cellStyle name="40% - Accent3 5 3 4" xfId="3691" xr:uid="{00000000-0005-0000-0000-0000F7380000}"/>
    <cellStyle name="40% - Accent3 5 3 4 2" xfId="12131" xr:uid="{00000000-0005-0000-0000-0000F8380000}"/>
    <cellStyle name="40% - Accent3 5 3 4 2 2" xfId="25843" xr:uid="{00000000-0005-0000-0000-0000F9380000}"/>
    <cellStyle name="40% - Accent3 5 3 4 3" xfId="21016" xr:uid="{00000000-0005-0000-0000-0000FA380000}"/>
    <cellStyle name="40% - Accent3 5 3 5" xfId="3692" xr:uid="{00000000-0005-0000-0000-0000FB380000}"/>
    <cellStyle name="40% - Accent3 5 3 5 2" xfId="12846" xr:uid="{00000000-0005-0000-0000-0000FC380000}"/>
    <cellStyle name="40% - Accent3 5 3 5 2 2" xfId="26558" xr:uid="{00000000-0005-0000-0000-0000FD380000}"/>
    <cellStyle name="40% - Accent3 5 3 5 3" xfId="21017" xr:uid="{00000000-0005-0000-0000-0000FE380000}"/>
    <cellStyle name="40% - Accent3 5 3 6" xfId="3693" xr:uid="{00000000-0005-0000-0000-0000FF380000}"/>
    <cellStyle name="40% - Accent3 5 3 6 2" xfId="13695" xr:uid="{00000000-0005-0000-0000-000000390000}"/>
    <cellStyle name="40% - Accent3 5 3 6 2 2" xfId="27244" xr:uid="{00000000-0005-0000-0000-000001390000}"/>
    <cellStyle name="40% - Accent3 5 3 6 3" xfId="21018" xr:uid="{00000000-0005-0000-0000-000002390000}"/>
    <cellStyle name="40% - Accent3 5 3 7" xfId="3694" xr:uid="{00000000-0005-0000-0000-000003390000}"/>
    <cellStyle name="40% - Accent3 5 3 7 2" xfId="14276" xr:uid="{00000000-0005-0000-0000-000004390000}"/>
    <cellStyle name="40% - Accent3 5 3 7 2 2" xfId="27825" xr:uid="{00000000-0005-0000-0000-000005390000}"/>
    <cellStyle name="40% - Accent3 5 3 7 3" xfId="21019" xr:uid="{00000000-0005-0000-0000-000006390000}"/>
    <cellStyle name="40% - Accent3 5 3 8" xfId="3695" xr:uid="{00000000-0005-0000-0000-000007390000}"/>
    <cellStyle name="40% - Accent3 5 3 8 2" xfId="15244" xr:uid="{00000000-0005-0000-0000-000008390000}"/>
    <cellStyle name="40% - Accent3 5 3 8 2 2" xfId="28793" xr:uid="{00000000-0005-0000-0000-000009390000}"/>
    <cellStyle name="40% - Accent3 5 3 8 3" xfId="21020" xr:uid="{00000000-0005-0000-0000-00000A390000}"/>
    <cellStyle name="40% - Accent3 5 3 9" xfId="3696" xr:uid="{00000000-0005-0000-0000-00000B390000}"/>
    <cellStyle name="40% - Accent3 5 3 9 2" xfId="16162" xr:uid="{00000000-0005-0000-0000-00000C390000}"/>
    <cellStyle name="40% - Accent3 5 3 9 2 2" xfId="29569" xr:uid="{00000000-0005-0000-0000-00000D390000}"/>
    <cellStyle name="40% - Accent3 5 3 9 3" xfId="21021" xr:uid="{00000000-0005-0000-0000-00000E390000}"/>
    <cellStyle name="40% - Accent3 5 4" xfId="3697" xr:uid="{00000000-0005-0000-0000-00000F390000}"/>
    <cellStyle name="40% - Accent3 5 4 2" xfId="3698" xr:uid="{00000000-0005-0000-0000-000010390000}"/>
    <cellStyle name="40% - Accent3 5 4 2 2" xfId="11075" xr:uid="{00000000-0005-0000-0000-000011390000}"/>
    <cellStyle name="40% - Accent3 5 4 2 2 2" xfId="25017" xr:uid="{00000000-0005-0000-0000-000012390000}"/>
    <cellStyle name="40% - Accent3 5 4 2 3" xfId="21023" xr:uid="{00000000-0005-0000-0000-000013390000}"/>
    <cellStyle name="40% - Accent3 5 4 3" xfId="3699" xr:uid="{00000000-0005-0000-0000-000014390000}"/>
    <cellStyle name="40% - Accent3 5 4 3 2" xfId="12848" xr:uid="{00000000-0005-0000-0000-000015390000}"/>
    <cellStyle name="40% - Accent3 5 4 3 2 2" xfId="26560" xr:uid="{00000000-0005-0000-0000-000016390000}"/>
    <cellStyle name="40% - Accent3 5 4 3 3" xfId="21024" xr:uid="{00000000-0005-0000-0000-000017390000}"/>
    <cellStyle name="40% - Accent3 5 4 4" xfId="3700" xr:uid="{00000000-0005-0000-0000-000018390000}"/>
    <cellStyle name="40% - Accent3 5 4 4 2" xfId="15247" xr:uid="{00000000-0005-0000-0000-000019390000}"/>
    <cellStyle name="40% - Accent3 5 4 4 2 2" xfId="28796" xr:uid="{00000000-0005-0000-0000-00001A390000}"/>
    <cellStyle name="40% - Accent3 5 4 4 3" xfId="21025" xr:uid="{00000000-0005-0000-0000-00001B390000}"/>
    <cellStyle name="40% - Accent3 5 4 5" xfId="3701" xr:uid="{00000000-0005-0000-0000-00001C390000}"/>
    <cellStyle name="40% - Accent3 5 4 5 2" xfId="16451" xr:uid="{00000000-0005-0000-0000-00001D390000}"/>
    <cellStyle name="40% - Accent3 5 4 5 2 2" xfId="29858" xr:uid="{00000000-0005-0000-0000-00001E390000}"/>
    <cellStyle name="40% - Accent3 5 4 5 3" xfId="21026" xr:uid="{00000000-0005-0000-0000-00001F390000}"/>
    <cellStyle name="40% - Accent3 5 4 6" xfId="9348" xr:uid="{00000000-0005-0000-0000-000020390000}"/>
    <cellStyle name="40% - Accent3 5 4 6 2" xfId="23823" xr:uid="{00000000-0005-0000-0000-000021390000}"/>
    <cellStyle name="40% - Accent3 5 4 7" xfId="21022" xr:uid="{00000000-0005-0000-0000-000022390000}"/>
    <cellStyle name="40% - Accent3 5 5" xfId="3702" xr:uid="{00000000-0005-0000-0000-000023390000}"/>
    <cellStyle name="40% - Accent3 5 5 2" xfId="3703" xr:uid="{00000000-0005-0000-0000-000024390000}"/>
    <cellStyle name="40% - Accent3 5 5 2 2" xfId="15248" xr:uid="{00000000-0005-0000-0000-000025390000}"/>
    <cellStyle name="40% - Accent3 5 5 2 2 2" xfId="28797" xr:uid="{00000000-0005-0000-0000-000026390000}"/>
    <cellStyle name="40% - Accent3 5 5 2 3" xfId="21028" xr:uid="{00000000-0005-0000-0000-000027390000}"/>
    <cellStyle name="40% - Accent3 5 5 3" xfId="11068" xr:uid="{00000000-0005-0000-0000-000028390000}"/>
    <cellStyle name="40% - Accent3 5 5 3 2" xfId="25010" xr:uid="{00000000-0005-0000-0000-000029390000}"/>
    <cellStyle name="40% - Accent3 5 5 4" xfId="21027" xr:uid="{00000000-0005-0000-0000-00002A390000}"/>
    <cellStyle name="40% - Accent3 5 6" xfId="3704" xr:uid="{00000000-0005-0000-0000-00002B390000}"/>
    <cellStyle name="40% - Accent3 5 6 2" xfId="11802" xr:uid="{00000000-0005-0000-0000-00002C390000}"/>
    <cellStyle name="40% - Accent3 5 6 2 2" xfId="25517" xr:uid="{00000000-0005-0000-0000-00002D390000}"/>
    <cellStyle name="40% - Accent3 5 6 3" xfId="21029" xr:uid="{00000000-0005-0000-0000-00002E390000}"/>
    <cellStyle name="40% - Accent3 5 7" xfId="3705" xr:uid="{00000000-0005-0000-0000-00002F390000}"/>
    <cellStyle name="40% - Accent3 5 7 2" xfId="12841" xr:uid="{00000000-0005-0000-0000-000030390000}"/>
    <cellStyle name="40% - Accent3 5 7 2 2" xfId="26553" xr:uid="{00000000-0005-0000-0000-000031390000}"/>
    <cellStyle name="40% - Accent3 5 7 3" xfId="21030" xr:uid="{00000000-0005-0000-0000-000032390000}"/>
    <cellStyle name="40% - Accent3 5 8" xfId="3706" xr:uid="{00000000-0005-0000-0000-000033390000}"/>
    <cellStyle name="40% - Accent3 5 8 2" xfId="13403" xr:uid="{00000000-0005-0000-0000-000034390000}"/>
    <cellStyle name="40% - Accent3 5 8 2 2" xfId="26952" xr:uid="{00000000-0005-0000-0000-000035390000}"/>
    <cellStyle name="40% - Accent3 5 8 3" xfId="21031" xr:uid="{00000000-0005-0000-0000-000036390000}"/>
    <cellStyle name="40% - Accent3 5 9" xfId="3707" xr:uid="{00000000-0005-0000-0000-000037390000}"/>
    <cellStyle name="40% - Accent3 5 9 2" xfId="13984" xr:uid="{00000000-0005-0000-0000-000038390000}"/>
    <cellStyle name="40% - Accent3 5 9 2 2" xfId="27533" xr:uid="{00000000-0005-0000-0000-000039390000}"/>
    <cellStyle name="40% - Accent3 5 9 3" xfId="21032" xr:uid="{00000000-0005-0000-0000-00003A390000}"/>
    <cellStyle name="40% - Accent3 6" xfId="3708" xr:uid="{00000000-0005-0000-0000-00003B390000}"/>
    <cellStyle name="40% - Accent3 6 10" xfId="3709" xr:uid="{00000000-0005-0000-0000-00003C390000}"/>
    <cellStyle name="40% - Accent3 6 10 2" xfId="15249" xr:uid="{00000000-0005-0000-0000-00003D390000}"/>
    <cellStyle name="40% - Accent3 6 10 2 2" xfId="28798" xr:uid="{00000000-0005-0000-0000-00003E390000}"/>
    <cellStyle name="40% - Accent3 6 10 3" xfId="21034" xr:uid="{00000000-0005-0000-0000-00003F390000}"/>
    <cellStyle name="40% - Accent3 6 11" xfId="3710" xr:uid="{00000000-0005-0000-0000-000040390000}"/>
    <cellStyle name="40% - Accent3 6 11 2" xfId="15976" xr:uid="{00000000-0005-0000-0000-000041390000}"/>
    <cellStyle name="40% - Accent3 6 11 2 2" xfId="29383" xr:uid="{00000000-0005-0000-0000-000042390000}"/>
    <cellStyle name="40% - Accent3 6 11 3" xfId="21035" xr:uid="{00000000-0005-0000-0000-000043390000}"/>
    <cellStyle name="40% - Accent3 6 12" xfId="9349" xr:uid="{00000000-0005-0000-0000-000044390000}"/>
    <cellStyle name="40% - Accent3 6 12 2" xfId="23824" xr:uid="{00000000-0005-0000-0000-000045390000}"/>
    <cellStyle name="40% - Accent3 6 13" xfId="21033" xr:uid="{00000000-0005-0000-0000-000046390000}"/>
    <cellStyle name="40% - Accent3 6 2" xfId="3711" xr:uid="{00000000-0005-0000-0000-000047390000}"/>
    <cellStyle name="40% - Accent3 6 2 10" xfId="3712" xr:uid="{00000000-0005-0000-0000-000048390000}"/>
    <cellStyle name="40% - Accent3 6 2 10 2" xfId="16119" xr:uid="{00000000-0005-0000-0000-000049390000}"/>
    <cellStyle name="40% - Accent3 6 2 10 2 2" xfId="29526" xr:uid="{00000000-0005-0000-0000-00004A390000}"/>
    <cellStyle name="40% - Accent3 6 2 10 3" xfId="21037" xr:uid="{00000000-0005-0000-0000-00004B390000}"/>
    <cellStyle name="40% - Accent3 6 2 11" xfId="9350" xr:uid="{00000000-0005-0000-0000-00004C390000}"/>
    <cellStyle name="40% - Accent3 6 2 11 2" xfId="23825" xr:uid="{00000000-0005-0000-0000-00004D390000}"/>
    <cellStyle name="40% - Accent3 6 2 12" xfId="21036" xr:uid="{00000000-0005-0000-0000-00004E390000}"/>
    <cellStyle name="40% - Accent3 6 2 2" xfId="3713" xr:uid="{00000000-0005-0000-0000-00004F390000}"/>
    <cellStyle name="40% - Accent3 6 2 2 10" xfId="9351" xr:uid="{00000000-0005-0000-0000-000050390000}"/>
    <cellStyle name="40% - Accent3 6 2 2 10 2" xfId="23826" xr:uid="{00000000-0005-0000-0000-000051390000}"/>
    <cellStyle name="40% - Accent3 6 2 2 11" xfId="21038" xr:uid="{00000000-0005-0000-0000-000052390000}"/>
    <cellStyle name="40% - Accent3 6 2 2 2" xfId="3714" xr:uid="{00000000-0005-0000-0000-000053390000}"/>
    <cellStyle name="40% - Accent3 6 2 2 2 2" xfId="3715" xr:uid="{00000000-0005-0000-0000-000054390000}"/>
    <cellStyle name="40% - Accent3 6 2 2 2 2 2" xfId="11079" xr:uid="{00000000-0005-0000-0000-000055390000}"/>
    <cellStyle name="40% - Accent3 6 2 2 2 2 2 2" xfId="25021" xr:uid="{00000000-0005-0000-0000-000056390000}"/>
    <cellStyle name="40% - Accent3 6 2 2 2 2 3" xfId="21040" xr:uid="{00000000-0005-0000-0000-000057390000}"/>
    <cellStyle name="40% - Accent3 6 2 2 2 3" xfId="3716" xr:uid="{00000000-0005-0000-0000-000058390000}"/>
    <cellStyle name="40% - Accent3 6 2 2 2 3 2" xfId="12852" xr:uid="{00000000-0005-0000-0000-000059390000}"/>
    <cellStyle name="40% - Accent3 6 2 2 2 3 2 2" xfId="26564" xr:uid="{00000000-0005-0000-0000-00005A390000}"/>
    <cellStyle name="40% - Accent3 6 2 2 2 3 3" xfId="21041" xr:uid="{00000000-0005-0000-0000-00005B390000}"/>
    <cellStyle name="40% - Accent3 6 2 2 2 4" xfId="3717" xr:uid="{00000000-0005-0000-0000-00005C390000}"/>
    <cellStyle name="40% - Accent3 6 2 2 2 4 2" xfId="15252" xr:uid="{00000000-0005-0000-0000-00005D390000}"/>
    <cellStyle name="40% - Accent3 6 2 2 2 4 2 2" xfId="28801" xr:uid="{00000000-0005-0000-0000-00005E390000}"/>
    <cellStyle name="40% - Accent3 6 2 2 2 4 3" xfId="21042" xr:uid="{00000000-0005-0000-0000-00005F390000}"/>
    <cellStyle name="40% - Accent3 6 2 2 2 5" xfId="3718" xr:uid="{00000000-0005-0000-0000-000060390000}"/>
    <cellStyle name="40% - Accent3 6 2 2 2 5 2" xfId="16989" xr:uid="{00000000-0005-0000-0000-000061390000}"/>
    <cellStyle name="40% - Accent3 6 2 2 2 5 2 2" xfId="30396" xr:uid="{00000000-0005-0000-0000-000062390000}"/>
    <cellStyle name="40% - Accent3 6 2 2 2 5 3" xfId="21043" xr:uid="{00000000-0005-0000-0000-000063390000}"/>
    <cellStyle name="40% - Accent3 6 2 2 2 6" xfId="9352" xr:uid="{00000000-0005-0000-0000-000064390000}"/>
    <cellStyle name="40% - Accent3 6 2 2 2 6 2" xfId="23827" xr:uid="{00000000-0005-0000-0000-000065390000}"/>
    <cellStyle name="40% - Accent3 6 2 2 2 7" xfId="21039" xr:uid="{00000000-0005-0000-0000-000066390000}"/>
    <cellStyle name="40% - Accent3 6 2 2 3" xfId="3719" xr:uid="{00000000-0005-0000-0000-000067390000}"/>
    <cellStyle name="40% - Accent3 6 2 2 3 2" xfId="3720" xr:uid="{00000000-0005-0000-0000-000068390000}"/>
    <cellStyle name="40% - Accent3 6 2 2 3 2 2" xfId="15253" xr:uid="{00000000-0005-0000-0000-000069390000}"/>
    <cellStyle name="40% - Accent3 6 2 2 3 2 2 2" xfId="28802" xr:uid="{00000000-0005-0000-0000-00006A390000}"/>
    <cellStyle name="40% - Accent3 6 2 2 3 2 3" xfId="21045" xr:uid="{00000000-0005-0000-0000-00006B390000}"/>
    <cellStyle name="40% - Accent3 6 2 2 3 3" xfId="11078" xr:uid="{00000000-0005-0000-0000-00006C390000}"/>
    <cellStyle name="40% - Accent3 6 2 2 3 3 2" xfId="25020" xr:uid="{00000000-0005-0000-0000-00006D390000}"/>
    <cellStyle name="40% - Accent3 6 2 2 3 4" xfId="21044" xr:uid="{00000000-0005-0000-0000-00006E390000}"/>
    <cellStyle name="40% - Accent3 6 2 2 4" xfId="3721" xr:uid="{00000000-0005-0000-0000-00006F390000}"/>
    <cellStyle name="40% - Accent3 6 2 2 4 2" xfId="12377" xr:uid="{00000000-0005-0000-0000-000070390000}"/>
    <cellStyle name="40% - Accent3 6 2 2 4 2 2" xfId="26089" xr:uid="{00000000-0005-0000-0000-000071390000}"/>
    <cellStyle name="40% - Accent3 6 2 2 4 3" xfId="21046" xr:uid="{00000000-0005-0000-0000-000072390000}"/>
    <cellStyle name="40% - Accent3 6 2 2 5" xfId="3722" xr:uid="{00000000-0005-0000-0000-000073390000}"/>
    <cellStyle name="40% - Accent3 6 2 2 5 2" xfId="12851" xr:uid="{00000000-0005-0000-0000-000074390000}"/>
    <cellStyle name="40% - Accent3 6 2 2 5 2 2" xfId="26563" xr:uid="{00000000-0005-0000-0000-000075390000}"/>
    <cellStyle name="40% - Accent3 6 2 2 5 3" xfId="21047" xr:uid="{00000000-0005-0000-0000-000076390000}"/>
    <cellStyle name="40% - Accent3 6 2 2 6" xfId="3723" xr:uid="{00000000-0005-0000-0000-000077390000}"/>
    <cellStyle name="40% - Accent3 6 2 2 6 2" xfId="13941" xr:uid="{00000000-0005-0000-0000-000078390000}"/>
    <cellStyle name="40% - Accent3 6 2 2 6 2 2" xfId="27490" xr:uid="{00000000-0005-0000-0000-000079390000}"/>
    <cellStyle name="40% - Accent3 6 2 2 6 3" xfId="21048" xr:uid="{00000000-0005-0000-0000-00007A390000}"/>
    <cellStyle name="40% - Accent3 6 2 2 7" xfId="3724" xr:uid="{00000000-0005-0000-0000-00007B390000}"/>
    <cellStyle name="40% - Accent3 6 2 2 7 2" xfId="14522" xr:uid="{00000000-0005-0000-0000-00007C390000}"/>
    <cellStyle name="40% - Accent3 6 2 2 7 2 2" xfId="28071" xr:uid="{00000000-0005-0000-0000-00007D390000}"/>
    <cellStyle name="40% - Accent3 6 2 2 7 3" xfId="21049" xr:uid="{00000000-0005-0000-0000-00007E390000}"/>
    <cellStyle name="40% - Accent3 6 2 2 8" xfId="3725" xr:uid="{00000000-0005-0000-0000-00007F390000}"/>
    <cellStyle name="40% - Accent3 6 2 2 8 2" xfId="15251" xr:uid="{00000000-0005-0000-0000-000080390000}"/>
    <cellStyle name="40% - Accent3 6 2 2 8 2 2" xfId="28800" xr:uid="{00000000-0005-0000-0000-000081390000}"/>
    <cellStyle name="40% - Accent3 6 2 2 8 3" xfId="21050" xr:uid="{00000000-0005-0000-0000-000082390000}"/>
    <cellStyle name="40% - Accent3 6 2 2 9" xfId="3726" xr:uid="{00000000-0005-0000-0000-000083390000}"/>
    <cellStyle name="40% - Accent3 6 2 2 9 2" xfId="16408" xr:uid="{00000000-0005-0000-0000-000084390000}"/>
    <cellStyle name="40% - Accent3 6 2 2 9 2 2" xfId="29815" xr:uid="{00000000-0005-0000-0000-000085390000}"/>
    <cellStyle name="40% - Accent3 6 2 2 9 3" xfId="21051" xr:uid="{00000000-0005-0000-0000-000086390000}"/>
    <cellStyle name="40% - Accent3 6 2 3" xfId="3727" xr:uid="{00000000-0005-0000-0000-000087390000}"/>
    <cellStyle name="40% - Accent3 6 2 3 2" xfId="3728" xr:uid="{00000000-0005-0000-0000-000088390000}"/>
    <cellStyle name="40% - Accent3 6 2 3 2 2" xfId="11080" xr:uid="{00000000-0005-0000-0000-000089390000}"/>
    <cellStyle name="40% - Accent3 6 2 3 2 2 2" xfId="25022" xr:uid="{00000000-0005-0000-0000-00008A390000}"/>
    <cellStyle name="40% - Accent3 6 2 3 2 3" xfId="21053" xr:uid="{00000000-0005-0000-0000-00008B390000}"/>
    <cellStyle name="40% - Accent3 6 2 3 3" xfId="3729" xr:uid="{00000000-0005-0000-0000-00008C390000}"/>
    <cellStyle name="40% - Accent3 6 2 3 3 2" xfId="12853" xr:uid="{00000000-0005-0000-0000-00008D390000}"/>
    <cellStyle name="40% - Accent3 6 2 3 3 2 2" xfId="26565" xr:uid="{00000000-0005-0000-0000-00008E390000}"/>
    <cellStyle name="40% - Accent3 6 2 3 3 3" xfId="21054" xr:uid="{00000000-0005-0000-0000-00008F390000}"/>
    <cellStyle name="40% - Accent3 6 2 3 4" xfId="3730" xr:uid="{00000000-0005-0000-0000-000090390000}"/>
    <cellStyle name="40% - Accent3 6 2 3 4 2" xfId="15254" xr:uid="{00000000-0005-0000-0000-000091390000}"/>
    <cellStyle name="40% - Accent3 6 2 3 4 2 2" xfId="28803" xr:uid="{00000000-0005-0000-0000-000092390000}"/>
    <cellStyle name="40% - Accent3 6 2 3 4 3" xfId="21055" xr:uid="{00000000-0005-0000-0000-000093390000}"/>
    <cellStyle name="40% - Accent3 6 2 3 5" xfId="3731" xr:uid="{00000000-0005-0000-0000-000094390000}"/>
    <cellStyle name="40% - Accent3 6 2 3 5 2" xfId="16700" xr:uid="{00000000-0005-0000-0000-000095390000}"/>
    <cellStyle name="40% - Accent3 6 2 3 5 2 2" xfId="30107" xr:uid="{00000000-0005-0000-0000-000096390000}"/>
    <cellStyle name="40% - Accent3 6 2 3 5 3" xfId="21056" xr:uid="{00000000-0005-0000-0000-000097390000}"/>
    <cellStyle name="40% - Accent3 6 2 3 6" xfId="9353" xr:uid="{00000000-0005-0000-0000-000098390000}"/>
    <cellStyle name="40% - Accent3 6 2 3 6 2" xfId="23828" xr:uid="{00000000-0005-0000-0000-000099390000}"/>
    <cellStyle name="40% - Accent3 6 2 3 7" xfId="21052" xr:uid="{00000000-0005-0000-0000-00009A390000}"/>
    <cellStyle name="40% - Accent3 6 2 4" xfId="3732" xr:uid="{00000000-0005-0000-0000-00009B390000}"/>
    <cellStyle name="40% - Accent3 6 2 4 2" xfId="3733" xr:uid="{00000000-0005-0000-0000-00009C390000}"/>
    <cellStyle name="40% - Accent3 6 2 4 2 2" xfId="15255" xr:uid="{00000000-0005-0000-0000-00009D390000}"/>
    <cellStyle name="40% - Accent3 6 2 4 2 2 2" xfId="28804" xr:uid="{00000000-0005-0000-0000-00009E390000}"/>
    <cellStyle name="40% - Accent3 6 2 4 2 3" xfId="21058" xr:uid="{00000000-0005-0000-0000-00009F390000}"/>
    <cellStyle name="40% - Accent3 6 2 4 3" xfId="11077" xr:uid="{00000000-0005-0000-0000-0000A0390000}"/>
    <cellStyle name="40% - Accent3 6 2 4 3 2" xfId="25019" xr:uid="{00000000-0005-0000-0000-0000A1390000}"/>
    <cellStyle name="40% - Accent3 6 2 4 4" xfId="21057" xr:uid="{00000000-0005-0000-0000-0000A2390000}"/>
    <cellStyle name="40% - Accent3 6 2 5" xfId="3734" xr:uid="{00000000-0005-0000-0000-0000A3390000}"/>
    <cellStyle name="40% - Accent3 6 2 5 2" xfId="12077" xr:uid="{00000000-0005-0000-0000-0000A4390000}"/>
    <cellStyle name="40% - Accent3 6 2 5 2 2" xfId="25792" xr:uid="{00000000-0005-0000-0000-0000A5390000}"/>
    <cellStyle name="40% - Accent3 6 2 5 3" xfId="21059" xr:uid="{00000000-0005-0000-0000-0000A6390000}"/>
    <cellStyle name="40% - Accent3 6 2 6" xfId="3735" xr:uid="{00000000-0005-0000-0000-0000A7390000}"/>
    <cellStyle name="40% - Accent3 6 2 6 2" xfId="12850" xr:uid="{00000000-0005-0000-0000-0000A8390000}"/>
    <cellStyle name="40% - Accent3 6 2 6 2 2" xfId="26562" xr:uid="{00000000-0005-0000-0000-0000A9390000}"/>
    <cellStyle name="40% - Accent3 6 2 6 3" xfId="21060" xr:uid="{00000000-0005-0000-0000-0000AA390000}"/>
    <cellStyle name="40% - Accent3 6 2 7" xfId="3736" xr:uid="{00000000-0005-0000-0000-0000AB390000}"/>
    <cellStyle name="40% - Accent3 6 2 7 2" xfId="13652" xr:uid="{00000000-0005-0000-0000-0000AC390000}"/>
    <cellStyle name="40% - Accent3 6 2 7 2 2" xfId="27201" xr:uid="{00000000-0005-0000-0000-0000AD390000}"/>
    <cellStyle name="40% - Accent3 6 2 7 3" xfId="21061" xr:uid="{00000000-0005-0000-0000-0000AE390000}"/>
    <cellStyle name="40% - Accent3 6 2 8" xfId="3737" xr:uid="{00000000-0005-0000-0000-0000AF390000}"/>
    <cellStyle name="40% - Accent3 6 2 8 2" xfId="14233" xr:uid="{00000000-0005-0000-0000-0000B0390000}"/>
    <cellStyle name="40% - Accent3 6 2 8 2 2" xfId="27782" xr:uid="{00000000-0005-0000-0000-0000B1390000}"/>
    <cellStyle name="40% - Accent3 6 2 8 3" xfId="21062" xr:uid="{00000000-0005-0000-0000-0000B2390000}"/>
    <cellStyle name="40% - Accent3 6 2 9" xfId="3738" xr:uid="{00000000-0005-0000-0000-0000B3390000}"/>
    <cellStyle name="40% - Accent3 6 2 9 2" xfId="15250" xr:uid="{00000000-0005-0000-0000-0000B4390000}"/>
    <cellStyle name="40% - Accent3 6 2 9 2 2" xfId="28799" xr:uid="{00000000-0005-0000-0000-0000B5390000}"/>
    <cellStyle name="40% - Accent3 6 2 9 3" xfId="21063" xr:uid="{00000000-0005-0000-0000-0000B6390000}"/>
    <cellStyle name="40% - Accent3 6 3" xfId="3739" xr:uid="{00000000-0005-0000-0000-0000B7390000}"/>
    <cellStyle name="40% - Accent3 6 3 10" xfId="9354" xr:uid="{00000000-0005-0000-0000-0000B8390000}"/>
    <cellStyle name="40% - Accent3 6 3 10 2" xfId="23829" xr:uid="{00000000-0005-0000-0000-0000B9390000}"/>
    <cellStyle name="40% - Accent3 6 3 11" xfId="21064" xr:uid="{00000000-0005-0000-0000-0000BA390000}"/>
    <cellStyle name="40% - Accent3 6 3 2" xfId="3740" xr:uid="{00000000-0005-0000-0000-0000BB390000}"/>
    <cellStyle name="40% - Accent3 6 3 2 2" xfId="3741" xr:uid="{00000000-0005-0000-0000-0000BC390000}"/>
    <cellStyle name="40% - Accent3 6 3 2 2 2" xfId="11082" xr:uid="{00000000-0005-0000-0000-0000BD390000}"/>
    <cellStyle name="40% - Accent3 6 3 2 2 2 2" xfId="25024" xr:uid="{00000000-0005-0000-0000-0000BE390000}"/>
    <cellStyle name="40% - Accent3 6 3 2 2 3" xfId="21066" xr:uid="{00000000-0005-0000-0000-0000BF390000}"/>
    <cellStyle name="40% - Accent3 6 3 2 3" xfId="3742" xr:uid="{00000000-0005-0000-0000-0000C0390000}"/>
    <cellStyle name="40% - Accent3 6 3 2 3 2" xfId="12855" xr:uid="{00000000-0005-0000-0000-0000C1390000}"/>
    <cellStyle name="40% - Accent3 6 3 2 3 2 2" xfId="26567" xr:uid="{00000000-0005-0000-0000-0000C2390000}"/>
    <cellStyle name="40% - Accent3 6 3 2 3 3" xfId="21067" xr:uid="{00000000-0005-0000-0000-0000C3390000}"/>
    <cellStyle name="40% - Accent3 6 3 2 4" xfId="3743" xr:uid="{00000000-0005-0000-0000-0000C4390000}"/>
    <cellStyle name="40% - Accent3 6 3 2 4 2" xfId="15257" xr:uid="{00000000-0005-0000-0000-0000C5390000}"/>
    <cellStyle name="40% - Accent3 6 3 2 4 2 2" xfId="28806" xr:uid="{00000000-0005-0000-0000-0000C6390000}"/>
    <cellStyle name="40% - Accent3 6 3 2 4 3" xfId="21068" xr:uid="{00000000-0005-0000-0000-0000C7390000}"/>
    <cellStyle name="40% - Accent3 6 3 2 5" xfId="3744" xr:uid="{00000000-0005-0000-0000-0000C8390000}"/>
    <cellStyle name="40% - Accent3 6 3 2 5 2" xfId="16846" xr:uid="{00000000-0005-0000-0000-0000C9390000}"/>
    <cellStyle name="40% - Accent3 6 3 2 5 2 2" xfId="30253" xr:uid="{00000000-0005-0000-0000-0000CA390000}"/>
    <cellStyle name="40% - Accent3 6 3 2 5 3" xfId="21069" xr:uid="{00000000-0005-0000-0000-0000CB390000}"/>
    <cellStyle name="40% - Accent3 6 3 2 6" xfId="9355" xr:uid="{00000000-0005-0000-0000-0000CC390000}"/>
    <cellStyle name="40% - Accent3 6 3 2 6 2" xfId="23830" xr:uid="{00000000-0005-0000-0000-0000CD390000}"/>
    <cellStyle name="40% - Accent3 6 3 2 7" xfId="21065" xr:uid="{00000000-0005-0000-0000-0000CE390000}"/>
    <cellStyle name="40% - Accent3 6 3 3" xfId="3745" xr:uid="{00000000-0005-0000-0000-0000CF390000}"/>
    <cellStyle name="40% - Accent3 6 3 3 2" xfId="3746" xr:uid="{00000000-0005-0000-0000-0000D0390000}"/>
    <cellStyle name="40% - Accent3 6 3 3 2 2" xfId="15258" xr:uid="{00000000-0005-0000-0000-0000D1390000}"/>
    <cellStyle name="40% - Accent3 6 3 3 2 2 2" xfId="28807" xr:uid="{00000000-0005-0000-0000-0000D2390000}"/>
    <cellStyle name="40% - Accent3 6 3 3 2 3" xfId="21071" xr:uid="{00000000-0005-0000-0000-0000D3390000}"/>
    <cellStyle name="40% - Accent3 6 3 3 3" xfId="11081" xr:uid="{00000000-0005-0000-0000-0000D4390000}"/>
    <cellStyle name="40% - Accent3 6 3 3 3 2" xfId="25023" xr:uid="{00000000-0005-0000-0000-0000D5390000}"/>
    <cellStyle name="40% - Accent3 6 3 3 4" xfId="21070" xr:uid="{00000000-0005-0000-0000-0000D6390000}"/>
    <cellStyle name="40% - Accent3 6 3 4" xfId="3747" xr:uid="{00000000-0005-0000-0000-0000D7390000}"/>
    <cellStyle name="40% - Accent3 6 3 4 2" xfId="12234" xr:uid="{00000000-0005-0000-0000-0000D8390000}"/>
    <cellStyle name="40% - Accent3 6 3 4 2 2" xfId="25946" xr:uid="{00000000-0005-0000-0000-0000D9390000}"/>
    <cellStyle name="40% - Accent3 6 3 4 3" xfId="21072" xr:uid="{00000000-0005-0000-0000-0000DA390000}"/>
    <cellStyle name="40% - Accent3 6 3 5" xfId="3748" xr:uid="{00000000-0005-0000-0000-0000DB390000}"/>
    <cellStyle name="40% - Accent3 6 3 5 2" xfId="12854" xr:uid="{00000000-0005-0000-0000-0000DC390000}"/>
    <cellStyle name="40% - Accent3 6 3 5 2 2" xfId="26566" xr:uid="{00000000-0005-0000-0000-0000DD390000}"/>
    <cellStyle name="40% - Accent3 6 3 5 3" xfId="21073" xr:uid="{00000000-0005-0000-0000-0000DE390000}"/>
    <cellStyle name="40% - Accent3 6 3 6" xfId="3749" xr:uid="{00000000-0005-0000-0000-0000DF390000}"/>
    <cellStyle name="40% - Accent3 6 3 6 2" xfId="13798" xr:uid="{00000000-0005-0000-0000-0000E0390000}"/>
    <cellStyle name="40% - Accent3 6 3 6 2 2" xfId="27347" xr:uid="{00000000-0005-0000-0000-0000E1390000}"/>
    <cellStyle name="40% - Accent3 6 3 6 3" xfId="21074" xr:uid="{00000000-0005-0000-0000-0000E2390000}"/>
    <cellStyle name="40% - Accent3 6 3 7" xfId="3750" xr:uid="{00000000-0005-0000-0000-0000E3390000}"/>
    <cellStyle name="40% - Accent3 6 3 7 2" xfId="14379" xr:uid="{00000000-0005-0000-0000-0000E4390000}"/>
    <cellStyle name="40% - Accent3 6 3 7 2 2" xfId="27928" xr:uid="{00000000-0005-0000-0000-0000E5390000}"/>
    <cellStyle name="40% - Accent3 6 3 7 3" xfId="21075" xr:uid="{00000000-0005-0000-0000-0000E6390000}"/>
    <cellStyle name="40% - Accent3 6 3 8" xfId="3751" xr:uid="{00000000-0005-0000-0000-0000E7390000}"/>
    <cellStyle name="40% - Accent3 6 3 8 2" xfId="15256" xr:uid="{00000000-0005-0000-0000-0000E8390000}"/>
    <cellStyle name="40% - Accent3 6 3 8 2 2" xfId="28805" xr:uid="{00000000-0005-0000-0000-0000E9390000}"/>
    <cellStyle name="40% - Accent3 6 3 8 3" xfId="21076" xr:uid="{00000000-0005-0000-0000-0000EA390000}"/>
    <cellStyle name="40% - Accent3 6 3 9" xfId="3752" xr:uid="{00000000-0005-0000-0000-0000EB390000}"/>
    <cellStyle name="40% - Accent3 6 3 9 2" xfId="16265" xr:uid="{00000000-0005-0000-0000-0000EC390000}"/>
    <cellStyle name="40% - Accent3 6 3 9 2 2" xfId="29672" xr:uid="{00000000-0005-0000-0000-0000ED390000}"/>
    <cellStyle name="40% - Accent3 6 3 9 3" xfId="21077" xr:uid="{00000000-0005-0000-0000-0000EE390000}"/>
    <cellStyle name="40% - Accent3 6 4" xfId="3753" xr:uid="{00000000-0005-0000-0000-0000EF390000}"/>
    <cellStyle name="40% - Accent3 6 4 2" xfId="3754" xr:uid="{00000000-0005-0000-0000-0000F0390000}"/>
    <cellStyle name="40% - Accent3 6 4 2 2" xfId="11083" xr:uid="{00000000-0005-0000-0000-0000F1390000}"/>
    <cellStyle name="40% - Accent3 6 4 2 2 2" xfId="25025" xr:uid="{00000000-0005-0000-0000-0000F2390000}"/>
    <cellStyle name="40% - Accent3 6 4 2 3" xfId="21079" xr:uid="{00000000-0005-0000-0000-0000F3390000}"/>
    <cellStyle name="40% - Accent3 6 4 3" xfId="3755" xr:uid="{00000000-0005-0000-0000-0000F4390000}"/>
    <cellStyle name="40% - Accent3 6 4 3 2" xfId="12856" xr:uid="{00000000-0005-0000-0000-0000F5390000}"/>
    <cellStyle name="40% - Accent3 6 4 3 2 2" xfId="26568" xr:uid="{00000000-0005-0000-0000-0000F6390000}"/>
    <cellStyle name="40% - Accent3 6 4 3 3" xfId="21080" xr:uid="{00000000-0005-0000-0000-0000F7390000}"/>
    <cellStyle name="40% - Accent3 6 4 4" xfId="3756" xr:uid="{00000000-0005-0000-0000-0000F8390000}"/>
    <cellStyle name="40% - Accent3 6 4 4 2" xfId="15259" xr:uid="{00000000-0005-0000-0000-0000F9390000}"/>
    <cellStyle name="40% - Accent3 6 4 4 2 2" xfId="28808" xr:uid="{00000000-0005-0000-0000-0000FA390000}"/>
    <cellStyle name="40% - Accent3 6 4 4 3" xfId="21081" xr:uid="{00000000-0005-0000-0000-0000FB390000}"/>
    <cellStyle name="40% - Accent3 6 4 5" xfId="3757" xr:uid="{00000000-0005-0000-0000-0000FC390000}"/>
    <cellStyle name="40% - Accent3 6 4 5 2" xfId="16557" xr:uid="{00000000-0005-0000-0000-0000FD390000}"/>
    <cellStyle name="40% - Accent3 6 4 5 2 2" xfId="29964" xr:uid="{00000000-0005-0000-0000-0000FE390000}"/>
    <cellStyle name="40% - Accent3 6 4 5 3" xfId="21082" xr:uid="{00000000-0005-0000-0000-0000FF390000}"/>
    <cellStyle name="40% - Accent3 6 4 6" xfId="9356" xr:uid="{00000000-0005-0000-0000-0000003A0000}"/>
    <cellStyle name="40% - Accent3 6 4 6 2" xfId="23831" xr:uid="{00000000-0005-0000-0000-0000013A0000}"/>
    <cellStyle name="40% - Accent3 6 4 7" xfId="21078" xr:uid="{00000000-0005-0000-0000-0000023A0000}"/>
    <cellStyle name="40% - Accent3 6 5" xfId="3758" xr:uid="{00000000-0005-0000-0000-0000033A0000}"/>
    <cellStyle name="40% - Accent3 6 5 2" xfId="3759" xr:uid="{00000000-0005-0000-0000-0000043A0000}"/>
    <cellStyle name="40% - Accent3 6 5 2 2" xfId="15260" xr:uid="{00000000-0005-0000-0000-0000053A0000}"/>
    <cellStyle name="40% - Accent3 6 5 2 2 2" xfId="28809" xr:uid="{00000000-0005-0000-0000-0000063A0000}"/>
    <cellStyle name="40% - Accent3 6 5 2 3" xfId="21084" xr:uid="{00000000-0005-0000-0000-0000073A0000}"/>
    <cellStyle name="40% - Accent3 6 5 3" xfId="11076" xr:uid="{00000000-0005-0000-0000-0000083A0000}"/>
    <cellStyle name="40% - Accent3 6 5 3 2" xfId="25018" xr:uid="{00000000-0005-0000-0000-0000093A0000}"/>
    <cellStyle name="40% - Accent3 6 5 4" xfId="21083" xr:uid="{00000000-0005-0000-0000-00000A3A0000}"/>
    <cellStyle name="40% - Accent3 6 6" xfId="3760" xr:uid="{00000000-0005-0000-0000-00000B3A0000}"/>
    <cellStyle name="40% - Accent3 6 6 2" xfId="11932" xr:uid="{00000000-0005-0000-0000-00000C3A0000}"/>
    <cellStyle name="40% - Accent3 6 6 2 2" xfId="25647" xr:uid="{00000000-0005-0000-0000-00000D3A0000}"/>
    <cellStyle name="40% - Accent3 6 6 3" xfId="21085" xr:uid="{00000000-0005-0000-0000-00000E3A0000}"/>
    <cellStyle name="40% - Accent3 6 7" xfId="3761" xr:uid="{00000000-0005-0000-0000-00000F3A0000}"/>
    <cellStyle name="40% - Accent3 6 7 2" xfId="12849" xr:uid="{00000000-0005-0000-0000-0000103A0000}"/>
    <cellStyle name="40% - Accent3 6 7 2 2" xfId="26561" xr:uid="{00000000-0005-0000-0000-0000113A0000}"/>
    <cellStyle name="40% - Accent3 6 7 3" xfId="21086" xr:uid="{00000000-0005-0000-0000-0000123A0000}"/>
    <cellStyle name="40% - Accent3 6 8" xfId="3762" xr:uid="{00000000-0005-0000-0000-0000133A0000}"/>
    <cellStyle name="40% - Accent3 6 8 2" xfId="13509" xr:uid="{00000000-0005-0000-0000-0000143A0000}"/>
    <cellStyle name="40% - Accent3 6 8 2 2" xfId="27058" xr:uid="{00000000-0005-0000-0000-0000153A0000}"/>
    <cellStyle name="40% - Accent3 6 8 3" xfId="21087" xr:uid="{00000000-0005-0000-0000-0000163A0000}"/>
    <cellStyle name="40% - Accent3 6 9" xfId="3763" xr:uid="{00000000-0005-0000-0000-0000173A0000}"/>
    <cellStyle name="40% - Accent3 6 9 2" xfId="14090" xr:uid="{00000000-0005-0000-0000-0000183A0000}"/>
    <cellStyle name="40% - Accent3 6 9 2 2" xfId="27639" xr:uid="{00000000-0005-0000-0000-0000193A0000}"/>
    <cellStyle name="40% - Accent3 6 9 3" xfId="21088" xr:uid="{00000000-0005-0000-0000-00001A3A0000}"/>
    <cellStyle name="40% - Accent3 7" xfId="3764" xr:uid="{00000000-0005-0000-0000-00001B3A0000}"/>
    <cellStyle name="40% - Accent3 7 10" xfId="3765" xr:uid="{00000000-0005-0000-0000-00001C3A0000}"/>
    <cellStyle name="40% - Accent3 7 10 2" xfId="15993" xr:uid="{00000000-0005-0000-0000-00001D3A0000}"/>
    <cellStyle name="40% - Accent3 7 10 2 2" xfId="29400" xr:uid="{00000000-0005-0000-0000-00001E3A0000}"/>
    <cellStyle name="40% - Accent3 7 10 3" xfId="21090" xr:uid="{00000000-0005-0000-0000-00001F3A0000}"/>
    <cellStyle name="40% - Accent3 7 11" xfId="9357" xr:uid="{00000000-0005-0000-0000-0000203A0000}"/>
    <cellStyle name="40% - Accent3 7 11 2" xfId="23832" xr:uid="{00000000-0005-0000-0000-0000213A0000}"/>
    <cellStyle name="40% - Accent3 7 12" xfId="21089" xr:uid="{00000000-0005-0000-0000-0000223A0000}"/>
    <cellStyle name="40% - Accent3 7 2" xfId="3766" xr:uid="{00000000-0005-0000-0000-0000233A0000}"/>
    <cellStyle name="40% - Accent3 7 2 10" xfId="9358" xr:uid="{00000000-0005-0000-0000-0000243A0000}"/>
    <cellStyle name="40% - Accent3 7 2 10 2" xfId="23833" xr:uid="{00000000-0005-0000-0000-0000253A0000}"/>
    <cellStyle name="40% - Accent3 7 2 11" xfId="21091" xr:uid="{00000000-0005-0000-0000-0000263A0000}"/>
    <cellStyle name="40% - Accent3 7 2 2" xfId="3767" xr:uid="{00000000-0005-0000-0000-0000273A0000}"/>
    <cellStyle name="40% - Accent3 7 2 2 2" xfId="3768" xr:uid="{00000000-0005-0000-0000-0000283A0000}"/>
    <cellStyle name="40% - Accent3 7 2 2 2 2" xfId="11086" xr:uid="{00000000-0005-0000-0000-0000293A0000}"/>
    <cellStyle name="40% - Accent3 7 2 2 2 2 2" xfId="25028" xr:uid="{00000000-0005-0000-0000-00002A3A0000}"/>
    <cellStyle name="40% - Accent3 7 2 2 2 3" xfId="21093" xr:uid="{00000000-0005-0000-0000-00002B3A0000}"/>
    <cellStyle name="40% - Accent3 7 2 2 3" xfId="3769" xr:uid="{00000000-0005-0000-0000-00002C3A0000}"/>
    <cellStyle name="40% - Accent3 7 2 2 3 2" xfId="12859" xr:uid="{00000000-0005-0000-0000-00002D3A0000}"/>
    <cellStyle name="40% - Accent3 7 2 2 3 2 2" xfId="26571" xr:uid="{00000000-0005-0000-0000-00002E3A0000}"/>
    <cellStyle name="40% - Accent3 7 2 2 3 3" xfId="21094" xr:uid="{00000000-0005-0000-0000-00002F3A0000}"/>
    <cellStyle name="40% - Accent3 7 2 2 4" xfId="3770" xr:uid="{00000000-0005-0000-0000-0000303A0000}"/>
    <cellStyle name="40% - Accent3 7 2 2 4 2" xfId="15263" xr:uid="{00000000-0005-0000-0000-0000313A0000}"/>
    <cellStyle name="40% - Accent3 7 2 2 4 2 2" xfId="28812" xr:uid="{00000000-0005-0000-0000-0000323A0000}"/>
    <cellStyle name="40% - Accent3 7 2 2 4 3" xfId="21095" xr:uid="{00000000-0005-0000-0000-0000333A0000}"/>
    <cellStyle name="40% - Accent3 7 2 2 5" xfId="3771" xr:uid="{00000000-0005-0000-0000-0000343A0000}"/>
    <cellStyle name="40% - Accent3 7 2 2 5 2" xfId="16863" xr:uid="{00000000-0005-0000-0000-0000353A0000}"/>
    <cellStyle name="40% - Accent3 7 2 2 5 2 2" xfId="30270" xr:uid="{00000000-0005-0000-0000-0000363A0000}"/>
    <cellStyle name="40% - Accent3 7 2 2 5 3" xfId="21096" xr:uid="{00000000-0005-0000-0000-0000373A0000}"/>
    <cellStyle name="40% - Accent3 7 2 2 6" xfId="9359" xr:uid="{00000000-0005-0000-0000-0000383A0000}"/>
    <cellStyle name="40% - Accent3 7 2 2 6 2" xfId="23834" xr:uid="{00000000-0005-0000-0000-0000393A0000}"/>
    <cellStyle name="40% - Accent3 7 2 2 7" xfId="21092" xr:uid="{00000000-0005-0000-0000-00003A3A0000}"/>
    <cellStyle name="40% - Accent3 7 2 3" xfId="3772" xr:uid="{00000000-0005-0000-0000-00003B3A0000}"/>
    <cellStyle name="40% - Accent3 7 2 3 2" xfId="3773" xr:uid="{00000000-0005-0000-0000-00003C3A0000}"/>
    <cellStyle name="40% - Accent3 7 2 3 2 2" xfId="15264" xr:uid="{00000000-0005-0000-0000-00003D3A0000}"/>
    <cellStyle name="40% - Accent3 7 2 3 2 2 2" xfId="28813" xr:uid="{00000000-0005-0000-0000-00003E3A0000}"/>
    <cellStyle name="40% - Accent3 7 2 3 2 3" xfId="21098" xr:uid="{00000000-0005-0000-0000-00003F3A0000}"/>
    <cellStyle name="40% - Accent3 7 2 3 3" xfId="11085" xr:uid="{00000000-0005-0000-0000-0000403A0000}"/>
    <cellStyle name="40% - Accent3 7 2 3 3 2" xfId="25027" xr:uid="{00000000-0005-0000-0000-0000413A0000}"/>
    <cellStyle name="40% - Accent3 7 2 3 4" xfId="21097" xr:uid="{00000000-0005-0000-0000-0000423A0000}"/>
    <cellStyle name="40% - Accent3 7 2 4" xfId="3774" xr:uid="{00000000-0005-0000-0000-0000433A0000}"/>
    <cellStyle name="40% - Accent3 7 2 4 2" xfId="12251" xr:uid="{00000000-0005-0000-0000-0000443A0000}"/>
    <cellStyle name="40% - Accent3 7 2 4 2 2" xfId="25963" xr:uid="{00000000-0005-0000-0000-0000453A0000}"/>
    <cellStyle name="40% - Accent3 7 2 4 3" xfId="21099" xr:uid="{00000000-0005-0000-0000-0000463A0000}"/>
    <cellStyle name="40% - Accent3 7 2 5" xfId="3775" xr:uid="{00000000-0005-0000-0000-0000473A0000}"/>
    <cellStyle name="40% - Accent3 7 2 5 2" xfId="12858" xr:uid="{00000000-0005-0000-0000-0000483A0000}"/>
    <cellStyle name="40% - Accent3 7 2 5 2 2" xfId="26570" xr:uid="{00000000-0005-0000-0000-0000493A0000}"/>
    <cellStyle name="40% - Accent3 7 2 5 3" xfId="21100" xr:uid="{00000000-0005-0000-0000-00004A3A0000}"/>
    <cellStyle name="40% - Accent3 7 2 6" xfId="3776" xr:uid="{00000000-0005-0000-0000-00004B3A0000}"/>
    <cellStyle name="40% - Accent3 7 2 6 2" xfId="13815" xr:uid="{00000000-0005-0000-0000-00004C3A0000}"/>
    <cellStyle name="40% - Accent3 7 2 6 2 2" xfId="27364" xr:uid="{00000000-0005-0000-0000-00004D3A0000}"/>
    <cellStyle name="40% - Accent3 7 2 6 3" xfId="21101" xr:uid="{00000000-0005-0000-0000-00004E3A0000}"/>
    <cellStyle name="40% - Accent3 7 2 7" xfId="3777" xr:uid="{00000000-0005-0000-0000-00004F3A0000}"/>
    <cellStyle name="40% - Accent3 7 2 7 2" xfId="14396" xr:uid="{00000000-0005-0000-0000-0000503A0000}"/>
    <cellStyle name="40% - Accent3 7 2 7 2 2" xfId="27945" xr:uid="{00000000-0005-0000-0000-0000513A0000}"/>
    <cellStyle name="40% - Accent3 7 2 7 3" xfId="21102" xr:uid="{00000000-0005-0000-0000-0000523A0000}"/>
    <cellStyle name="40% - Accent3 7 2 8" xfId="3778" xr:uid="{00000000-0005-0000-0000-0000533A0000}"/>
    <cellStyle name="40% - Accent3 7 2 8 2" xfId="15262" xr:uid="{00000000-0005-0000-0000-0000543A0000}"/>
    <cellStyle name="40% - Accent3 7 2 8 2 2" xfId="28811" xr:uid="{00000000-0005-0000-0000-0000553A0000}"/>
    <cellStyle name="40% - Accent3 7 2 8 3" xfId="21103" xr:uid="{00000000-0005-0000-0000-0000563A0000}"/>
    <cellStyle name="40% - Accent3 7 2 9" xfId="3779" xr:uid="{00000000-0005-0000-0000-0000573A0000}"/>
    <cellStyle name="40% - Accent3 7 2 9 2" xfId="16282" xr:uid="{00000000-0005-0000-0000-0000583A0000}"/>
    <cellStyle name="40% - Accent3 7 2 9 2 2" xfId="29689" xr:uid="{00000000-0005-0000-0000-0000593A0000}"/>
    <cellStyle name="40% - Accent3 7 2 9 3" xfId="21104" xr:uid="{00000000-0005-0000-0000-00005A3A0000}"/>
    <cellStyle name="40% - Accent3 7 3" xfId="3780" xr:uid="{00000000-0005-0000-0000-00005B3A0000}"/>
    <cellStyle name="40% - Accent3 7 3 2" xfId="3781" xr:uid="{00000000-0005-0000-0000-00005C3A0000}"/>
    <cellStyle name="40% - Accent3 7 3 2 2" xfId="11087" xr:uid="{00000000-0005-0000-0000-00005D3A0000}"/>
    <cellStyle name="40% - Accent3 7 3 2 2 2" xfId="25029" xr:uid="{00000000-0005-0000-0000-00005E3A0000}"/>
    <cellStyle name="40% - Accent3 7 3 2 3" xfId="21106" xr:uid="{00000000-0005-0000-0000-00005F3A0000}"/>
    <cellStyle name="40% - Accent3 7 3 3" xfId="3782" xr:uid="{00000000-0005-0000-0000-0000603A0000}"/>
    <cellStyle name="40% - Accent3 7 3 3 2" xfId="12860" xr:uid="{00000000-0005-0000-0000-0000613A0000}"/>
    <cellStyle name="40% - Accent3 7 3 3 2 2" xfId="26572" xr:uid="{00000000-0005-0000-0000-0000623A0000}"/>
    <cellStyle name="40% - Accent3 7 3 3 3" xfId="21107" xr:uid="{00000000-0005-0000-0000-0000633A0000}"/>
    <cellStyle name="40% - Accent3 7 3 4" xfId="3783" xr:uid="{00000000-0005-0000-0000-0000643A0000}"/>
    <cellStyle name="40% - Accent3 7 3 4 2" xfId="15265" xr:uid="{00000000-0005-0000-0000-0000653A0000}"/>
    <cellStyle name="40% - Accent3 7 3 4 2 2" xfId="28814" xr:uid="{00000000-0005-0000-0000-0000663A0000}"/>
    <cellStyle name="40% - Accent3 7 3 4 3" xfId="21108" xr:uid="{00000000-0005-0000-0000-0000673A0000}"/>
    <cellStyle name="40% - Accent3 7 3 5" xfId="3784" xr:uid="{00000000-0005-0000-0000-0000683A0000}"/>
    <cellStyle name="40% - Accent3 7 3 5 2" xfId="16574" xr:uid="{00000000-0005-0000-0000-0000693A0000}"/>
    <cellStyle name="40% - Accent3 7 3 5 2 2" xfId="29981" xr:uid="{00000000-0005-0000-0000-00006A3A0000}"/>
    <cellStyle name="40% - Accent3 7 3 5 3" xfId="21109" xr:uid="{00000000-0005-0000-0000-00006B3A0000}"/>
    <cellStyle name="40% - Accent3 7 3 6" xfId="9360" xr:uid="{00000000-0005-0000-0000-00006C3A0000}"/>
    <cellStyle name="40% - Accent3 7 3 6 2" xfId="23835" xr:uid="{00000000-0005-0000-0000-00006D3A0000}"/>
    <cellStyle name="40% - Accent3 7 3 7" xfId="21105" xr:uid="{00000000-0005-0000-0000-00006E3A0000}"/>
    <cellStyle name="40% - Accent3 7 4" xfId="3785" xr:uid="{00000000-0005-0000-0000-00006F3A0000}"/>
    <cellStyle name="40% - Accent3 7 4 2" xfId="3786" xr:uid="{00000000-0005-0000-0000-0000703A0000}"/>
    <cellStyle name="40% - Accent3 7 4 2 2" xfId="15266" xr:uid="{00000000-0005-0000-0000-0000713A0000}"/>
    <cellStyle name="40% - Accent3 7 4 2 2 2" xfId="28815" xr:uid="{00000000-0005-0000-0000-0000723A0000}"/>
    <cellStyle name="40% - Accent3 7 4 2 3" xfId="21111" xr:uid="{00000000-0005-0000-0000-0000733A0000}"/>
    <cellStyle name="40% - Accent3 7 4 3" xfId="11084" xr:uid="{00000000-0005-0000-0000-0000743A0000}"/>
    <cellStyle name="40% - Accent3 7 4 3 2" xfId="25026" xr:uid="{00000000-0005-0000-0000-0000753A0000}"/>
    <cellStyle name="40% - Accent3 7 4 4" xfId="21110" xr:uid="{00000000-0005-0000-0000-0000763A0000}"/>
    <cellStyle name="40% - Accent3 7 5" xfId="3787" xr:uid="{00000000-0005-0000-0000-0000773A0000}"/>
    <cellStyle name="40% - Accent3 7 5 2" xfId="11949" xr:uid="{00000000-0005-0000-0000-0000783A0000}"/>
    <cellStyle name="40% - Accent3 7 5 2 2" xfId="25664" xr:uid="{00000000-0005-0000-0000-0000793A0000}"/>
    <cellStyle name="40% - Accent3 7 5 3" xfId="21112" xr:uid="{00000000-0005-0000-0000-00007A3A0000}"/>
    <cellStyle name="40% - Accent3 7 6" xfId="3788" xr:uid="{00000000-0005-0000-0000-00007B3A0000}"/>
    <cellStyle name="40% - Accent3 7 6 2" xfId="12857" xr:uid="{00000000-0005-0000-0000-00007C3A0000}"/>
    <cellStyle name="40% - Accent3 7 6 2 2" xfId="26569" xr:uid="{00000000-0005-0000-0000-00007D3A0000}"/>
    <cellStyle name="40% - Accent3 7 6 3" xfId="21113" xr:uid="{00000000-0005-0000-0000-00007E3A0000}"/>
    <cellStyle name="40% - Accent3 7 7" xfId="3789" xr:uid="{00000000-0005-0000-0000-00007F3A0000}"/>
    <cellStyle name="40% - Accent3 7 7 2" xfId="13526" xr:uid="{00000000-0005-0000-0000-0000803A0000}"/>
    <cellStyle name="40% - Accent3 7 7 2 2" xfId="27075" xr:uid="{00000000-0005-0000-0000-0000813A0000}"/>
    <cellStyle name="40% - Accent3 7 7 3" xfId="21114" xr:uid="{00000000-0005-0000-0000-0000823A0000}"/>
    <cellStyle name="40% - Accent3 7 8" xfId="3790" xr:uid="{00000000-0005-0000-0000-0000833A0000}"/>
    <cellStyle name="40% - Accent3 7 8 2" xfId="14107" xr:uid="{00000000-0005-0000-0000-0000843A0000}"/>
    <cellStyle name="40% - Accent3 7 8 2 2" xfId="27656" xr:uid="{00000000-0005-0000-0000-0000853A0000}"/>
    <cellStyle name="40% - Accent3 7 8 3" xfId="21115" xr:uid="{00000000-0005-0000-0000-0000863A0000}"/>
    <cellStyle name="40% - Accent3 7 9" xfId="3791" xr:uid="{00000000-0005-0000-0000-0000873A0000}"/>
    <cellStyle name="40% - Accent3 7 9 2" xfId="15261" xr:uid="{00000000-0005-0000-0000-0000883A0000}"/>
    <cellStyle name="40% - Accent3 7 9 2 2" xfId="28810" xr:uid="{00000000-0005-0000-0000-0000893A0000}"/>
    <cellStyle name="40% - Accent3 7 9 3" xfId="21116" xr:uid="{00000000-0005-0000-0000-00008A3A0000}"/>
    <cellStyle name="40% - Accent3 8" xfId="3792" xr:uid="{00000000-0005-0000-0000-00008B3A0000}"/>
    <cellStyle name="40% - Accent3 8 10" xfId="9361" xr:uid="{00000000-0005-0000-0000-00008C3A0000}"/>
    <cellStyle name="40% - Accent3 8 10 2" xfId="23836" xr:uid="{00000000-0005-0000-0000-00008D3A0000}"/>
    <cellStyle name="40% - Accent3 8 11" xfId="21117" xr:uid="{00000000-0005-0000-0000-00008E3A0000}"/>
    <cellStyle name="40% - Accent3 8 2" xfId="3793" xr:uid="{00000000-0005-0000-0000-00008F3A0000}"/>
    <cellStyle name="40% - Accent3 8 2 2" xfId="3794" xr:uid="{00000000-0005-0000-0000-0000903A0000}"/>
    <cellStyle name="40% - Accent3 8 2 2 2" xfId="11089" xr:uid="{00000000-0005-0000-0000-0000913A0000}"/>
    <cellStyle name="40% - Accent3 8 2 2 2 2" xfId="25031" xr:uid="{00000000-0005-0000-0000-0000923A0000}"/>
    <cellStyle name="40% - Accent3 8 2 2 3" xfId="21119" xr:uid="{00000000-0005-0000-0000-0000933A0000}"/>
    <cellStyle name="40% - Accent3 8 2 3" xfId="3795" xr:uid="{00000000-0005-0000-0000-0000943A0000}"/>
    <cellStyle name="40% - Accent3 8 2 3 2" xfId="12862" xr:uid="{00000000-0005-0000-0000-0000953A0000}"/>
    <cellStyle name="40% - Accent3 8 2 3 2 2" xfId="26574" xr:uid="{00000000-0005-0000-0000-0000963A0000}"/>
    <cellStyle name="40% - Accent3 8 2 3 3" xfId="21120" xr:uid="{00000000-0005-0000-0000-0000973A0000}"/>
    <cellStyle name="40% - Accent3 8 2 4" xfId="3796" xr:uid="{00000000-0005-0000-0000-0000983A0000}"/>
    <cellStyle name="40% - Accent3 8 2 4 2" xfId="15268" xr:uid="{00000000-0005-0000-0000-0000993A0000}"/>
    <cellStyle name="40% - Accent3 8 2 4 2 2" xfId="28817" xr:uid="{00000000-0005-0000-0000-00009A3A0000}"/>
    <cellStyle name="40% - Accent3 8 2 4 3" xfId="21121" xr:uid="{00000000-0005-0000-0000-00009B3A0000}"/>
    <cellStyle name="40% - Accent3 8 2 5" xfId="3797" xr:uid="{00000000-0005-0000-0000-00009C3A0000}"/>
    <cellStyle name="40% - Accent3 8 2 5 2" xfId="16720" xr:uid="{00000000-0005-0000-0000-00009D3A0000}"/>
    <cellStyle name="40% - Accent3 8 2 5 2 2" xfId="30127" xr:uid="{00000000-0005-0000-0000-00009E3A0000}"/>
    <cellStyle name="40% - Accent3 8 2 5 3" xfId="21122" xr:uid="{00000000-0005-0000-0000-00009F3A0000}"/>
    <cellStyle name="40% - Accent3 8 2 6" xfId="9362" xr:uid="{00000000-0005-0000-0000-0000A03A0000}"/>
    <cellStyle name="40% - Accent3 8 2 6 2" xfId="23837" xr:uid="{00000000-0005-0000-0000-0000A13A0000}"/>
    <cellStyle name="40% - Accent3 8 2 7" xfId="21118" xr:uid="{00000000-0005-0000-0000-0000A23A0000}"/>
    <cellStyle name="40% - Accent3 8 3" xfId="3798" xr:uid="{00000000-0005-0000-0000-0000A33A0000}"/>
    <cellStyle name="40% - Accent3 8 3 2" xfId="3799" xr:uid="{00000000-0005-0000-0000-0000A43A0000}"/>
    <cellStyle name="40% - Accent3 8 3 2 2" xfId="15269" xr:uid="{00000000-0005-0000-0000-0000A53A0000}"/>
    <cellStyle name="40% - Accent3 8 3 2 2 2" xfId="28818" xr:uid="{00000000-0005-0000-0000-0000A63A0000}"/>
    <cellStyle name="40% - Accent3 8 3 2 3" xfId="21124" xr:uid="{00000000-0005-0000-0000-0000A73A0000}"/>
    <cellStyle name="40% - Accent3 8 3 3" xfId="11088" xr:uid="{00000000-0005-0000-0000-0000A83A0000}"/>
    <cellStyle name="40% - Accent3 8 3 3 2" xfId="25030" xr:uid="{00000000-0005-0000-0000-0000A93A0000}"/>
    <cellStyle name="40% - Accent3 8 3 4" xfId="21123" xr:uid="{00000000-0005-0000-0000-0000AA3A0000}"/>
    <cellStyle name="40% - Accent3 8 4" xfId="3800" xr:uid="{00000000-0005-0000-0000-0000AB3A0000}"/>
    <cellStyle name="40% - Accent3 8 4 2" xfId="12098" xr:uid="{00000000-0005-0000-0000-0000AC3A0000}"/>
    <cellStyle name="40% - Accent3 8 4 2 2" xfId="25812" xr:uid="{00000000-0005-0000-0000-0000AD3A0000}"/>
    <cellStyle name="40% - Accent3 8 4 3" xfId="21125" xr:uid="{00000000-0005-0000-0000-0000AE3A0000}"/>
    <cellStyle name="40% - Accent3 8 5" xfId="3801" xr:uid="{00000000-0005-0000-0000-0000AF3A0000}"/>
    <cellStyle name="40% - Accent3 8 5 2" xfId="12861" xr:uid="{00000000-0005-0000-0000-0000B03A0000}"/>
    <cellStyle name="40% - Accent3 8 5 2 2" xfId="26573" xr:uid="{00000000-0005-0000-0000-0000B13A0000}"/>
    <cellStyle name="40% - Accent3 8 5 3" xfId="21126" xr:uid="{00000000-0005-0000-0000-0000B23A0000}"/>
    <cellStyle name="40% - Accent3 8 6" xfId="3802" xr:uid="{00000000-0005-0000-0000-0000B33A0000}"/>
    <cellStyle name="40% - Accent3 8 6 2" xfId="13672" xr:uid="{00000000-0005-0000-0000-0000B43A0000}"/>
    <cellStyle name="40% - Accent3 8 6 2 2" xfId="27221" xr:uid="{00000000-0005-0000-0000-0000B53A0000}"/>
    <cellStyle name="40% - Accent3 8 6 3" xfId="21127" xr:uid="{00000000-0005-0000-0000-0000B63A0000}"/>
    <cellStyle name="40% - Accent3 8 7" xfId="3803" xr:uid="{00000000-0005-0000-0000-0000B73A0000}"/>
    <cellStyle name="40% - Accent3 8 7 2" xfId="14253" xr:uid="{00000000-0005-0000-0000-0000B83A0000}"/>
    <cellStyle name="40% - Accent3 8 7 2 2" xfId="27802" xr:uid="{00000000-0005-0000-0000-0000B93A0000}"/>
    <cellStyle name="40% - Accent3 8 7 3" xfId="21128" xr:uid="{00000000-0005-0000-0000-0000BA3A0000}"/>
    <cellStyle name="40% - Accent3 8 8" xfId="3804" xr:uid="{00000000-0005-0000-0000-0000BB3A0000}"/>
    <cellStyle name="40% - Accent3 8 8 2" xfId="15267" xr:uid="{00000000-0005-0000-0000-0000BC3A0000}"/>
    <cellStyle name="40% - Accent3 8 8 2 2" xfId="28816" xr:uid="{00000000-0005-0000-0000-0000BD3A0000}"/>
    <cellStyle name="40% - Accent3 8 8 3" xfId="21129" xr:uid="{00000000-0005-0000-0000-0000BE3A0000}"/>
    <cellStyle name="40% - Accent3 8 9" xfId="3805" xr:uid="{00000000-0005-0000-0000-0000BF3A0000}"/>
    <cellStyle name="40% - Accent3 8 9 2" xfId="16139" xr:uid="{00000000-0005-0000-0000-0000C03A0000}"/>
    <cellStyle name="40% - Accent3 8 9 2 2" xfId="29546" xr:uid="{00000000-0005-0000-0000-0000C13A0000}"/>
    <cellStyle name="40% - Accent3 8 9 3" xfId="21130" xr:uid="{00000000-0005-0000-0000-0000C23A0000}"/>
    <cellStyle name="40% - Accent3 9" xfId="3806" xr:uid="{00000000-0005-0000-0000-0000C33A0000}"/>
    <cellStyle name="40% - Accent3 9 2" xfId="3807" xr:uid="{00000000-0005-0000-0000-0000C43A0000}"/>
    <cellStyle name="40% - Accent3 9 2 2" xfId="11090" xr:uid="{00000000-0005-0000-0000-0000C53A0000}"/>
    <cellStyle name="40% - Accent3 9 2 2 2" xfId="25032" xr:uid="{00000000-0005-0000-0000-0000C63A0000}"/>
    <cellStyle name="40% - Accent3 9 2 3" xfId="21132" xr:uid="{00000000-0005-0000-0000-0000C73A0000}"/>
    <cellStyle name="40% - Accent3 9 3" xfId="3808" xr:uid="{00000000-0005-0000-0000-0000C83A0000}"/>
    <cellStyle name="40% - Accent3 9 3 2" xfId="12863" xr:uid="{00000000-0005-0000-0000-0000C93A0000}"/>
    <cellStyle name="40% - Accent3 9 3 2 2" xfId="26575" xr:uid="{00000000-0005-0000-0000-0000CA3A0000}"/>
    <cellStyle name="40% - Accent3 9 3 3" xfId="21133" xr:uid="{00000000-0005-0000-0000-0000CB3A0000}"/>
    <cellStyle name="40% - Accent3 9 4" xfId="3809" xr:uid="{00000000-0005-0000-0000-0000CC3A0000}"/>
    <cellStyle name="40% - Accent3 9 4 2" xfId="15270" xr:uid="{00000000-0005-0000-0000-0000CD3A0000}"/>
    <cellStyle name="40% - Accent3 9 4 2 2" xfId="28819" xr:uid="{00000000-0005-0000-0000-0000CE3A0000}"/>
    <cellStyle name="40% - Accent3 9 4 3" xfId="21134" xr:uid="{00000000-0005-0000-0000-0000CF3A0000}"/>
    <cellStyle name="40% - Accent3 9 5" xfId="3810" xr:uid="{00000000-0005-0000-0000-0000D03A0000}"/>
    <cellStyle name="40% - Accent3 9 5 2" xfId="17104" xr:uid="{00000000-0005-0000-0000-0000D13A0000}"/>
    <cellStyle name="40% - Accent3 9 5 2 2" xfId="30463" xr:uid="{00000000-0005-0000-0000-0000D23A0000}"/>
    <cellStyle name="40% - Accent3 9 5 3" xfId="21135" xr:uid="{00000000-0005-0000-0000-0000D33A0000}"/>
    <cellStyle name="40% - Accent3 9 6" xfId="9363" xr:uid="{00000000-0005-0000-0000-0000D43A0000}"/>
    <cellStyle name="40% - Accent3 9 6 2" xfId="23838" xr:uid="{00000000-0005-0000-0000-0000D53A0000}"/>
    <cellStyle name="40% - Accent3 9 7" xfId="21131" xr:uid="{00000000-0005-0000-0000-0000D63A0000}"/>
    <cellStyle name="40% - Accent4" xfId="41" builtinId="43" customBuiltin="1"/>
    <cellStyle name="40% - Accent4 10" xfId="3811" xr:uid="{00000000-0005-0000-0000-0000D83A0000}"/>
    <cellStyle name="40% - Accent4 10 2" xfId="3812" xr:uid="{00000000-0005-0000-0000-0000D93A0000}"/>
    <cellStyle name="40% - Accent4 10 2 2" xfId="3813" xr:uid="{00000000-0005-0000-0000-0000DA3A0000}"/>
    <cellStyle name="40% - Accent4 10 2 2 2" xfId="12866" xr:uid="{00000000-0005-0000-0000-0000DB3A0000}"/>
    <cellStyle name="40% - Accent4 10 2 2 2 2" xfId="26578" xr:uid="{00000000-0005-0000-0000-0000DC3A0000}"/>
    <cellStyle name="40% - Accent4 10 2 2 3" xfId="21138" xr:uid="{00000000-0005-0000-0000-0000DD3A0000}"/>
    <cellStyle name="40% - Accent4 10 2 3" xfId="3814" xr:uid="{00000000-0005-0000-0000-0000DE3A0000}"/>
    <cellStyle name="40% - Accent4 10 2 3 2" xfId="15273" xr:uid="{00000000-0005-0000-0000-0000DF3A0000}"/>
    <cellStyle name="40% - Accent4 10 2 3 2 2" xfId="28822" xr:uid="{00000000-0005-0000-0000-0000E03A0000}"/>
    <cellStyle name="40% - Accent4 10 2 3 3" xfId="21139" xr:uid="{00000000-0005-0000-0000-0000E13A0000}"/>
    <cellStyle name="40% - Accent4 10 2 4" xfId="11092" xr:uid="{00000000-0005-0000-0000-0000E23A0000}"/>
    <cellStyle name="40% - Accent4 10 2 4 2" xfId="25034" xr:uid="{00000000-0005-0000-0000-0000E33A0000}"/>
    <cellStyle name="40% - Accent4 10 2 5" xfId="21137" xr:uid="{00000000-0005-0000-0000-0000E43A0000}"/>
    <cellStyle name="40% - Accent4 10 3" xfId="3815" xr:uid="{00000000-0005-0000-0000-0000E53A0000}"/>
    <cellStyle name="40% - Accent4 10 3 2" xfId="12865" xr:uid="{00000000-0005-0000-0000-0000E63A0000}"/>
    <cellStyle name="40% - Accent4 10 3 2 2" xfId="26577" xr:uid="{00000000-0005-0000-0000-0000E73A0000}"/>
    <cellStyle name="40% - Accent4 10 3 3" xfId="21140" xr:uid="{00000000-0005-0000-0000-0000E83A0000}"/>
    <cellStyle name="40% - Accent4 10 4" xfId="3816" xr:uid="{00000000-0005-0000-0000-0000E93A0000}"/>
    <cellStyle name="40% - Accent4 10 4 2" xfId="15272" xr:uid="{00000000-0005-0000-0000-0000EA3A0000}"/>
    <cellStyle name="40% - Accent4 10 4 2 2" xfId="28821" xr:uid="{00000000-0005-0000-0000-0000EB3A0000}"/>
    <cellStyle name="40% - Accent4 10 4 3" xfId="21141" xr:uid="{00000000-0005-0000-0000-0000EC3A0000}"/>
    <cellStyle name="40% - Accent4 10 5" xfId="3817" xr:uid="{00000000-0005-0000-0000-0000ED3A0000}"/>
    <cellStyle name="40% - Accent4 10 5 2" xfId="17194" xr:uid="{00000000-0005-0000-0000-0000EE3A0000}"/>
    <cellStyle name="40% - Accent4 10 5 2 2" xfId="30553" xr:uid="{00000000-0005-0000-0000-0000EF3A0000}"/>
    <cellStyle name="40% - Accent4 10 5 3" xfId="21142" xr:uid="{00000000-0005-0000-0000-0000F03A0000}"/>
    <cellStyle name="40% - Accent4 10 6" xfId="9365" xr:uid="{00000000-0005-0000-0000-0000F13A0000}"/>
    <cellStyle name="40% - Accent4 10 6 2" xfId="23840" xr:uid="{00000000-0005-0000-0000-0000F23A0000}"/>
    <cellStyle name="40% - Accent4 10 7" xfId="21136" xr:uid="{00000000-0005-0000-0000-0000F33A0000}"/>
    <cellStyle name="40% - Accent4 11" xfId="3818" xr:uid="{00000000-0005-0000-0000-0000F43A0000}"/>
    <cellStyle name="40% - Accent4 11 2" xfId="3819" xr:uid="{00000000-0005-0000-0000-0000F53A0000}"/>
    <cellStyle name="40% - Accent4 11 2 2" xfId="11093" xr:uid="{00000000-0005-0000-0000-0000F63A0000}"/>
    <cellStyle name="40% - Accent4 11 2 2 2" xfId="25035" xr:uid="{00000000-0005-0000-0000-0000F73A0000}"/>
    <cellStyle name="40% - Accent4 11 2 3" xfId="21144" xr:uid="{00000000-0005-0000-0000-0000F83A0000}"/>
    <cellStyle name="40% - Accent4 11 3" xfId="3820" xr:uid="{00000000-0005-0000-0000-0000F93A0000}"/>
    <cellStyle name="40% - Accent4 11 3 2" xfId="12867" xr:uid="{00000000-0005-0000-0000-0000FA3A0000}"/>
    <cellStyle name="40% - Accent4 11 3 2 2" xfId="26579" xr:uid="{00000000-0005-0000-0000-0000FB3A0000}"/>
    <cellStyle name="40% - Accent4 11 3 3" xfId="21145" xr:uid="{00000000-0005-0000-0000-0000FC3A0000}"/>
    <cellStyle name="40% - Accent4 11 4" xfId="3821" xr:uid="{00000000-0005-0000-0000-0000FD3A0000}"/>
    <cellStyle name="40% - Accent4 11 4 2" xfId="15274" xr:uid="{00000000-0005-0000-0000-0000FE3A0000}"/>
    <cellStyle name="40% - Accent4 11 4 2 2" xfId="28823" xr:uid="{00000000-0005-0000-0000-0000FF3A0000}"/>
    <cellStyle name="40% - Accent4 11 4 3" xfId="21146" xr:uid="{00000000-0005-0000-0000-0000003B0000}"/>
    <cellStyle name="40% - Accent4 11 5" xfId="3822" xr:uid="{00000000-0005-0000-0000-0000013B0000}"/>
    <cellStyle name="40% - Accent4 11 5 2" xfId="17283" xr:uid="{00000000-0005-0000-0000-0000023B0000}"/>
    <cellStyle name="40% - Accent4 11 5 2 2" xfId="30642" xr:uid="{00000000-0005-0000-0000-0000033B0000}"/>
    <cellStyle name="40% - Accent4 11 5 3" xfId="21147" xr:uid="{00000000-0005-0000-0000-0000043B0000}"/>
    <cellStyle name="40% - Accent4 11 6" xfId="9366" xr:uid="{00000000-0005-0000-0000-0000053B0000}"/>
    <cellStyle name="40% - Accent4 11 6 2" xfId="23841" xr:uid="{00000000-0005-0000-0000-0000063B0000}"/>
    <cellStyle name="40% - Accent4 11 7" xfId="21143" xr:uid="{00000000-0005-0000-0000-0000073B0000}"/>
    <cellStyle name="40% - Accent4 12" xfId="3823" xr:uid="{00000000-0005-0000-0000-0000083B0000}"/>
    <cellStyle name="40% - Accent4 12 2" xfId="3824" xr:uid="{00000000-0005-0000-0000-0000093B0000}"/>
    <cellStyle name="40% - Accent4 12 2 2" xfId="3825" xr:uid="{00000000-0005-0000-0000-00000A3B0000}"/>
    <cellStyle name="40% - Accent4 12 2 2 2" xfId="11095" xr:uid="{00000000-0005-0000-0000-00000B3B0000}"/>
    <cellStyle name="40% - Accent4 12 2 2 2 2" xfId="25037" xr:uid="{00000000-0005-0000-0000-00000C3B0000}"/>
    <cellStyle name="40% - Accent4 12 2 2 3" xfId="21150" xr:uid="{00000000-0005-0000-0000-00000D3B0000}"/>
    <cellStyle name="40% - Accent4 12 2 3" xfId="3826" xr:uid="{00000000-0005-0000-0000-00000E3B0000}"/>
    <cellStyle name="40% - Accent4 12 2 3 2" xfId="12869" xr:uid="{00000000-0005-0000-0000-00000F3B0000}"/>
    <cellStyle name="40% - Accent4 12 2 3 2 2" xfId="26581" xr:uid="{00000000-0005-0000-0000-0000103B0000}"/>
    <cellStyle name="40% - Accent4 12 2 3 3" xfId="21151" xr:uid="{00000000-0005-0000-0000-0000113B0000}"/>
    <cellStyle name="40% - Accent4 12 2 4" xfId="3827" xr:uid="{00000000-0005-0000-0000-0000123B0000}"/>
    <cellStyle name="40% - Accent4 12 2 4 2" xfId="15276" xr:uid="{00000000-0005-0000-0000-0000133B0000}"/>
    <cellStyle name="40% - Accent4 12 2 4 2 2" xfId="28825" xr:uid="{00000000-0005-0000-0000-0000143B0000}"/>
    <cellStyle name="40% - Accent4 12 2 4 3" xfId="21152" xr:uid="{00000000-0005-0000-0000-0000153B0000}"/>
    <cellStyle name="40% - Accent4 12 2 5" xfId="9368" xr:uid="{00000000-0005-0000-0000-0000163B0000}"/>
    <cellStyle name="40% - Accent4 12 2 5 2" xfId="23843" xr:uid="{00000000-0005-0000-0000-0000173B0000}"/>
    <cellStyle name="40% - Accent4 12 2 6" xfId="21149" xr:uid="{00000000-0005-0000-0000-0000183B0000}"/>
    <cellStyle name="40% - Accent4 12 3" xfId="3828" xr:uid="{00000000-0005-0000-0000-0000193B0000}"/>
    <cellStyle name="40% - Accent4 12 3 2" xfId="11094" xr:uid="{00000000-0005-0000-0000-00001A3B0000}"/>
    <cellStyle name="40% - Accent4 12 3 2 2" xfId="25036" xr:uid="{00000000-0005-0000-0000-00001B3B0000}"/>
    <cellStyle name="40% - Accent4 12 3 3" xfId="21153" xr:uid="{00000000-0005-0000-0000-00001C3B0000}"/>
    <cellStyle name="40% - Accent4 12 4" xfId="3829" xr:uid="{00000000-0005-0000-0000-00001D3B0000}"/>
    <cellStyle name="40% - Accent4 12 4 2" xfId="12868" xr:uid="{00000000-0005-0000-0000-00001E3B0000}"/>
    <cellStyle name="40% - Accent4 12 4 2 2" xfId="26580" xr:uid="{00000000-0005-0000-0000-00001F3B0000}"/>
    <cellStyle name="40% - Accent4 12 4 3" xfId="21154" xr:uid="{00000000-0005-0000-0000-0000203B0000}"/>
    <cellStyle name="40% - Accent4 12 5" xfId="3830" xr:uid="{00000000-0005-0000-0000-0000213B0000}"/>
    <cellStyle name="40% - Accent4 12 5 2" xfId="15275" xr:uid="{00000000-0005-0000-0000-0000223B0000}"/>
    <cellStyle name="40% - Accent4 12 5 2 2" xfId="28824" xr:uid="{00000000-0005-0000-0000-0000233B0000}"/>
    <cellStyle name="40% - Accent4 12 5 3" xfId="21155" xr:uid="{00000000-0005-0000-0000-0000243B0000}"/>
    <cellStyle name="40% - Accent4 12 6" xfId="3831" xr:uid="{00000000-0005-0000-0000-0000253B0000}"/>
    <cellStyle name="40% - Accent4 12 6 2" xfId="16435" xr:uid="{00000000-0005-0000-0000-0000263B0000}"/>
    <cellStyle name="40% - Accent4 12 6 2 2" xfId="29842" xr:uid="{00000000-0005-0000-0000-0000273B0000}"/>
    <cellStyle name="40% - Accent4 12 6 3" xfId="21156" xr:uid="{00000000-0005-0000-0000-0000283B0000}"/>
    <cellStyle name="40% - Accent4 12 7" xfId="9367" xr:uid="{00000000-0005-0000-0000-0000293B0000}"/>
    <cellStyle name="40% - Accent4 12 7 2" xfId="23842" xr:uid="{00000000-0005-0000-0000-00002A3B0000}"/>
    <cellStyle name="40% - Accent4 12 8" xfId="21148" xr:uid="{00000000-0005-0000-0000-00002B3B0000}"/>
    <cellStyle name="40% - Accent4 13" xfId="3832" xr:uid="{00000000-0005-0000-0000-00002C3B0000}"/>
    <cellStyle name="40% - Accent4 13 2" xfId="3833" xr:uid="{00000000-0005-0000-0000-00002D3B0000}"/>
    <cellStyle name="40% - Accent4 13 2 2" xfId="11096" xr:uid="{00000000-0005-0000-0000-00002E3B0000}"/>
    <cellStyle name="40% - Accent4 13 2 2 2" xfId="25038" xr:uid="{00000000-0005-0000-0000-00002F3B0000}"/>
    <cellStyle name="40% - Accent4 13 2 3" xfId="21158" xr:uid="{00000000-0005-0000-0000-0000303B0000}"/>
    <cellStyle name="40% - Accent4 13 3" xfId="3834" xr:uid="{00000000-0005-0000-0000-0000313B0000}"/>
    <cellStyle name="40% - Accent4 13 3 2" xfId="12870" xr:uid="{00000000-0005-0000-0000-0000323B0000}"/>
    <cellStyle name="40% - Accent4 13 3 2 2" xfId="26582" xr:uid="{00000000-0005-0000-0000-0000333B0000}"/>
    <cellStyle name="40% - Accent4 13 3 3" xfId="21159" xr:uid="{00000000-0005-0000-0000-0000343B0000}"/>
    <cellStyle name="40% - Accent4 13 4" xfId="3835" xr:uid="{00000000-0005-0000-0000-0000353B0000}"/>
    <cellStyle name="40% - Accent4 13 4 2" xfId="15277" xr:uid="{00000000-0005-0000-0000-0000363B0000}"/>
    <cellStyle name="40% - Accent4 13 4 2 2" xfId="28826" xr:uid="{00000000-0005-0000-0000-0000373B0000}"/>
    <cellStyle name="40% - Accent4 13 4 3" xfId="21160" xr:uid="{00000000-0005-0000-0000-0000383B0000}"/>
    <cellStyle name="40% - Accent4 13 5" xfId="9369" xr:uid="{00000000-0005-0000-0000-0000393B0000}"/>
    <cellStyle name="40% - Accent4 13 5 2" xfId="23844" xr:uid="{00000000-0005-0000-0000-00003A3B0000}"/>
    <cellStyle name="40% - Accent4 13 6" xfId="21157" xr:uid="{00000000-0005-0000-0000-00003B3B0000}"/>
    <cellStyle name="40% - Accent4 14" xfId="3836" xr:uid="{00000000-0005-0000-0000-00003C3B0000}"/>
    <cellStyle name="40% - Accent4 14 2" xfId="3837" xr:uid="{00000000-0005-0000-0000-00003D3B0000}"/>
    <cellStyle name="40% - Accent4 14 2 2" xfId="11097" xr:uid="{00000000-0005-0000-0000-00003E3B0000}"/>
    <cellStyle name="40% - Accent4 14 2 2 2" xfId="25039" xr:uid="{00000000-0005-0000-0000-00003F3B0000}"/>
    <cellStyle name="40% - Accent4 14 2 3" xfId="21162" xr:uid="{00000000-0005-0000-0000-0000403B0000}"/>
    <cellStyle name="40% - Accent4 14 3" xfId="3838" xr:uid="{00000000-0005-0000-0000-0000413B0000}"/>
    <cellStyle name="40% - Accent4 14 3 2" xfId="12871" xr:uid="{00000000-0005-0000-0000-0000423B0000}"/>
    <cellStyle name="40% - Accent4 14 3 2 2" xfId="26583" xr:uid="{00000000-0005-0000-0000-0000433B0000}"/>
    <cellStyle name="40% - Accent4 14 3 3" xfId="21163" xr:uid="{00000000-0005-0000-0000-0000443B0000}"/>
    <cellStyle name="40% - Accent4 14 4" xfId="3839" xr:uid="{00000000-0005-0000-0000-0000453B0000}"/>
    <cellStyle name="40% - Accent4 14 4 2" xfId="15278" xr:uid="{00000000-0005-0000-0000-0000463B0000}"/>
    <cellStyle name="40% - Accent4 14 4 2 2" xfId="28827" xr:uid="{00000000-0005-0000-0000-0000473B0000}"/>
    <cellStyle name="40% - Accent4 14 4 3" xfId="21164" xr:uid="{00000000-0005-0000-0000-0000483B0000}"/>
    <cellStyle name="40% - Accent4 14 5" xfId="9370" xr:uid="{00000000-0005-0000-0000-0000493B0000}"/>
    <cellStyle name="40% - Accent4 14 5 2" xfId="23845" xr:uid="{00000000-0005-0000-0000-00004A3B0000}"/>
    <cellStyle name="40% - Accent4 14 6" xfId="21161" xr:uid="{00000000-0005-0000-0000-00004B3B0000}"/>
    <cellStyle name="40% - Accent4 15" xfId="3840" xr:uid="{00000000-0005-0000-0000-00004C3B0000}"/>
    <cellStyle name="40% - Accent4 15 2" xfId="3841" xr:uid="{00000000-0005-0000-0000-00004D3B0000}"/>
    <cellStyle name="40% - Accent4 15 2 2" xfId="11098" xr:uid="{00000000-0005-0000-0000-00004E3B0000}"/>
    <cellStyle name="40% - Accent4 15 2 2 2" xfId="25040" xr:uid="{00000000-0005-0000-0000-00004F3B0000}"/>
    <cellStyle name="40% - Accent4 15 2 3" xfId="21166" xr:uid="{00000000-0005-0000-0000-0000503B0000}"/>
    <cellStyle name="40% - Accent4 15 3" xfId="3842" xr:uid="{00000000-0005-0000-0000-0000513B0000}"/>
    <cellStyle name="40% - Accent4 15 3 2" xfId="12872" xr:uid="{00000000-0005-0000-0000-0000523B0000}"/>
    <cellStyle name="40% - Accent4 15 3 2 2" xfId="26584" xr:uid="{00000000-0005-0000-0000-0000533B0000}"/>
    <cellStyle name="40% - Accent4 15 3 3" xfId="21167" xr:uid="{00000000-0005-0000-0000-0000543B0000}"/>
    <cellStyle name="40% - Accent4 15 4" xfId="3843" xr:uid="{00000000-0005-0000-0000-0000553B0000}"/>
    <cellStyle name="40% - Accent4 15 4 2" xfId="15279" xr:uid="{00000000-0005-0000-0000-0000563B0000}"/>
    <cellStyle name="40% - Accent4 15 4 2 2" xfId="28828" xr:uid="{00000000-0005-0000-0000-0000573B0000}"/>
    <cellStyle name="40% - Accent4 15 4 3" xfId="21168" xr:uid="{00000000-0005-0000-0000-0000583B0000}"/>
    <cellStyle name="40% - Accent4 15 5" xfId="9371" xr:uid="{00000000-0005-0000-0000-0000593B0000}"/>
    <cellStyle name="40% - Accent4 15 5 2" xfId="23846" xr:uid="{00000000-0005-0000-0000-00005A3B0000}"/>
    <cellStyle name="40% - Accent4 15 6" xfId="21165" xr:uid="{00000000-0005-0000-0000-00005B3B0000}"/>
    <cellStyle name="40% - Accent4 16" xfId="3844" xr:uid="{00000000-0005-0000-0000-00005C3B0000}"/>
    <cellStyle name="40% - Accent4 16 2" xfId="3845" xr:uid="{00000000-0005-0000-0000-00005D3B0000}"/>
    <cellStyle name="40% - Accent4 16 2 2" xfId="11099" xr:uid="{00000000-0005-0000-0000-00005E3B0000}"/>
    <cellStyle name="40% - Accent4 16 2 2 2" xfId="25041" xr:uid="{00000000-0005-0000-0000-00005F3B0000}"/>
    <cellStyle name="40% - Accent4 16 2 3" xfId="21170" xr:uid="{00000000-0005-0000-0000-0000603B0000}"/>
    <cellStyle name="40% - Accent4 16 3" xfId="3846" xr:uid="{00000000-0005-0000-0000-0000613B0000}"/>
    <cellStyle name="40% - Accent4 16 3 2" xfId="12873" xr:uid="{00000000-0005-0000-0000-0000623B0000}"/>
    <cellStyle name="40% - Accent4 16 3 2 2" xfId="26585" xr:uid="{00000000-0005-0000-0000-0000633B0000}"/>
    <cellStyle name="40% - Accent4 16 3 3" xfId="21171" xr:uid="{00000000-0005-0000-0000-0000643B0000}"/>
    <cellStyle name="40% - Accent4 16 4" xfId="3847" xr:uid="{00000000-0005-0000-0000-0000653B0000}"/>
    <cellStyle name="40% - Accent4 16 4 2" xfId="15280" xr:uid="{00000000-0005-0000-0000-0000663B0000}"/>
    <cellStyle name="40% - Accent4 16 4 2 2" xfId="28829" xr:uid="{00000000-0005-0000-0000-0000673B0000}"/>
    <cellStyle name="40% - Accent4 16 4 3" xfId="21172" xr:uid="{00000000-0005-0000-0000-0000683B0000}"/>
    <cellStyle name="40% - Accent4 16 5" xfId="9372" xr:uid="{00000000-0005-0000-0000-0000693B0000}"/>
    <cellStyle name="40% - Accent4 16 5 2" xfId="23847" xr:uid="{00000000-0005-0000-0000-00006A3B0000}"/>
    <cellStyle name="40% - Accent4 16 6" xfId="21169" xr:uid="{00000000-0005-0000-0000-00006B3B0000}"/>
    <cellStyle name="40% - Accent4 17" xfId="3848" xr:uid="{00000000-0005-0000-0000-00006C3B0000}"/>
    <cellStyle name="40% - Accent4 17 2" xfId="3849" xr:uid="{00000000-0005-0000-0000-00006D3B0000}"/>
    <cellStyle name="40% - Accent4 17 2 2" xfId="11100" xr:uid="{00000000-0005-0000-0000-00006E3B0000}"/>
    <cellStyle name="40% - Accent4 17 2 2 2" xfId="25042" xr:uid="{00000000-0005-0000-0000-00006F3B0000}"/>
    <cellStyle name="40% - Accent4 17 2 3" xfId="21174" xr:uid="{00000000-0005-0000-0000-0000703B0000}"/>
    <cellStyle name="40% - Accent4 17 3" xfId="3850" xr:uid="{00000000-0005-0000-0000-0000713B0000}"/>
    <cellStyle name="40% - Accent4 17 3 2" xfId="12874" xr:uid="{00000000-0005-0000-0000-0000723B0000}"/>
    <cellStyle name="40% - Accent4 17 3 2 2" xfId="26586" xr:uid="{00000000-0005-0000-0000-0000733B0000}"/>
    <cellStyle name="40% - Accent4 17 3 3" xfId="21175" xr:uid="{00000000-0005-0000-0000-0000743B0000}"/>
    <cellStyle name="40% - Accent4 17 4" xfId="3851" xr:uid="{00000000-0005-0000-0000-0000753B0000}"/>
    <cellStyle name="40% - Accent4 17 4 2" xfId="15281" xr:uid="{00000000-0005-0000-0000-0000763B0000}"/>
    <cellStyle name="40% - Accent4 17 4 2 2" xfId="28830" xr:uid="{00000000-0005-0000-0000-0000773B0000}"/>
    <cellStyle name="40% - Accent4 17 4 3" xfId="21176" xr:uid="{00000000-0005-0000-0000-0000783B0000}"/>
    <cellStyle name="40% - Accent4 17 5" xfId="9373" xr:uid="{00000000-0005-0000-0000-0000793B0000}"/>
    <cellStyle name="40% - Accent4 17 5 2" xfId="23848" xr:uid="{00000000-0005-0000-0000-00007A3B0000}"/>
    <cellStyle name="40% - Accent4 17 6" xfId="21173" xr:uid="{00000000-0005-0000-0000-00007B3B0000}"/>
    <cellStyle name="40% - Accent4 18" xfId="3852" xr:uid="{00000000-0005-0000-0000-00007C3B0000}"/>
    <cellStyle name="40% - Accent4 18 2" xfId="3853" xr:uid="{00000000-0005-0000-0000-00007D3B0000}"/>
    <cellStyle name="40% - Accent4 18 2 2" xfId="11101" xr:uid="{00000000-0005-0000-0000-00007E3B0000}"/>
    <cellStyle name="40% - Accent4 18 2 2 2" xfId="25043" xr:uid="{00000000-0005-0000-0000-00007F3B0000}"/>
    <cellStyle name="40% - Accent4 18 2 3" xfId="21178" xr:uid="{00000000-0005-0000-0000-0000803B0000}"/>
    <cellStyle name="40% - Accent4 18 3" xfId="3854" xr:uid="{00000000-0005-0000-0000-0000813B0000}"/>
    <cellStyle name="40% - Accent4 18 3 2" xfId="12875" xr:uid="{00000000-0005-0000-0000-0000823B0000}"/>
    <cellStyle name="40% - Accent4 18 3 2 2" xfId="26587" xr:uid="{00000000-0005-0000-0000-0000833B0000}"/>
    <cellStyle name="40% - Accent4 18 3 3" xfId="21179" xr:uid="{00000000-0005-0000-0000-0000843B0000}"/>
    <cellStyle name="40% - Accent4 18 4" xfId="3855" xr:uid="{00000000-0005-0000-0000-0000853B0000}"/>
    <cellStyle name="40% - Accent4 18 4 2" xfId="15282" xr:uid="{00000000-0005-0000-0000-0000863B0000}"/>
    <cellStyle name="40% - Accent4 18 4 2 2" xfId="28831" xr:uid="{00000000-0005-0000-0000-0000873B0000}"/>
    <cellStyle name="40% - Accent4 18 4 3" xfId="21180" xr:uid="{00000000-0005-0000-0000-0000883B0000}"/>
    <cellStyle name="40% - Accent4 18 5" xfId="9374" xr:uid="{00000000-0005-0000-0000-0000893B0000}"/>
    <cellStyle name="40% - Accent4 18 5 2" xfId="23849" xr:uid="{00000000-0005-0000-0000-00008A3B0000}"/>
    <cellStyle name="40% - Accent4 18 6" xfId="21177" xr:uid="{00000000-0005-0000-0000-00008B3B0000}"/>
    <cellStyle name="40% - Accent4 19" xfId="3856" xr:uid="{00000000-0005-0000-0000-00008C3B0000}"/>
    <cellStyle name="40% - Accent4 19 2" xfId="3857" xr:uid="{00000000-0005-0000-0000-00008D3B0000}"/>
    <cellStyle name="40% - Accent4 19 2 2" xfId="11719" xr:uid="{00000000-0005-0000-0000-00008E3B0000}"/>
    <cellStyle name="40% - Accent4 19 2 2 2" xfId="25439" xr:uid="{00000000-0005-0000-0000-00008F3B0000}"/>
    <cellStyle name="40% - Accent4 19 2 3" xfId="21182" xr:uid="{00000000-0005-0000-0000-0000903B0000}"/>
    <cellStyle name="40% - Accent4 19 3" xfId="3858" xr:uid="{00000000-0005-0000-0000-0000913B0000}"/>
    <cellStyle name="40% - Accent4 19 3 2" xfId="12876" xr:uid="{00000000-0005-0000-0000-0000923B0000}"/>
    <cellStyle name="40% - Accent4 19 3 2 2" xfId="26588" xr:uid="{00000000-0005-0000-0000-0000933B0000}"/>
    <cellStyle name="40% - Accent4 19 3 3" xfId="21183" xr:uid="{00000000-0005-0000-0000-0000943B0000}"/>
    <cellStyle name="40% - Accent4 19 4" xfId="3859" xr:uid="{00000000-0005-0000-0000-0000953B0000}"/>
    <cellStyle name="40% - Accent4 19 4 2" xfId="15283" xr:uid="{00000000-0005-0000-0000-0000963B0000}"/>
    <cellStyle name="40% - Accent4 19 4 2 2" xfId="28832" xr:uid="{00000000-0005-0000-0000-0000973B0000}"/>
    <cellStyle name="40% - Accent4 19 4 3" xfId="21184" xr:uid="{00000000-0005-0000-0000-0000983B0000}"/>
    <cellStyle name="40% - Accent4 19 5" xfId="10471" xr:uid="{00000000-0005-0000-0000-0000993B0000}"/>
    <cellStyle name="40% - Accent4 19 5 2" xfId="24430" xr:uid="{00000000-0005-0000-0000-00009A3B0000}"/>
    <cellStyle name="40% - Accent4 19 6" xfId="21181" xr:uid="{00000000-0005-0000-0000-00009B3B0000}"/>
    <cellStyle name="40% - Accent4 2" xfId="3860" xr:uid="{00000000-0005-0000-0000-00009C3B0000}"/>
    <cellStyle name="40% - Accent4 2 10" xfId="3861" xr:uid="{00000000-0005-0000-0000-00009D3B0000}"/>
    <cellStyle name="40% - Accent4 2 10 2" xfId="3862" xr:uid="{00000000-0005-0000-0000-00009E3B0000}"/>
    <cellStyle name="40% - Accent4 2 10 2 2" xfId="15285" xr:uid="{00000000-0005-0000-0000-00009F3B0000}"/>
    <cellStyle name="40% - Accent4 2 10 2 2 2" xfId="28834" xr:uid="{00000000-0005-0000-0000-0000A03B0000}"/>
    <cellStyle name="40% - Accent4 2 10 2 3" xfId="21187" xr:uid="{00000000-0005-0000-0000-0000A13B0000}"/>
    <cellStyle name="40% - Accent4 2 10 3" xfId="11843" xr:uid="{00000000-0005-0000-0000-0000A23B0000}"/>
    <cellStyle name="40% - Accent4 2 10 3 2" xfId="25558" xr:uid="{00000000-0005-0000-0000-0000A33B0000}"/>
    <cellStyle name="40% - Accent4 2 10 4" xfId="21186" xr:uid="{00000000-0005-0000-0000-0000A43B0000}"/>
    <cellStyle name="40% - Accent4 2 11" xfId="3863" xr:uid="{00000000-0005-0000-0000-0000A53B0000}"/>
    <cellStyle name="40% - Accent4 2 11 2" xfId="12877" xr:uid="{00000000-0005-0000-0000-0000A63B0000}"/>
    <cellStyle name="40% - Accent4 2 11 2 2" xfId="26589" xr:uid="{00000000-0005-0000-0000-0000A73B0000}"/>
    <cellStyle name="40% - Accent4 2 11 3" xfId="21188" xr:uid="{00000000-0005-0000-0000-0000A83B0000}"/>
    <cellStyle name="40% - Accent4 2 12" xfId="3864" xr:uid="{00000000-0005-0000-0000-0000A93B0000}"/>
    <cellStyle name="40% - Accent4 2 12 2" xfId="13442" xr:uid="{00000000-0005-0000-0000-0000AA3B0000}"/>
    <cellStyle name="40% - Accent4 2 12 2 2" xfId="26991" xr:uid="{00000000-0005-0000-0000-0000AB3B0000}"/>
    <cellStyle name="40% - Accent4 2 12 3" xfId="21189" xr:uid="{00000000-0005-0000-0000-0000AC3B0000}"/>
    <cellStyle name="40% - Accent4 2 13" xfId="3865" xr:uid="{00000000-0005-0000-0000-0000AD3B0000}"/>
    <cellStyle name="40% - Accent4 2 13 2" xfId="14023" xr:uid="{00000000-0005-0000-0000-0000AE3B0000}"/>
    <cellStyle name="40% - Accent4 2 13 2 2" xfId="27572" xr:uid="{00000000-0005-0000-0000-0000AF3B0000}"/>
    <cellStyle name="40% - Accent4 2 13 3" xfId="21190" xr:uid="{00000000-0005-0000-0000-0000B03B0000}"/>
    <cellStyle name="40% - Accent4 2 14" xfId="3866" xr:uid="{00000000-0005-0000-0000-0000B13B0000}"/>
    <cellStyle name="40% - Accent4 2 14 2" xfId="15284" xr:uid="{00000000-0005-0000-0000-0000B23B0000}"/>
    <cellStyle name="40% - Accent4 2 14 2 2" xfId="28833" xr:uid="{00000000-0005-0000-0000-0000B33B0000}"/>
    <cellStyle name="40% - Accent4 2 14 3" xfId="21191" xr:uid="{00000000-0005-0000-0000-0000B43B0000}"/>
    <cellStyle name="40% - Accent4 2 15" xfId="3867" xr:uid="{00000000-0005-0000-0000-0000B53B0000}"/>
    <cellStyle name="40% - Accent4 2 15 2" xfId="15909" xr:uid="{00000000-0005-0000-0000-0000B63B0000}"/>
    <cellStyle name="40% - Accent4 2 15 2 2" xfId="29316" xr:uid="{00000000-0005-0000-0000-0000B73B0000}"/>
    <cellStyle name="40% - Accent4 2 15 3" xfId="21192" xr:uid="{00000000-0005-0000-0000-0000B83B0000}"/>
    <cellStyle name="40% - Accent4 2 16" xfId="9375" xr:uid="{00000000-0005-0000-0000-0000B93B0000}"/>
    <cellStyle name="40% - Accent4 2 16 2" xfId="23850" xr:uid="{00000000-0005-0000-0000-0000BA3B0000}"/>
    <cellStyle name="40% - Accent4 2 17" xfId="21185" xr:uid="{00000000-0005-0000-0000-0000BB3B0000}"/>
    <cellStyle name="40% - Accent4 2 18" xfId="33075" xr:uid="{00000000-0005-0000-0000-0000BC3B0000}"/>
    <cellStyle name="40% - Accent4 2 2" xfId="3868" xr:uid="{00000000-0005-0000-0000-0000BD3B0000}"/>
    <cellStyle name="40% - Accent4 2 2 10" xfId="3869" xr:uid="{00000000-0005-0000-0000-0000BE3B0000}"/>
    <cellStyle name="40% - Accent4 2 2 10 2" xfId="15286" xr:uid="{00000000-0005-0000-0000-0000BF3B0000}"/>
    <cellStyle name="40% - Accent4 2 2 10 2 2" xfId="28835" xr:uid="{00000000-0005-0000-0000-0000C03B0000}"/>
    <cellStyle name="40% - Accent4 2 2 10 3" xfId="21194" xr:uid="{00000000-0005-0000-0000-0000C13B0000}"/>
    <cellStyle name="40% - Accent4 2 2 11" xfId="3870" xr:uid="{00000000-0005-0000-0000-0000C23B0000}"/>
    <cellStyle name="40% - Accent4 2 2 11 2" xfId="15955" xr:uid="{00000000-0005-0000-0000-0000C33B0000}"/>
    <cellStyle name="40% - Accent4 2 2 11 2 2" xfId="29362" xr:uid="{00000000-0005-0000-0000-0000C43B0000}"/>
    <cellStyle name="40% - Accent4 2 2 11 3" xfId="21195" xr:uid="{00000000-0005-0000-0000-0000C53B0000}"/>
    <cellStyle name="40% - Accent4 2 2 12" xfId="9376" xr:uid="{00000000-0005-0000-0000-0000C63B0000}"/>
    <cellStyle name="40% - Accent4 2 2 12 2" xfId="23851" xr:uid="{00000000-0005-0000-0000-0000C73B0000}"/>
    <cellStyle name="40% - Accent4 2 2 13" xfId="21193" xr:uid="{00000000-0005-0000-0000-0000C83B0000}"/>
    <cellStyle name="40% - Accent4 2 2 2" xfId="3871" xr:uid="{00000000-0005-0000-0000-0000C93B0000}"/>
    <cellStyle name="40% - Accent4 2 2 2 10" xfId="3872" xr:uid="{00000000-0005-0000-0000-0000CA3B0000}"/>
    <cellStyle name="40% - Accent4 2 2 2 10 2" xfId="16098" xr:uid="{00000000-0005-0000-0000-0000CB3B0000}"/>
    <cellStyle name="40% - Accent4 2 2 2 10 2 2" xfId="29505" xr:uid="{00000000-0005-0000-0000-0000CC3B0000}"/>
    <cellStyle name="40% - Accent4 2 2 2 10 3" xfId="21197" xr:uid="{00000000-0005-0000-0000-0000CD3B0000}"/>
    <cellStyle name="40% - Accent4 2 2 2 11" xfId="9377" xr:uid="{00000000-0005-0000-0000-0000CE3B0000}"/>
    <cellStyle name="40% - Accent4 2 2 2 11 2" xfId="23852" xr:uid="{00000000-0005-0000-0000-0000CF3B0000}"/>
    <cellStyle name="40% - Accent4 2 2 2 12" xfId="21196" xr:uid="{00000000-0005-0000-0000-0000D03B0000}"/>
    <cellStyle name="40% - Accent4 2 2 2 2" xfId="3873" xr:uid="{00000000-0005-0000-0000-0000D13B0000}"/>
    <cellStyle name="40% - Accent4 2 2 2 2 10" xfId="9378" xr:uid="{00000000-0005-0000-0000-0000D23B0000}"/>
    <cellStyle name="40% - Accent4 2 2 2 2 10 2" xfId="23853" xr:uid="{00000000-0005-0000-0000-0000D33B0000}"/>
    <cellStyle name="40% - Accent4 2 2 2 2 11" xfId="21198" xr:uid="{00000000-0005-0000-0000-0000D43B0000}"/>
    <cellStyle name="40% - Accent4 2 2 2 2 2" xfId="3874" xr:uid="{00000000-0005-0000-0000-0000D53B0000}"/>
    <cellStyle name="40% - Accent4 2 2 2 2 2 2" xfId="3875" xr:uid="{00000000-0005-0000-0000-0000D63B0000}"/>
    <cellStyle name="40% - Accent4 2 2 2 2 2 2 2" xfId="11106" xr:uid="{00000000-0005-0000-0000-0000D73B0000}"/>
    <cellStyle name="40% - Accent4 2 2 2 2 2 2 2 2" xfId="25048" xr:uid="{00000000-0005-0000-0000-0000D83B0000}"/>
    <cellStyle name="40% - Accent4 2 2 2 2 2 2 3" xfId="21200" xr:uid="{00000000-0005-0000-0000-0000D93B0000}"/>
    <cellStyle name="40% - Accent4 2 2 2 2 2 3" xfId="3876" xr:uid="{00000000-0005-0000-0000-0000DA3B0000}"/>
    <cellStyle name="40% - Accent4 2 2 2 2 2 3 2" xfId="12881" xr:uid="{00000000-0005-0000-0000-0000DB3B0000}"/>
    <cellStyle name="40% - Accent4 2 2 2 2 2 3 2 2" xfId="26593" xr:uid="{00000000-0005-0000-0000-0000DC3B0000}"/>
    <cellStyle name="40% - Accent4 2 2 2 2 2 3 3" xfId="21201" xr:uid="{00000000-0005-0000-0000-0000DD3B0000}"/>
    <cellStyle name="40% - Accent4 2 2 2 2 2 4" xfId="3877" xr:uid="{00000000-0005-0000-0000-0000DE3B0000}"/>
    <cellStyle name="40% - Accent4 2 2 2 2 2 4 2" xfId="15289" xr:uid="{00000000-0005-0000-0000-0000DF3B0000}"/>
    <cellStyle name="40% - Accent4 2 2 2 2 2 4 2 2" xfId="28838" xr:uid="{00000000-0005-0000-0000-0000E03B0000}"/>
    <cellStyle name="40% - Accent4 2 2 2 2 2 4 3" xfId="21202" xr:uid="{00000000-0005-0000-0000-0000E13B0000}"/>
    <cellStyle name="40% - Accent4 2 2 2 2 2 5" xfId="3878" xr:uid="{00000000-0005-0000-0000-0000E23B0000}"/>
    <cellStyle name="40% - Accent4 2 2 2 2 2 5 2" xfId="16968" xr:uid="{00000000-0005-0000-0000-0000E33B0000}"/>
    <cellStyle name="40% - Accent4 2 2 2 2 2 5 2 2" xfId="30375" xr:uid="{00000000-0005-0000-0000-0000E43B0000}"/>
    <cellStyle name="40% - Accent4 2 2 2 2 2 5 3" xfId="21203" xr:uid="{00000000-0005-0000-0000-0000E53B0000}"/>
    <cellStyle name="40% - Accent4 2 2 2 2 2 6" xfId="9379" xr:uid="{00000000-0005-0000-0000-0000E63B0000}"/>
    <cellStyle name="40% - Accent4 2 2 2 2 2 6 2" xfId="23854" xr:uid="{00000000-0005-0000-0000-0000E73B0000}"/>
    <cellStyle name="40% - Accent4 2 2 2 2 2 7" xfId="21199" xr:uid="{00000000-0005-0000-0000-0000E83B0000}"/>
    <cellStyle name="40% - Accent4 2 2 2 2 3" xfId="3879" xr:uid="{00000000-0005-0000-0000-0000E93B0000}"/>
    <cellStyle name="40% - Accent4 2 2 2 2 3 2" xfId="3880" xr:uid="{00000000-0005-0000-0000-0000EA3B0000}"/>
    <cellStyle name="40% - Accent4 2 2 2 2 3 2 2" xfId="15290" xr:uid="{00000000-0005-0000-0000-0000EB3B0000}"/>
    <cellStyle name="40% - Accent4 2 2 2 2 3 2 2 2" xfId="28839" xr:uid="{00000000-0005-0000-0000-0000EC3B0000}"/>
    <cellStyle name="40% - Accent4 2 2 2 2 3 2 3" xfId="21205" xr:uid="{00000000-0005-0000-0000-0000ED3B0000}"/>
    <cellStyle name="40% - Accent4 2 2 2 2 3 3" xfId="11105" xr:uid="{00000000-0005-0000-0000-0000EE3B0000}"/>
    <cellStyle name="40% - Accent4 2 2 2 2 3 3 2" xfId="25047" xr:uid="{00000000-0005-0000-0000-0000EF3B0000}"/>
    <cellStyle name="40% - Accent4 2 2 2 2 3 4" xfId="21204" xr:uid="{00000000-0005-0000-0000-0000F03B0000}"/>
    <cellStyle name="40% - Accent4 2 2 2 2 4" xfId="3881" xr:uid="{00000000-0005-0000-0000-0000F13B0000}"/>
    <cellStyle name="40% - Accent4 2 2 2 2 4 2" xfId="12356" xr:uid="{00000000-0005-0000-0000-0000F23B0000}"/>
    <cellStyle name="40% - Accent4 2 2 2 2 4 2 2" xfId="26068" xr:uid="{00000000-0005-0000-0000-0000F33B0000}"/>
    <cellStyle name="40% - Accent4 2 2 2 2 4 3" xfId="21206" xr:uid="{00000000-0005-0000-0000-0000F43B0000}"/>
    <cellStyle name="40% - Accent4 2 2 2 2 5" xfId="3882" xr:uid="{00000000-0005-0000-0000-0000F53B0000}"/>
    <cellStyle name="40% - Accent4 2 2 2 2 5 2" xfId="12880" xr:uid="{00000000-0005-0000-0000-0000F63B0000}"/>
    <cellStyle name="40% - Accent4 2 2 2 2 5 2 2" xfId="26592" xr:uid="{00000000-0005-0000-0000-0000F73B0000}"/>
    <cellStyle name="40% - Accent4 2 2 2 2 5 3" xfId="21207" xr:uid="{00000000-0005-0000-0000-0000F83B0000}"/>
    <cellStyle name="40% - Accent4 2 2 2 2 6" xfId="3883" xr:uid="{00000000-0005-0000-0000-0000F93B0000}"/>
    <cellStyle name="40% - Accent4 2 2 2 2 6 2" xfId="13920" xr:uid="{00000000-0005-0000-0000-0000FA3B0000}"/>
    <cellStyle name="40% - Accent4 2 2 2 2 6 2 2" xfId="27469" xr:uid="{00000000-0005-0000-0000-0000FB3B0000}"/>
    <cellStyle name="40% - Accent4 2 2 2 2 6 3" xfId="21208" xr:uid="{00000000-0005-0000-0000-0000FC3B0000}"/>
    <cellStyle name="40% - Accent4 2 2 2 2 7" xfId="3884" xr:uid="{00000000-0005-0000-0000-0000FD3B0000}"/>
    <cellStyle name="40% - Accent4 2 2 2 2 7 2" xfId="14501" xr:uid="{00000000-0005-0000-0000-0000FE3B0000}"/>
    <cellStyle name="40% - Accent4 2 2 2 2 7 2 2" xfId="28050" xr:uid="{00000000-0005-0000-0000-0000FF3B0000}"/>
    <cellStyle name="40% - Accent4 2 2 2 2 7 3" xfId="21209" xr:uid="{00000000-0005-0000-0000-0000003C0000}"/>
    <cellStyle name="40% - Accent4 2 2 2 2 8" xfId="3885" xr:uid="{00000000-0005-0000-0000-0000013C0000}"/>
    <cellStyle name="40% - Accent4 2 2 2 2 8 2" xfId="15288" xr:uid="{00000000-0005-0000-0000-0000023C0000}"/>
    <cellStyle name="40% - Accent4 2 2 2 2 8 2 2" xfId="28837" xr:uid="{00000000-0005-0000-0000-0000033C0000}"/>
    <cellStyle name="40% - Accent4 2 2 2 2 8 3" xfId="21210" xr:uid="{00000000-0005-0000-0000-0000043C0000}"/>
    <cellStyle name="40% - Accent4 2 2 2 2 9" xfId="3886" xr:uid="{00000000-0005-0000-0000-0000053C0000}"/>
    <cellStyle name="40% - Accent4 2 2 2 2 9 2" xfId="16387" xr:uid="{00000000-0005-0000-0000-0000063C0000}"/>
    <cellStyle name="40% - Accent4 2 2 2 2 9 2 2" xfId="29794" xr:uid="{00000000-0005-0000-0000-0000073C0000}"/>
    <cellStyle name="40% - Accent4 2 2 2 2 9 3" xfId="21211" xr:uid="{00000000-0005-0000-0000-0000083C0000}"/>
    <cellStyle name="40% - Accent4 2 2 2 3" xfId="3887" xr:uid="{00000000-0005-0000-0000-0000093C0000}"/>
    <cellStyle name="40% - Accent4 2 2 2 3 2" xfId="3888" xr:uid="{00000000-0005-0000-0000-00000A3C0000}"/>
    <cellStyle name="40% - Accent4 2 2 2 3 2 2" xfId="11107" xr:uid="{00000000-0005-0000-0000-00000B3C0000}"/>
    <cellStyle name="40% - Accent4 2 2 2 3 2 2 2" xfId="25049" xr:uid="{00000000-0005-0000-0000-00000C3C0000}"/>
    <cellStyle name="40% - Accent4 2 2 2 3 2 3" xfId="21213" xr:uid="{00000000-0005-0000-0000-00000D3C0000}"/>
    <cellStyle name="40% - Accent4 2 2 2 3 3" xfId="3889" xr:uid="{00000000-0005-0000-0000-00000E3C0000}"/>
    <cellStyle name="40% - Accent4 2 2 2 3 3 2" xfId="12882" xr:uid="{00000000-0005-0000-0000-00000F3C0000}"/>
    <cellStyle name="40% - Accent4 2 2 2 3 3 2 2" xfId="26594" xr:uid="{00000000-0005-0000-0000-0000103C0000}"/>
    <cellStyle name="40% - Accent4 2 2 2 3 3 3" xfId="21214" xr:uid="{00000000-0005-0000-0000-0000113C0000}"/>
    <cellStyle name="40% - Accent4 2 2 2 3 4" xfId="3890" xr:uid="{00000000-0005-0000-0000-0000123C0000}"/>
    <cellStyle name="40% - Accent4 2 2 2 3 4 2" xfId="15291" xr:uid="{00000000-0005-0000-0000-0000133C0000}"/>
    <cellStyle name="40% - Accent4 2 2 2 3 4 2 2" xfId="28840" xr:uid="{00000000-0005-0000-0000-0000143C0000}"/>
    <cellStyle name="40% - Accent4 2 2 2 3 4 3" xfId="21215" xr:uid="{00000000-0005-0000-0000-0000153C0000}"/>
    <cellStyle name="40% - Accent4 2 2 2 3 5" xfId="3891" xr:uid="{00000000-0005-0000-0000-0000163C0000}"/>
    <cellStyle name="40% - Accent4 2 2 2 3 5 2" xfId="16679" xr:uid="{00000000-0005-0000-0000-0000173C0000}"/>
    <cellStyle name="40% - Accent4 2 2 2 3 5 2 2" xfId="30086" xr:uid="{00000000-0005-0000-0000-0000183C0000}"/>
    <cellStyle name="40% - Accent4 2 2 2 3 5 3" xfId="21216" xr:uid="{00000000-0005-0000-0000-0000193C0000}"/>
    <cellStyle name="40% - Accent4 2 2 2 3 6" xfId="9380" xr:uid="{00000000-0005-0000-0000-00001A3C0000}"/>
    <cellStyle name="40% - Accent4 2 2 2 3 6 2" xfId="23855" xr:uid="{00000000-0005-0000-0000-00001B3C0000}"/>
    <cellStyle name="40% - Accent4 2 2 2 3 7" xfId="21212" xr:uid="{00000000-0005-0000-0000-00001C3C0000}"/>
    <cellStyle name="40% - Accent4 2 2 2 4" xfId="3892" xr:uid="{00000000-0005-0000-0000-00001D3C0000}"/>
    <cellStyle name="40% - Accent4 2 2 2 4 2" xfId="3893" xr:uid="{00000000-0005-0000-0000-00001E3C0000}"/>
    <cellStyle name="40% - Accent4 2 2 2 4 2 2" xfId="15292" xr:uid="{00000000-0005-0000-0000-00001F3C0000}"/>
    <cellStyle name="40% - Accent4 2 2 2 4 2 2 2" xfId="28841" xr:uid="{00000000-0005-0000-0000-0000203C0000}"/>
    <cellStyle name="40% - Accent4 2 2 2 4 2 3" xfId="21218" xr:uid="{00000000-0005-0000-0000-0000213C0000}"/>
    <cellStyle name="40% - Accent4 2 2 2 4 3" xfId="11104" xr:uid="{00000000-0005-0000-0000-0000223C0000}"/>
    <cellStyle name="40% - Accent4 2 2 2 4 3 2" xfId="25046" xr:uid="{00000000-0005-0000-0000-0000233C0000}"/>
    <cellStyle name="40% - Accent4 2 2 2 4 4" xfId="21217" xr:uid="{00000000-0005-0000-0000-0000243C0000}"/>
    <cellStyle name="40% - Accent4 2 2 2 5" xfId="3894" xr:uid="{00000000-0005-0000-0000-0000253C0000}"/>
    <cellStyle name="40% - Accent4 2 2 2 5 2" xfId="12056" xr:uid="{00000000-0005-0000-0000-0000263C0000}"/>
    <cellStyle name="40% - Accent4 2 2 2 5 2 2" xfId="25771" xr:uid="{00000000-0005-0000-0000-0000273C0000}"/>
    <cellStyle name="40% - Accent4 2 2 2 5 3" xfId="21219" xr:uid="{00000000-0005-0000-0000-0000283C0000}"/>
    <cellStyle name="40% - Accent4 2 2 2 6" xfId="3895" xr:uid="{00000000-0005-0000-0000-0000293C0000}"/>
    <cellStyle name="40% - Accent4 2 2 2 6 2" xfId="12879" xr:uid="{00000000-0005-0000-0000-00002A3C0000}"/>
    <cellStyle name="40% - Accent4 2 2 2 6 2 2" xfId="26591" xr:uid="{00000000-0005-0000-0000-00002B3C0000}"/>
    <cellStyle name="40% - Accent4 2 2 2 6 3" xfId="21220" xr:uid="{00000000-0005-0000-0000-00002C3C0000}"/>
    <cellStyle name="40% - Accent4 2 2 2 7" xfId="3896" xr:uid="{00000000-0005-0000-0000-00002D3C0000}"/>
    <cellStyle name="40% - Accent4 2 2 2 7 2" xfId="13631" xr:uid="{00000000-0005-0000-0000-00002E3C0000}"/>
    <cellStyle name="40% - Accent4 2 2 2 7 2 2" xfId="27180" xr:uid="{00000000-0005-0000-0000-00002F3C0000}"/>
    <cellStyle name="40% - Accent4 2 2 2 7 3" xfId="21221" xr:uid="{00000000-0005-0000-0000-0000303C0000}"/>
    <cellStyle name="40% - Accent4 2 2 2 8" xfId="3897" xr:uid="{00000000-0005-0000-0000-0000313C0000}"/>
    <cellStyle name="40% - Accent4 2 2 2 8 2" xfId="14212" xr:uid="{00000000-0005-0000-0000-0000323C0000}"/>
    <cellStyle name="40% - Accent4 2 2 2 8 2 2" xfId="27761" xr:uid="{00000000-0005-0000-0000-0000333C0000}"/>
    <cellStyle name="40% - Accent4 2 2 2 8 3" xfId="21222" xr:uid="{00000000-0005-0000-0000-0000343C0000}"/>
    <cellStyle name="40% - Accent4 2 2 2 9" xfId="3898" xr:uid="{00000000-0005-0000-0000-0000353C0000}"/>
    <cellStyle name="40% - Accent4 2 2 2 9 2" xfId="15287" xr:uid="{00000000-0005-0000-0000-0000363C0000}"/>
    <cellStyle name="40% - Accent4 2 2 2 9 2 2" xfId="28836" xr:uid="{00000000-0005-0000-0000-0000373C0000}"/>
    <cellStyle name="40% - Accent4 2 2 2 9 3" xfId="21223" xr:uid="{00000000-0005-0000-0000-0000383C0000}"/>
    <cellStyle name="40% - Accent4 2 2 3" xfId="3899" xr:uid="{00000000-0005-0000-0000-0000393C0000}"/>
    <cellStyle name="40% - Accent4 2 2 3 10" xfId="9381" xr:uid="{00000000-0005-0000-0000-00003A3C0000}"/>
    <cellStyle name="40% - Accent4 2 2 3 10 2" xfId="23856" xr:uid="{00000000-0005-0000-0000-00003B3C0000}"/>
    <cellStyle name="40% - Accent4 2 2 3 11" xfId="21224" xr:uid="{00000000-0005-0000-0000-00003C3C0000}"/>
    <cellStyle name="40% - Accent4 2 2 3 2" xfId="3900" xr:uid="{00000000-0005-0000-0000-00003D3C0000}"/>
    <cellStyle name="40% - Accent4 2 2 3 2 2" xfId="3901" xr:uid="{00000000-0005-0000-0000-00003E3C0000}"/>
    <cellStyle name="40% - Accent4 2 2 3 2 2 2" xfId="11109" xr:uid="{00000000-0005-0000-0000-00003F3C0000}"/>
    <cellStyle name="40% - Accent4 2 2 3 2 2 2 2" xfId="25051" xr:uid="{00000000-0005-0000-0000-0000403C0000}"/>
    <cellStyle name="40% - Accent4 2 2 3 2 2 3" xfId="21226" xr:uid="{00000000-0005-0000-0000-0000413C0000}"/>
    <cellStyle name="40% - Accent4 2 2 3 2 3" xfId="3902" xr:uid="{00000000-0005-0000-0000-0000423C0000}"/>
    <cellStyle name="40% - Accent4 2 2 3 2 3 2" xfId="12884" xr:uid="{00000000-0005-0000-0000-0000433C0000}"/>
    <cellStyle name="40% - Accent4 2 2 3 2 3 2 2" xfId="26596" xr:uid="{00000000-0005-0000-0000-0000443C0000}"/>
    <cellStyle name="40% - Accent4 2 2 3 2 3 3" xfId="21227" xr:uid="{00000000-0005-0000-0000-0000453C0000}"/>
    <cellStyle name="40% - Accent4 2 2 3 2 4" xfId="3903" xr:uid="{00000000-0005-0000-0000-0000463C0000}"/>
    <cellStyle name="40% - Accent4 2 2 3 2 4 2" xfId="15294" xr:uid="{00000000-0005-0000-0000-0000473C0000}"/>
    <cellStyle name="40% - Accent4 2 2 3 2 4 2 2" xfId="28843" xr:uid="{00000000-0005-0000-0000-0000483C0000}"/>
    <cellStyle name="40% - Accent4 2 2 3 2 4 3" xfId="21228" xr:uid="{00000000-0005-0000-0000-0000493C0000}"/>
    <cellStyle name="40% - Accent4 2 2 3 2 5" xfId="3904" xr:uid="{00000000-0005-0000-0000-00004A3C0000}"/>
    <cellStyle name="40% - Accent4 2 2 3 2 5 2" xfId="16825" xr:uid="{00000000-0005-0000-0000-00004B3C0000}"/>
    <cellStyle name="40% - Accent4 2 2 3 2 5 2 2" xfId="30232" xr:uid="{00000000-0005-0000-0000-00004C3C0000}"/>
    <cellStyle name="40% - Accent4 2 2 3 2 5 3" xfId="21229" xr:uid="{00000000-0005-0000-0000-00004D3C0000}"/>
    <cellStyle name="40% - Accent4 2 2 3 2 6" xfId="9382" xr:uid="{00000000-0005-0000-0000-00004E3C0000}"/>
    <cellStyle name="40% - Accent4 2 2 3 2 6 2" xfId="23857" xr:uid="{00000000-0005-0000-0000-00004F3C0000}"/>
    <cellStyle name="40% - Accent4 2 2 3 2 7" xfId="21225" xr:uid="{00000000-0005-0000-0000-0000503C0000}"/>
    <cellStyle name="40% - Accent4 2 2 3 3" xfId="3905" xr:uid="{00000000-0005-0000-0000-0000513C0000}"/>
    <cellStyle name="40% - Accent4 2 2 3 3 2" xfId="3906" xr:uid="{00000000-0005-0000-0000-0000523C0000}"/>
    <cellStyle name="40% - Accent4 2 2 3 3 2 2" xfId="15295" xr:uid="{00000000-0005-0000-0000-0000533C0000}"/>
    <cellStyle name="40% - Accent4 2 2 3 3 2 2 2" xfId="28844" xr:uid="{00000000-0005-0000-0000-0000543C0000}"/>
    <cellStyle name="40% - Accent4 2 2 3 3 2 3" xfId="21231" xr:uid="{00000000-0005-0000-0000-0000553C0000}"/>
    <cellStyle name="40% - Accent4 2 2 3 3 3" xfId="11108" xr:uid="{00000000-0005-0000-0000-0000563C0000}"/>
    <cellStyle name="40% - Accent4 2 2 3 3 3 2" xfId="25050" xr:uid="{00000000-0005-0000-0000-0000573C0000}"/>
    <cellStyle name="40% - Accent4 2 2 3 3 4" xfId="21230" xr:uid="{00000000-0005-0000-0000-0000583C0000}"/>
    <cellStyle name="40% - Accent4 2 2 3 4" xfId="3907" xr:uid="{00000000-0005-0000-0000-0000593C0000}"/>
    <cellStyle name="40% - Accent4 2 2 3 4 2" xfId="12213" xr:uid="{00000000-0005-0000-0000-00005A3C0000}"/>
    <cellStyle name="40% - Accent4 2 2 3 4 2 2" xfId="25925" xr:uid="{00000000-0005-0000-0000-00005B3C0000}"/>
    <cellStyle name="40% - Accent4 2 2 3 4 3" xfId="21232" xr:uid="{00000000-0005-0000-0000-00005C3C0000}"/>
    <cellStyle name="40% - Accent4 2 2 3 5" xfId="3908" xr:uid="{00000000-0005-0000-0000-00005D3C0000}"/>
    <cellStyle name="40% - Accent4 2 2 3 5 2" xfId="12883" xr:uid="{00000000-0005-0000-0000-00005E3C0000}"/>
    <cellStyle name="40% - Accent4 2 2 3 5 2 2" xfId="26595" xr:uid="{00000000-0005-0000-0000-00005F3C0000}"/>
    <cellStyle name="40% - Accent4 2 2 3 5 3" xfId="21233" xr:uid="{00000000-0005-0000-0000-0000603C0000}"/>
    <cellStyle name="40% - Accent4 2 2 3 6" xfId="3909" xr:uid="{00000000-0005-0000-0000-0000613C0000}"/>
    <cellStyle name="40% - Accent4 2 2 3 6 2" xfId="13777" xr:uid="{00000000-0005-0000-0000-0000623C0000}"/>
    <cellStyle name="40% - Accent4 2 2 3 6 2 2" xfId="27326" xr:uid="{00000000-0005-0000-0000-0000633C0000}"/>
    <cellStyle name="40% - Accent4 2 2 3 6 3" xfId="21234" xr:uid="{00000000-0005-0000-0000-0000643C0000}"/>
    <cellStyle name="40% - Accent4 2 2 3 7" xfId="3910" xr:uid="{00000000-0005-0000-0000-0000653C0000}"/>
    <cellStyle name="40% - Accent4 2 2 3 7 2" xfId="14358" xr:uid="{00000000-0005-0000-0000-0000663C0000}"/>
    <cellStyle name="40% - Accent4 2 2 3 7 2 2" xfId="27907" xr:uid="{00000000-0005-0000-0000-0000673C0000}"/>
    <cellStyle name="40% - Accent4 2 2 3 7 3" xfId="21235" xr:uid="{00000000-0005-0000-0000-0000683C0000}"/>
    <cellStyle name="40% - Accent4 2 2 3 8" xfId="3911" xr:uid="{00000000-0005-0000-0000-0000693C0000}"/>
    <cellStyle name="40% - Accent4 2 2 3 8 2" xfId="15293" xr:uid="{00000000-0005-0000-0000-00006A3C0000}"/>
    <cellStyle name="40% - Accent4 2 2 3 8 2 2" xfId="28842" xr:uid="{00000000-0005-0000-0000-00006B3C0000}"/>
    <cellStyle name="40% - Accent4 2 2 3 8 3" xfId="21236" xr:uid="{00000000-0005-0000-0000-00006C3C0000}"/>
    <cellStyle name="40% - Accent4 2 2 3 9" xfId="3912" xr:uid="{00000000-0005-0000-0000-00006D3C0000}"/>
    <cellStyle name="40% - Accent4 2 2 3 9 2" xfId="16244" xr:uid="{00000000-0005-0000-0000-00006E3C0000}"/>
    <cellStyle name="40% - Accent4 2 2 3 9 2 2" xfId="29651" xr:uid="{00000000-0005-0000-0000-00006F3C0000}"/>
    <cellStyle name="40% - Accent4 2 2 3 9 3" xfId="21237" xr:uid="{00000000-0005-0000-0000-0000703C0000}"/>
    <cellStyle name="40% - Accent4 2 2 4" xfId="3913" xr:uid="{00000000-0005-0000-0000-0000713C0000}"/>
    <cellStyle name="40% - Accent4 2 2 4 2" xfId="3914" xr:uid="{00000000-0005-0000-0000-0000723C0000}"/>
    <cellStyle name="40% - Accent4 2 2 4 2 2" xfId="11110" xr:uid="{00000000-0005-0000-0000-0000733C0000}"/>
    <cellStyle name="40% - Accent4 2 2 4 2 2 2" xfId="25052" xr:uid="{00000000-0005-0000-0000-0000743C0000}"/>
    <cellStyle name="40% - Accent4 2 2 4 2 3" xfId="21239" xr:uid="{00000000-0005-0000-0000-0000753C0000}"/>
    <cellStyle name="40% - Accent4 2 2 4 3" xfId="3915" xr:uid="{00000000-0005-0000-0000-0000763C0000}"/>
    <cellStyle name="40% - Accent4 2 2 4 3 2" xfId="12885" xr:uid="{00000000-0005-0000-0000-0000773C0000}"/>
    <cellStyle name="40% - Accent4 2 2 4 3 2 2" xfId="26597" xr:uid="{00000000-0005-0000-0000-0000783C0000}"/>
    <cellStyle name="40% - Accent4 2 2 4 3 3" xfId="21240" xr:uid="{00000000-0005-0000-0000-0000793C0000}"/>
    <cellStyle name="40% - Accent4 2 2 4 4" xfId="3916" xr:uid="{00000000-0005-0000-0000-00007A3C0000}"/>
    <cellStyle name="40% - Accent4 2 2 4 4 2" xfId="15296" xr:uid="{00000000-0005-0000-0000-00007B3C0000}"/>
    <cellStyle name="40% - Accent4 2 2 4 4 2 2" xfId="28845" xr:uid="{00000000-0005-0000-0000-00007C3C0000}"/>
    <cellStyle name="40% - Accent4 2 2 4 4 3" xfId="21241" xr:uid="{00000000-0005-0000-0000-00007D3C0000}"/>
    <cellStyle name="40% - Accent4 2 2 4 5" xfId="3917" xr:uid="{00000000-0005-0000-0000-00007E3C0000}"/>
    <cellStyle name="40% - Accent4 2 2 4 5 2" xfId="17172" xr:uid="{00000000-0005-0000-0000-00007F3C0000}"/>
    <cellStyle name="40% - Accent4 2 2 4 5 2 2" xfId="30531" xr:uid="{00000000-0005-0000-0000-0000803C0000}"/>
    <cellStyle name="40% - Accent4 2 2 4 5 3" xfId="21242" xr:uid="{00000000-0005-0000-0000-0000813C0000}"/>
    <cellStyle name="40% - Accent4 2 2 4 6" xfId="9383" xr:uid="{00000000-0005-0000-0000-0000823C0000}"/>
    <cellStyle name="40% - Accent4 2 2 4 6 2" xfId="23858" xr:uid="{00000000-0005-0000-0000-0000833C0000}"/>
    <cellStyle name="40% - Accent4 2 2 4 7" xfId="21238" xr:uid="{00000000-0005-0000-0000-0000843C0000}"/>
    <cellStyle name="40% - Accent4 2 2 5" xfId="3918" xr:uid="{00000000-0005-0000-0000-0000853C0000}"/>
    <cellStyle name="40% - Accent4 2 2 5 2" xfId="3919" xr:uid="{00000000-0005-0000-0000-0000863C0000}"/>
    <cellStyle name="40% - Accent4 2 2 5 2 2" xfId="15297" xr:uid="{00000000-0005-0000-0000-0000873C0000}"/>
    <cellStyle name="40% - Accent4 2 2 5 2 2 2" xfId="28846" xr:uid="{00000000-0005-0000-0000-0000883C0000}"/>
    <cellStyle name="40% - Accent4 2 2 5 2 3" xfId="21244" xr:uid="{00000000-0005-0000-0000-0000893C0000}"/>
    <cellStyle name="40% - Accent4 2 2 5 3" xfId="3920" xr:uid="{00000000-0005-0000-0000-00008A3C0000}"/>
    <cellStyle name="40% - Accent4 2 2 5 3 2" xfId="17261" xr:uid="{00000000-0005-0000-0000-00008B3C0000}"/>
    <cellStyle name="40% - Accent4 2 2 5 3 2 2" xfId="30620" xr:uid="{00000000-0005-0000-0000-00008C3C0000}"/>
    <cellStyle name="40% - Accent4 2 2 5 3 3" xfId="21245" xr:uid="{00000000-0005-0000-0000-00008D3C0000}"/>
    <cellStyle name="40% - Accent4 2 2 5 4" xfId="11103" xr:uid="{00000000-0005-0000-0000-00008E3C0000}"/>
    <cellStyle name="40% - Accent4 2 2 5 4 2" xfId="25045" xr:uid="{00000000-0005-0000-0000-00008F3C0000}"/>
    <cellStyle name="40% - Accent4 2 2 5 5" xfId="21243" xr:uid="{00000000-0005-0000-0000-0000903C0000}"/>
    <cellStyle name="40% - Accent4 2 2 6" xfId="3921" xr:uid="{00000000-0005-0000-0000-0000913C0000}"/>
    <cellStyle name="40% - Accent4 2 2 6 2" xfId="3922" xr:uid="{00000000-0005-0000-0000-0000923C0000}"/>
    <cellStyle name="40% - Accent4 2 2 6 2 2" xfId="16536" xr:uid="{00000000-0005-0000-0000-0000933C0000}"/>
    <cellStyle name="40% - Accent4 2 2 6 2 2 2" xfId="29943" xr:uid="{00000000-0005-0000-0000-0000943C0000}"/>
    <cellStyle name="40% - Accent4 2 2 6 2 3" xfId="21247" xr:uid="{00000000-0005-0000-0000-0000953C0000}"/>
    <cellStyle name="40% - Accent4 2 2 6 3" xfId="11911" xr:uid="{00000000-0005-0000-0000-0000963C0000}"/>
    <cellStyle name="40% - Accent4 2 2 6 3 2" xfId="25626" xr:uid="{00000000-0005-0000-0000-0000973C0000}"/>
    <cellStyle name="40% - Accent4 2 2 6 4" xfId="21246" xr:uid="{00000000-0005-0000-0000-0000983C0000}"/>
    <cellStyle name="40% - Accent4 2 2 7" xfId="3923" xr:uid="{00000000-0005-0000-0000-0000993C0000}"/>
    <cellStyle name="40% - Accent4 2 2 7 2" xfId="12878" xr:uid="{00000000-0005-0000-0000-00009A3C0000}"/>
    <cellStyle name="40% - Accent4 2 2 7 2 2" xfId="26590" xr:uid="{00000000-0005-0000-0000-00009B3C0000}"/>
    <cellStyle name="40% - Accent4 2 2 7 3" xfId="21248" xr:uid="{00000000-0005-0000-0000-00009C3C0000}"/>
    <cellStyle name="40% - Accent4 2 2 8" xfId="3924" xr:uid="{00000000-0005-0000-0000-00009D3C0000}"/>
    <cellStyle name="40% - Accent4 2 2 8 2" xfId="13488" xr:uid="{00000000-0005-0000-0000-00009E3C0000}"/>
    <cellStyle name="40% - Accent4 2 2 8 2 2" xfId="27037" xr:uid="{00000000-0005-0000-0000-00009F3C0000}"/>
    <cellStyle name="40% - Accent4 2 2 8 3" xfId="21249" xr:uid="{00000000-0005-0000-0000-0000A03C0000}"/>
    <cellStyle name="40% - Accent4 2 2 9" xfId="3925" xr:uid="{00000000-0005-0000-0000-0000A13C0000}"/>
    <cellStyle name="40% - Accent4 2 2 9 2" xfId="14069" xr:uid="{00000000-0005-0000-0000-0000A23C0000}"/>
    <cellStyle name="40% - Accent4 2 2 9 2 2" xfId="27618" xr:uid="{00000000-0005-0000-0000-0000A33C0000}"/>
    <cellStyle name="40% - Accent4 2 2 9 3" xfId="21250" xr:uid="{00000000-0005-0000-0000-0000A43C0000}"/>
    <cellStyle name="40% - Accent4 2 3" xfId="3926" xr:uid="{00000000-0005-0000-0000-0000A53C0000}"/>
    <cellStyle name="40% - Accent4 2 3 10" xfId="3927" xr:uid="{00000000-0005-0000-0000-0000A63C0000}"/>
    <cellStyle name="40% - Accent4 2 3 10 2" xfId="16052" xr:uid="{00000000-0005-0000-0000-0000A73C0000}"/>
    <cellStyle name="40% - Accent4 2 3 10 2 2" xfId="29459" xr:uid="{00000000-0005-0000-0000-0000A83C0000}"/>
    <cellStyle name="40% - Accent4 2 3 10 3" xfId="21252" xr:uid="{00000000-0005-0000-0000-0000A93C0000}"/>
    <cellStyle name="40% - Accent4 2 3 11" xfId="9384" xr:uid="{00000000-0005-0000-0000-0000AA3C0000}"/>
    <cellStyle name="40% - Accent4 2 3 11 2" xfId="23859" xr:uid="{00000000-0005-0000-0000-0000AB3C0000}"/>
    <cellStyle name="40% - Accent4 2 3 12" xfId="21251" xr:uid="{00000000-0005-0000-0000-0000AC3C0000}"/>
    <cellStyle name="40% - Accent4 2 3 2" xfId="3928" xr:uid="{00000000-0005-0000-0000-0000AD3C0000}"/>
    <cellStyle name="40% - Accent4 2 3 2 10" xfId="9385" xr:uid="{00000000-0005-0000-0000-0000AE3C0000}"/>
    <cellStyle name="40% - Accent4 2 3 2 10 2" xfId="23860" xr:uid="{00000000-0005-0000-0000-0000AF3C0000}"/>
    <cellStyle name="40% - Accent4 2 3 2 11" xfId="21253" xr:uid="{00000000-0005-0000-0000-0000B03C0000}"/>
    <cellStyle name="40% - Accent4 2 3 2 2" xfId="3929" xr:uid="{00000000-0005-0000-0000-0000B13C0000}"/>
    <cellStyle name="40% - Accent4 2 3 2 2 2" xfId="3930" xr:uid="{00000000-0005-0000-0000-0000B23C0000}"/>
    <cellStyle name="40% - Accent4 2 3 2 2 2 2" xfId="11113" xr:uid="{00000000-0005-0000-0000-0000B33C0000}"/>
    <cellStyle name="40% - Accent4 2 3 2 2 2 2 2" xfId="25055" xr:uid="{00000000-0005-0000-0000-0000B43C0000}"/>
    <cellStyle name="40% - Accent4 2 3 2 2 2 3" xfId="21255" xr:uid="{00000000-0005-0000-0000-0000B53C0000}"/>
    <cellStyle name="40% - Accent4 2 3 2 2 3" xfId="3931" xr:uid="{00000000-0005-0000-0000-0000B63C0000}"/>
    <cellStyle name="40% - Accent4 2 3 2 2 3 2" xfId="12888" xr:uid="{00000000-0005-0000-0000-0000B73C0000}"/>
    <cellStyle name="40% - Accent4 2 3 2 2 3 2 2" xfId="26600" xr:uid="{00000000-0005-0000-0000-0000B83C0000}"/>
    <cellStyle name="40% - Accent4 2 3 2 2 3 3" xfId="21256" xr:uid="{00000000-0005-0000-0000-0000B93C0000}"/>
    <cellStyle name="40% - Accent4 2 3 2 2 4" xfId="3932" xr:uid="{00000000-0005-0000-0000-0000BA3C0000}"/>
    <cellStyle name="40% - Accent4 2 3 2 2 4 2" xfId="15300" xr:uid="{00000000-0005-0000-0000-0000BB3C0000}"/>
    <cellStyle name="40% - Accent4 2 3 2 2 4 2 2" xfId="28849" xr:uid="{00000000-0005-0000-0000-0000BC3C0000}"/>
    <cellStyle name="40% - Accent4 2 3 2 2 4 3" xfId="21257" xr:uid="{00000000-0005-0000-0000-0000BD3C0000}"/>
    <cellStyle name="40% - Accent4 2 3 2 2 5" xfId="3933" xr:uid="{00000000-0005-0000-0000-0000BE3C0000}"/>
    <cellStyle name="40% - Accent4 2 3 2 2 5 2" xfId="16922" xr:uid="{00000000-0005-0000-0000-0000BF3C0000}"/>
    <cellStyle name="40% - Accent4 2 3 2 2 5 2 2" xfId="30329" xr:uid="{00000000-0005-0000-0000-0000C03C0000}"/>
    <cellStyle name="40% - Accent4 2 3 2 2 5 3" xfId="21258" xr:uid="{00000000-0005-0000-0000-0000C13C0000}"/>
    <cellStyle name="40% - Accent4 2 3 2 2 6" xfId="9386" xr:uid="{00000000-0005-0000-0000-0000C23C0000}"/>
    <cellStyle name="40% - Accent4 2 3 2 2 6 2" xfId="23861" xr:uid="{00000000-0005-0000-0000-0000C33C0000}"/>
    <cellStyle name="40% - Accent4 2 3 2 2 7" xfId="21254" xr:uid="{00000000-0005-0000-0000-0000C43C0000}"/>
    <cellStyle name="40% - Accent4 2 3 2 3" xfId="3934" xr:uid="{00000000-0005-0000-0000-0000C53C0000}"/>
    <cellStyle name="40% - Accent4 2 3 2 3 2" xfId="3935" xr:uid="{00000000-0005-0000-0000-0000C63C0000}"/>
    <cellStyle name="40% - Accent4 2 3 2 3 2 2" xfId="15301" xr:uid="{00000000-0005-0000-0000-0000C73C0000}"/>
    <cellStyle name="40% - Accent4 2 3 2 3 2 2 2" xfId="28850" xr:uid="{00000000-0005-0000-0000-0000C83C0000}"/>
    <cellStyle name="40% - Accent4 2 3 2 3 2 3" xfId="21260" xr:uid="{00000000-0005-0000-0000-0000C93C0000}"/>
    <cellStyle name="40% - Accent4 2 3 2 3 3" xfId="11112" xr:uid="{00000000-0005-0000-0000-0000CA3C0000}"/>
    <cellStyle name="40% - Accent4 2 3 2 3 3 2" xfId="25054" xr:uid="{00000000-0005-0000-0000-0000CB3C0000}"/>
    <cellStyle name="40% - Accent4 2 3 2 3 4" xfId="21259" xr:uid="{00000000-0005-0000-0000-0000CC3C0000}"/>
    <cellStyle name="40% - Accent4 2 3 2 4" xfId="3936" xr:uid="{00000000-0005-0000-0000-0000CD3C0000}"/>
    <cellStyle name="40% - Accent4 2 3 2 4 2" xfId="12310" xr:uid="{00000000-0005-0000-0000-0000CE3C0000}"/>
    <cellStyle name="40% - Accent4 2 3 2 4 2 2" xfId="26022" xr:uid="{00000000-0005-0000-0000-0000CF3C0000}"/>
    <cellStyle name="40% - Accent4 2 3 2 4 3" xfId="21261" xr:uid="{00000000-0005-0000-0000-0000D03C0000}"/>
    <cellStyle name="40% - Accent4 2 3 2 5" xfId="3937" xr:uid="{00000000-0005-0000-0000-0000D13C0000}"/>
    <cellStyle name="40% - Accent4 2 3 2 5 2" xfId="12887" xr:uid="{00000000-0005-0000-0000-0000D23C0000}"/>
    <cellStyle name="40% - Accent4 2 3 2 5 2 2" xfId="26599" xr:uid="{00000000-0005-0000-0000-0000D33C0000}"/>
    <cellStyle name="40% - Accent4 2 3 2 5 3" xfId="21262" xr:uid="{00000000-0005-0000-0000-0000D43C0000}"/>
    <cellStyle name="40% - Accent4 2 3 2 6" xfId="3938" xr:uid="{00000000-0005-0000-0000-0000D53C0000}"/>
    <cellStyle name="40% - Accent4 2 3 2 6 2" xfId="13874" xr:uid="{00000000-0005-0000-0000-0000D63C0000}"/>
    <cellStyle name="40% - Accent4 2 3 2 6 2 2" xfId="27423" xr:uid="{00000000-0005-0000-0000-0000D73C0000}"/>
    <cellStyle name="40% - Accent4 2 3 2 6 3" xfId="21263" xr:uid="{00000000-0005-0000-0000-0000D83C0000}"/>
    <cellStyle name="40% - Accent4 2 3 2 7" xfId="3939" xr:uid="{00000000-0005-0000-0000-0000D93C0000}"/>
    <cellStyle name="40% - Accent4 2 3 2 7 2" xfId="14455" xr:uid="{00000000-0005-0000-0000-0000DA3C0000}"/>
    <cellStyle name="40% - Accent4 2 3 2 7 2 2" xfId="28004" xr:uid="{00000000-0005-0000-0000-0000DB3C0000}"/>
    <cellStyle name="40% - Accent4 2 3 2 7 3" xfId="21264" xr:uid="{00000000-0005-0000-0000-0000DC3C0000}"/>
    <cellStyle name="40% - Accent4 2 3 2 8" xfId="3940" xr:uid="{00000000-0005-0000-0000-0000DD3C0000}"/>
    <cellStyle name="40% - Accent4 2 3 2 8 2" xfId="15299" xr:uid="{00000000-0005-0000-0000-0000DE3C0000}"/>
    <cellStyle name="40% - Accent4 2 3 2 8 2 2" xfId="28848" xr:uid="{00000000-0005-0000-0000-0000DF3C0000}"/>
    <cellStyle name="40% - Accent4 2 3 2 8 3" xfId="21265" xr:uid="{00000000-0005-0000-0000-0000E03C0000}"/>
    <cellStyle name="40% - Accent4 2 3 2 9" xfId="3941" xr:uid="{00000000-0005-0000-0000-0000E13C0000}"/>
    <cellStyle name="40% - Accent4 2 3 2 9 2" xfId="16341" xr:uid="{00000000-0005-0000-0000-0000E23C0000}"/>
    <cellStyle name="40% - Accent4 2 3 2 9 2 2" xfId="29748" xr:uid="{00000000-0005-0000-0000-0000E33C0000}"/>
    <cellStyle name="40% - Accent4 2 3 2 9 3" xfId="21266" xr:uid="{00000000-0005-0000-0000-0000E43C0000}"/>
    <cellStyle name="40% - Accent4 2 3 3" xfId="3942" xr:uid="{00000000-0005-0000-0000-0000E53C0000}"/>
    <cellStyle name="40% - Accent4 2 3 3 2" xfId="3943" xr:uid="{00000000-0005-0000-0000-0000E63C0000}"/>
    <cellStyle name="40% - Accent4 2 3 3 2 2" xfId="11114" xr:uid="{00000000-0005-0000-0000-0000E73C0000}"/>
    <cellStyle name="40% - Accent4 2 3 3 2 2 2" xfId="25056" xr:uid="{00000000-0005-0000-0000-0000E83C0000}"/>
    <cellStyle name="40% - Accent4 2 3 3 2 3" xfId="21268" xr:uid="{00000000-0005-0000-0000-0000E93C0000}"/>
    <cellStyle name="40% - Accent4 2 3 3 3" xfId="3944" xr:uid="{00000000-0005-0000-0000-0000EA3C0000}"/>
    <cellStyle name="40% - Accent4 2 3 3 3 2" xfId="12889" xr:uid="{00000000-0005-0000-0000-0000EB3C0000}"/>
    <cellStyle name="40% - Accent4 2 3 3 3 2 2" xfId="26601" xr:uid="{00000000-0005-0000-0000-0000EC3C0000}"/>
    <cellStyle name="40% - Accent4 2 3 3 3 3" xfId="21269" xr:uid="{00000000-0005-0000-0000-0000ED3C0000}"/>
    <cellStyle name="40% - Accent4 2 3 3 4" xfId="3945" xr:uid="{00000000-0005-0000-0000-0000EE3C0000}"/>
    <cellStyle name="40% - Accent4 2 3 3 4 2" xfId="15302" xr:uid="{00000000-0005-0000-0000-0000EF3C0000}"/>
    <cellStyle name="40% - Accent4 2 3 3 4 2 2" xfId="28851" xr:uid="{00000000-0005-0000-0000-0000F03C0000}"/>
    <cellStyle name="40% - Accent4 2 3 3 4 3" xfId="21270" xr:uid="{00000000-0005-0000-0000-0000F13C0000}"/>
    <cellStyle name="40% - Accent4 2 3 3 5" xfId="3946" xr:uid="{00000000-0005-0000-0000-0000F23C0000}"/>
    <cellStyle name="40% - Accent4 2 3 3 5 2" xfId="16633" xr:uid="{00000000-0005-0000-0000-0000F33C0000}"/>
    <cellStyle name="40% - Accent4 2 3 3 5 2 2" xfId="30040" xr:uid="{00000000-0005-0000-0000-0000F43C0000}"/>
    <cellStyle name="40% - Accent4 2 3 3 5 3" xfId="21271" xr:uid="{00000000-0005-0000-0000-0000F53C0000}"/>
    <cellStyle name="40% - Accent4 2 3 3 6" xfId="9387" xr:uid="{00000000-0005-0000-0000-0000F63C0000}"/>
    <cellStyle name="40% - Accent4 2 3 3 6 2" xfId="23862" xr:uid="{00000000-0005-0000-0000-0000F73C0000}"/>
    <cellStyle name="40% - Accent4 2 3 3 7" xfId="21267" xr:uid="{00000000-0005-0000-0000-0000F83C0000}"/>
    <cellStyle name="40% - Accent4 2 3 4" xfId="3947" xr:uid="{00000000-0005-0000-0000-0000F93C0000}"/>
    <cellStyle name="40% - Accent4 2 3 4 2" xfId="3948" xr:uid="{00000000-0005-0000-0000-0000FA3C0000}"/>
    <cellStyle name="40% - Accent4 2 3 4 2 2" xfId="15303" xr:uid="{00000000-0005-0000-0000-0000FB3C0000}"/>
    <cellStyle name="40% - Accent4 2 3 4 2 2 2" xfId="28852" xr:uid="{00000000-0005-0000-0000-0000FC3C0000}"/>
    <cellStyle name="40% - Accent4 2 3 4 2 3" xfId="21273" xr:uid="{00000000-0005-0000-0000-0000FD3C0000}"/>
    <cellStyle name="40% - Accent4 2 3 4 3" xfId="11111" xr:uid="{00000000-0005-0000-0000-0000FE3C0000}"/>
    <cellStyle name="40% - Accent4 2 3 4 3 2" xfId="25053" xr:uid="{00000000-0005-0000-0000-0000FF3C0000}"/>
    <cellStyle name="40% - Accent4 2 3 4 4" xfId="21272" xr:uid="{00000000-0005-0000-0000-0000003D0000}"/>
    <cellStyle name="40% - Accent4 2 3 5" xfId="3949" xr:uid="{00000000-0005-0000-0000-0000013D0000}"/>
    <cellStyle name="40% - Accent4 2 3 5 2" xfId="12010" xr:uid="{00000000-0005-0000-0000-0000023D0000}"/>
    <cellStyle name="40% - Accent4 2 3 5 2 2" xfId="25725" xr:uid="{00000000-0005-0000-0000-0000033D0000}"/>
    <cellStyle name="40% - Accent4 2 3 5 3" xfId="21274" xr:uid="{00000000-0005-0000-0000-0000043D0000}"/>
    <cellStyle name="40% - Accent4 2 3 6" xfId="3950" xr:uid="{00000000-0005-0000-0000-0000053D0000}"/>
    <cellStyle name="40% - Accent4 2 3 6 2" xfId="12886" xr:uid="{00000000-0005-0000-0000-0000063D0000}"/>
    <cellStyle name="40% - Accent4 2 3 6 2 2" xfId="26598" xr:uid="{00000000-0005-0000-0000-0000073D0000}"/>
    <cellStyle name="40% - Accent4 2 3 6 3" xfId="21275" xr:uid="{00000000-0005-0000-0000-0000083D0000}"/>
    <cellStyle name="40% - Accent4 2 3 7" xfId="3951" xr:uid="{00000000-0005-0000-0000-0000093D0000}"/>
    <cellStyle name="40% - Accent4 2 3 7 2" xfId="13585" xr:uid="{00000000-0005-0000-0000-00000A3D0000}"/>
    <cellStyle name="40% - Accent4 2 3 7 2 2" xfId="27134" xr:uid="{00000000-0005-0000-0000-00000B3D0000}"/>
    <cellStyle name="40% - Accent4 2 3 7 3" xfId="21276" xr:uid="{00000000-0005-0000-0000-00000C3D0000}"/>
    <cellStyle name="40% - Accent4 2 3 8" xfId="3952" xr:uid="{00000000-0005-0000-0000-00000D3D0000}"/>
    <cellStyle name="40% - Accent4 2 3 8 2" xfId="14166" xr:uid="{00000000-0005-0000-0000-00000E3D0000}"/>
    <cellStyle name="40% - Accent4 2 3 8 2 2" xfId="27715" xr:uid="{00000000-0005-0000-0000-00000F3D0000}"/>
    <cellStyle name="40% - Accent4 2 3 8 3" xfId="21277" xr:uid="{00000000-0005-0000-0000-0000103D0000}"/>
    <cellStyle name="40% - Accent4 2 3 9" xfId="3953" xr:uid="{00000000-0005-0000-0000-0000113D0000}"/>
    <cellStyle name="40% - Accent4 2 3 9 2" xfId="15298" xr:uid="{00000000-0005-0000-0000-0000123D0000}"/>
    <cellStyle name="40% - Accent4 2 3 9 2 2" xfId="28847" xr:uid="{00000000-0005-0000-0000-0000133D0000}"/>
    <cellStyle name="40% - Accent4 2 3 9 3" xfId="21278" xr:uid="{00000000-0005-0000-0000-0000143D0000}"/>
    <cellStyle name="40% - Accent4 2 4" xfId="3954" xr:uid="{00000000-0005-0000-0000-0000153D0000}"/>
    <cellStyle name="40% - Accent4 2 4 10" xfId="9388" xr:uid="{00000000-0005-0000-0000-0000163D0000}"/>
    <cellStyle name="40% - Accent4 2 4 10 2" xfId="23863" xr:uid="{00000000-0005-0000-0000-0000173D0000}"/>
    <cellStyle name="40% - Accent4 2 4 11" xfId="21279" xr:uid="{00000000-0005-0000-0000-0000183D0000}"/>
    <cellStyle name="40% - Accent4 2 4 2" xfId="3955" xr:uid="{00000000-0005-0000-0000-0000193D0000}"/>
    <cellStyle name="40% - Accent4 2 4 2 2" xfId="3956" xr:uid="{00000000-0005-0000-0000-00001A3D0000}"/>
    <cellStyle name="40% - Accent4 2 4 2 2 2" xfId="11116" xr:uid="{00000000-0005-0000-0000-00001B3D0000}"/>
    <cellStyle name="40% - Accent4 2 4 2 2 2 2" xfId="25058" xr:uid="{00000000-0005-0000-0000-00001C3D0000}"/>
    <cellStyle name="40% - Accent4 2 4 2 2 3" xfId="21281" xr:uid="{00000000-0005-0000-0000-00001D3D0000}"/>
    <cellStyle name="40% - Accent4 2 4 2 3" xfId="3957" xr:uid="{00000000-0005-0000-0000-00001E3D0000}"/>
    <cellStyle name="40% - Accent4 2 4 2 3 2" xfId="12891" xr:uid="{00000000-0005-0000-0000-00001F3D0000}"/>
    <cellStyle name="40% - Accent4 2 4 2 3 2 2" xfId="26603" xr:uid="{00000000-0005-0000-0000-0000203D0000}"/>
    <cellStyle name="40% - Accent4 2 4 2 3 3" xfId="21282" xr:uid="{00000000-0005-0000-0000-0000213D0000}"/>
    <cellStyle name="40% - Accent4 2 4 2 4" xfId="3958" xr:uid="{00000000-0005-0000-0000-0000223D0000}"/>
    <cellStyle name="40% - Accent4 2 4 2 4 2" xfId="15305" xr:uid="{00000000-0005-0000-0000-0000233D0000}"/>
    <cellStyle name="40% - Accent4 2 4 2 4 2 2" xfId="28854" xr:uid="{00000000-0005-0000-0000-0000243D0000}"/>
    <cellStyle name="40% - Accent4 2 4 2 4 3" xfId="21283" xr:uid="{00000000-0005-0000-0000-0000253D0000}"/>
    <cellStyle name="40% - Accent4 2 4 2 5" xfId="3959" xr:uid="{00000000-0005-0000-0000-0000263D0000}"/>
    <cellStyle name="40% - Accent4 2 4 2 5 2" xfId="16779" xr:uid="{00000000-0005-0000-0000-0000273D0000}"/>
    <cellStyle name="40% - Accent4 2 4 2 5 2 2" xfId="30186" xr:uid="{00000000-0005-0000-0000-0000283D0000}"/>
    <cellStyle name="40% - Accent4 2 4 2 5 3" xfId="21284" xr:uid="{00000000-0005-0000-0000-0000293D0000}"/>
    <cellStyle name="40% - Accent4 2 4 2 6" xfId="9389" xr:uid="{00000000-0005-0000-0000-00002A3D0000}"/>
    <cellStyle name="40% - Accent4 2 4 2 6 2" xfId="23864" xr:uid="{00000000-0005-0000-0000-00002B3D0000}"/>
    <cellStyle name="40% - Accent4 2 4 2 7" xfId="21280" xr:uid="{00000000-0005-0000-0000-00002C3D0000}"/>
    <cellStyle name="40% - Accent4 2 4 3" xfId="3960" xr:uid="{00000000-0005-0000-0000-00002D3D0000}"/>
    <cellStyle name="40% - Accent4 2 4 3 2" xfId="3961" xr:uid="{00000000-0005-0000-0000-00002E3D0000}"/>
    <cellStyle name="40% - Accent4 2 4 3 2 2" xfId="15306" xr:uid="{00000000-0005-0000-0000-00002F3D0000}"/>
    <cellStyle name="40% - Accent4 2 4 3 2 2 2" xfId="28855" xr:uid="{00000000-0005-0000-0000-0000303D0000}"/>
    <cellStyle name="40% - Accent4 2 4 3 2 3" xfId="21286" xr:uid="{00000000-0005-0000-0000-0000313D0000}"/>
    <cellStyle name="40% - Accent4 2 4 3 3" xfId="11115" xr:uid="{00000000-0005-0000-0000-0000323D0000}"/>
    <cellStyle name="40% - Accent4 2 4 3 3 2" xfId="25057" xr:uid="{00000000-0005-0000-0000-0000333D0000}"/>
    <cellStyle name="40% - Accent4 2 4 3 4" xfId="21285" xr:uid="{00000000-0005-0000-0000-0000343D0000}"/>
    <cellStyle name="40% - Accent4 2 4 4" xfId="3962" xr:uid="{00000000-0005-0000-0000-0000353D0000}"/>
    <cellStyle name="40% - Accent4 2 4 4 2" xfId="12167" xr:uid="{00000000-0005-0000-0000-0000363D0000}"/>
    <cellStyle name="40% - Accent4 2 4 4 2 2" xfId="25879" xr:uid="{00000000-0005-0000-0000-0000373D0000}"/>
    <cellStyle name="40% - Accent4 2 4 4 3" xfId="21287" xr:uid="{00000000-0005-0000-0000-0000383D0000}"/>
    <cellStyle name="40% - Accent4 2 4 5" xfId="3963" xr:uid="{00000000-0005-0000-0000-0000393D0000}"/>
    <cellStyle name="40% - Accent4 2 4 5 2" xfId="12890" xr:uid="{00000000-0005-0000-0000-00003A3D0000}"/>
    <cellStyle name="40% - Accent4 2 4 5 2 2" xfId="26602" xr:uid="{00000000-0005-0000-0000-00003B3D0000}"/>
    <cellStyle name="40% - Accent4 2 4 5 3" xfId="21288" xr:uid="{00000000-0005-0000-0000-00003C3D0000}"/>
    <cellStyle name="40% - Accent4 2 4 6" xfId="3964" xr:uid="{00000000-0005-0000-0000-00003D3D0000}"/>
    <cellStyle name="40% - Accent4 2 4 6 2" xfId="13731" xr:uid="{00000000-0005-0000-0000-00003E3D0000}"/>
    <cellStyle name="40% - Accent4 2 4 6 2 2" xfId="27280" xr:uid="{00000000-0005-0000-0000-00003F3D0000}"/>
    <cellStyle name="40% - Accent4 2 4 6 3" xfId="21289" xr:uid="{00000000-0005-0000-0000-0000403D0000}"/>
    <cellStyle name="40% - Accent4 2 4 7" xfId="3965" xr:uid="{00000000-0005-0000-0000-0000413D0000}"/>
    <cellStyle name="40% - Accent4 2 4 7 2" xfId="14312" xr:uid="{00000000-0005-0000-0000-0000423D0000}"/>
    <cellStyle name="40% - Accent4 2 4 7 2 2" xfId="27861" xr:uid="{00000000-0005-0000-0000-0000433D0000}"/>
    <cellStyle name="40% - Accent4 2 4 7 3" xfId="21290" xr:uid="{00000000-0005-0000-0000-0000443D0000}"/>
    <cellStyle name="40% - Accent4 2 4 8" xfId="3966" xr:uid="{00000000-0005-0000-0000-0000453D0000}"/>
    <cellStyle name="40% - Accent4 2 4 8 2" xfId="15304" xr:uid="{00000000-0005-0000-0000-0000463D0000}"/>
    <cellStyle name="40% - Accent4 2 4 8 2 2" xfId="28853" xr:uid="{00000000-0005-0000-0000-0000473D0000}"/>
    <cellStyle name="40% - Accent4 2 4 8 3" xfId="21291" xr:uid="{00000000-0005-0000-0000-0000483D0000}"/>
    <cellStyle name="40% - Accent4 2 4 9" xfId="3967" xr:uid="{00000000-0005-0000-0000-0000493D0000}"/>
    <cellStyle name="40% - Accent4 2 4 9 2" xfId="16198" xr:uid="{00000000-0005-0000-0000-00004A3D0000}"/>
    <cellStyle name="40% - Accent4 2 4 9 2 2" xfId="29605" xr:uid="{00000000-0005-0000-0000-00004B3D0000}"/>
    <cellStyle name="40% - Accent4 2 4 9 3" xfId="21292" xr:uid="{00000000-0005-0000-0000-00004C3D0000}"/>
    <cellStyle name="40% - Accent4 2 5" xfId="3968" xr:uid="{00000000-0005-0000-0000-00004D3D0000}"/>
    <cellStyle name="40% - Accent4 2 5 2" xfId="3969" xr:uid="{00000000-0005-0000-0000-00004E3D0000}"/>
    <cellStyle name="40% - Accent4 2 5 2 2" xfId="3970" xr:uid="{00000000-0005-0000-0000-00004F3D0000}"/>
    <cellStyle name="40% - Accent4 2 5 2 2 2" xfId="11118" xr:uid="{00000000-0005-0000-0000-0000503D0000}"/>
    <cellStyle name="40% - Accent4 2 5 2 2 2 2" xfId="25060" xr:uid="{00000000-0005-0000-0000-0000513D0000}"/>
    <cellStyle name="40% - Accent4 2 5 2 2 3" xfId="21295" xr:uid="{00000000-0005-0000-0000-0000523D0000}"/>
    <cellStyle name="40% - Accent4 2 5 2 3" xfId="3971" xr:uid="{00000000-0005-0000-0000-0000533D0000}"/>
    <cellStyle name="40% - Accent4 2 5 2 3 2" xfId="12893" xr:uid="{00000000-0005-0000-0000-0000543D0000}"/>
    <cellStyle name="40% - Accent4 2 5 2 3 2 2" xfId="26605" xr:uid="{00000000-0005-0000-0000-0000553D0000}"/>
    <cellStyle name="40% - Accent4 2 5 2 3 3" xfId="21296" xr:uid="{00000000-0005-0000-0000-0000563D0000}"/>
    <cellStyle name="40% - Accent4 2 5 2 4" xfId="3972" xr:uid="{00000000-0005-0000-0000-0000573D0000}"/>
    <cellStyle name="40% - Accent4 2 5 2 4 2" xfId="15308" xr:uid="{00000000-0005-0000-0000-0000583D0000}"/>
    <cellStyle name="40% - Accent4 2 5 2 4 2 2" xfId="28857" xr:uid="{00000000-0005-0000-0000-0000593D0000}"/>
    <cellStyle name="40% - Accent4 2 5 2 4 3" xfId="21297" xr:uid="{00000000-0005-0000-0000-00005A3D0000}"/>
    <cellStyle name="40% - Accent4 2 5 2 5" xfId="9391" xr:uid="{00000000-0005-0000-0000-00005B3D0000}"/>
    <cellStyle name="40% - Accent4 2 5 2 5 2" xfId="23866" xr:uid="{00000000-0005-0000-0000-00005C3D0000}"/>
    <cellStyle name="40% - Accent4 2 5 2 6" xfId="21294" xr:uid="{00000000-0005-0000-0000-00005D3D0000}"/>
    <cellStyle name="40% - Accent4 2 5 3" xfId="3973" xr:uid="{00000000-0005-0000-0000-00005E3D0000}"/>
    <cellStyle name="40% - Accent4 2 5 3 2" xfId="11117" xr:uid="{00000000-0005-0000-0000-00005F3D0000}"/>
    <cellStyle name="40% - Accent4 2 5 3 2 2" xfId="25059" xr:uid="{00000000-0005-0000-0000-0000603D0000}"/>
    <cellStyle name="40% - Accent4 2 5 3 3" xfId="21298" xr:uid="{00000000-0005-0000-0000-0000613D0000}"/>
    <cellStyle name="40% - Accent4 2 5 4" xfId="3974" xr:uid="{00000000-0005-0000-0000-0000623D0000}"/>
    <cellStyle name="40% - Accent4 2 5 4 2" xfId="12892" xr:uid="{00000000-0005-0000-0000-0000633D0000}"/>
    <cellStyle name="40% - Accent4 2 5 4 2 2" xfId="26604" xr:uid="{00000000-0005-0000-0000-0000643D0000}"/>
    <cellStyle name="40% - Accent4 2 5 4 3" xfId="21299" xr:uid="{00000000-0005-0000-0000-0000653D0000}"/>
    <cellStyle name="40% - Accent4 2 5 5" xfId="3975" xr:uid="{00000000-0005-0000-0000-0000663D0000}"/>
    <cellStyle name="40% - Accent4 2 5 5 2" xfId="15307" xr:uid="{00000000-0005-0000-0000-0000673D0000}"/>
    <cellStyle name="40% - Accent4 2 5 5 2 2" xfId="28856" xr:uid="{00000000-0005-0000-0000-0000683D0000}"/>
    <cellStyle name="40% - Accent4 2 5 5 3" xfId="21300" xr:uid="{00000000-0005-0000-0000-0000693D0000}"/>
    <cellStyle name="40% - Accent4 2 5 6" xfId="3976" xr:uid="{00000000-0005-0000-0000-00006A3D0000}"/>
    <cellStyle name="40% - Accent4 2 5 6 2" xfId="17016" xr:uid="{00000000-0005-0000-0000-00006B3D0000}"/>
    <cellStyle name="40% - Accent4 2 5 6 2 2" xfId="30423" xr:uid="{00000000-0005-0000-0000-00006C3D0000}"/>
    <cellStyle name="40% - Accent4 2 5 6 3" xfId="21301" xr:uid="{00000000-0005-0000-0000-00006D3D0000}"/>
    <cellStyle name="40% - Accent4 2 5 7" xfId="9390" xr:uid="{00000000-0005-0000-0000-00006E3D0000}"/>
    <cellStyle name="40% - Accent4 2 5 7 2" xfId="23865" xr:uid="{00000000-0005-0000-0000-00006F3D0000}"/>
    <cellStyle name="40% - Accent4 2 5 8" xfId="21293" xr:uid="{00000000-0005-0000-0000-0000703D0000}"/>
    <cellStyle name="40% - Accent4 2 6" xfId="3977" xr:uid="{00000000-0005-0000-0000-0000713D0000}"/>
    <cellStyle name="40% - Accent4 2 6 2" xfId="3978" xr:uid="{00000000-0005-0000-0000-0000723D0000}"/>
    <cellStyle name="40% - Accent4 2 6 2 2" xfId="11119" xr:uid="{00000000-0005-0000-0000-0000733D0000}"/>
    <cellStyle name="40% - Accent4 2 6 2 2 2" xfId="25061" xr:uid="{00000000-0005-0000-0000-0000743D0000}"/>
    <cellStyle name="40% - Accent4 2 6 2 3" xfId="21303" xr:uid="{00000000-0005-0000-0000-0000753D0000}"/>
    <cellStyle name="40% - Accent4 2 6 3" xfId="3979" xr:uid="{00000000-0005-0000-0000-0000763D0000}"/>
    <cellStyle name="40% - Accent4 2 6 3 2" xfId="12894" xr:uid="{00000000-0005-0000-0000-0000773D0000}"/>
    <cellStyle name="40% - Accent4 2 6 3 2 2" xfId="26606" xr:uid="{00000000-0005-0000-0000-0000783D0000}"/>
    <cellStyle name="40% - Accent4 2 6 3 3" xfId="21304" xr:uid="{00000000-0005-0000-0000-0000793D0000}"/>
    <cellStyle name="40% - Accent4 2 6 4" xfId="3980" xr:uid="{00000000-0005-0000-0000-00007A3D0000}"/>
    <cellStyle name="40% - Accent4 2 6 4 2" xfId="15309" xr:uid="{00000000-0005-0000-0000-00007B3D0000}"/>
    <cellStyle name="40% - Accent4 2 6 4 2 2" xfId="28858" xr:uid="{00000000-0005-0000-0000-00007C3D0000}"/>
    <cellStyle name="40% - Accent4 2 6 4 3" xfId="21305" xr:uid="{00000000-0005-0000-0000-00007D3D0000}"/>
    <cellStyle name="40% - Accent4 2 6 5" xfId="3981" xr:uid="{00000000-0005-0000-0000-00007E3D0000}"/>
    <cellStyle name="40% - Accent4 2 6 5 2" xfId="17126" xr:uid="{00000000-0005-0000-0000-00007F3D0000}"/>
    <cellStyle name="40% - Accent4 2 6 5 2 2" xfId="30485" xr:uid="{00000000-0005-0000-0000-0000803D0000}"/>
    <cellStyle name="40% - Accent4 2 6 5 3" xfId="21306" xr:uid="{00000000-0005-0000-0000-0000813D0000}"/>
    <cellStyle name="40% - Accent4 2 6 6" xfId="9392" xr:uid="{00000000-0005-0000-0000-0000823D0000}"/>
    <cellStyle name="40% - Accent4 2 6 6 2" xfId="23867" xr:uid="{00000000-0005-0000-0000-0000833D0000}"/>
    <cellStyle name="40% - Accent4 2 6 7" xfId="21302" xr:uid="{00000000-0005-0000-0000-0000843D0000}"/>
    <cellStyle name="40% - Accent4 2 7" xfId="3982" xr:uid="{00000000-0005-0000-0000-0000853D0000}"/>
    <cellStyle name="40% - Accent4 2 7 2" xfId="3983" xr:uid="{00000000-0005-0000-0000-0000863D0000}"/>
    <cellStyle name="40% - Accent4 2 7 2 2" xfId="11120" xr:uid="{00000000-0005-0000-0000-0000873D0000}"/>
    <cellStyle name="40% - Accent4 2 7 2 2 2" xfId="25062" xr:uid="{00000000-0005-0000-0000-0000883D0000}"/>
    <cellStyle name="40% - Accent4 2 7 2 3" xfId="21308" xr:uid="{00000000-0005-0000-0000-0000893D0000}"/>
    <cellStyle name="40% - Accent4 2 7 3" xfId="3984" xr:uid="{00000000-0005-0000-0000-00008A3D0000}"/>
    <cellStyle name="40% - Accent4 2 7 3 2" xfId="12895" xr:uid="{00000000-0005-0000-0000-00008B3D0000}"/>
    <cellStyle name="40% - Accent4 2 7 3 2 2" xfId="26607" xr:uid="{00000000-0005-0000-0000-00008C3D0000}"/>
    <cellStyle name="40% - Accent4 2 7 3 3" xfId="21309" xr:uid="{00000000-0005-0000-0000-00008D3D0000}"/>
    <cellStyle name="40% - Accent4 2 7 4" xfId="3985" xr:uid="{00000000-0005-0000-0000-00008E3D0000}"/>
    <cellStyle name="40% - Accent4 2 7 4 2" xfId="15310" xr:uid="{00000000-0005-0000-0000-00008F3D0000}"/>
    <cellStyle name="40% - Accent4 2 7 4 2 2" xfId="28859" xr:uid="{00000000-0005-0000-0000-0000903D0000}"/>
    <cellStyle name="40% - Accent4 2 7 4 3" xfId="21310" xr:uid="{00000000-0005-0000-0000-0000913D0000}"/>
    <cellStyle name="40% - Accent4 2 7 5" xfId="3986" xr:uid="{00000000-0005-0000-0000-0000923D0000}"/>
    <cellStyle name="40% - Accent4 2 7 5 2" xfId="17215" xr:uid="{00000000-0005-0000-0000-0000933D0000}"/>
    <cellStyle name="40% - Accent4 2 7 5 2 2" xfId="30574" xr:uid="{00000000-0005-0000-0000-0000943D0000}"/>
    <cellStyle name="40% - Accent4 2 7 5 3" xfId="21311" xr:uid="{00000000-0005-0000-0000-0000953D0000}"/>
    <cellStyle name="40% - Accent4 2 7 6" xfId="9393" xr:uid="{00000000-0005-0000-0000-0000963D0000}"/>
    <cellStyle name="40% - Accent4 2 7 6 2" xfId="23868" xr:uid="{00000000-0005-0000-0000-0000973D0000}"/>
    <cellStyle name="40% - Accent4 2 7 7" xfId="21307" xr:uid="{00000000-0005-0000-0000-0000983D0000}"/>
    <cellStyle name="40% - Accent4 2 8" xfId="3987" xr:uid="{00000000-0005-0000-0000-0000993D0000}"/>
    <cellStyle name="40% - Accent4 2 8 2" xfId="3988" xr:uid="{00000000-0005-0000-0000-00009A3D0000}"/>
    <cellStyle name="40% - Accent4 2 8 2 2" xfId="12896" xr:uid="{00000000-0005-0000-0000-00009B3D0000}"/>
    <cellStyle name="40% - Accent4 2 8 2 2 2" xfId="26608" xr:uid="{00000000-0005-0000-0000-00009C3D0000}"/>
    <cellStyle name="40% - Accent4 2 8 2 3" xfId="21313" xr:uid="{00000000-0005-0000-0000-00009D3D0000}"/>
    <cellStyle name="40% - Accent4 2 8 3" xfId="3989" xr:uid="{00000000-0005-0000-0000-00009E3D0000}"/>
    <cellStyle name="40% - Accent4 2 8 3 2" xfId="15311" xr:uid="{00000000-0005-0000-0000-00009F3D0000}"/>
    <cellStyle name="40% - Accent4 2 8 3 2 2" xfId="28860" xr:uid="{00000000-0005-0000-0000-0000A03D0000}"/>
    <cellStyle name="40% - Accent4 2 8 3 3" xfId="21314" xr:uid="{00000000-0005-0000-0000-0000A13D0000}"/>
    <cellStyle name="40% - Accent4 2 8 4" xfId="3990" xr:uid="{00000000-0005-0000-0000-0000A23D0000}"/>
    <cellStyle name="40% - Accent4 2 8 4 2" xfId="16490" xr:uid="{00000000-0005-0000-0000-0000A33D0000}"/>
    <cellStyle name="40% - Accent4 2 8 4 2 2" xfId="29897" xr:uid="{00000000-0005-0000-0000-0000A43D0000}"/>
    <cellStyle name="40% - Accent4 2 8 4 3" xfId="21315" xr:uid="{00000000-0005-0000-0000-0000A53D0000}"/>
    <cellStyle name="40% - Accent4 2 8 5" xfId="10537" xr:uid="{00000000-0005-0000-0000-0000A63D0000}"/>
    <cellStyle name="40% - Accent4 2 8 5 2" xfId="24479" xr:uid="{00000000-0005-0000-0000-0000A73D0000}"/>
    <cellStyle name="40% - Accent4 2 8 6" xfId="21312" xr:uid="{00000000-0005-0000-0000-0000A83D0000}"/>
    <cellStyle name="40% - Accent4 2 9" xfId="3991" xr:uid="{00000000-0005-0000-0000-0000A93D0000}"/>
    <cellStyle name="40% - Accent4 2 9 2" xfId="3992" xr:uid="{00000000-0005-0000-0000-0000AA3D0000}"/>
    <cellStyle name="40% - Accent4 2 9 2 2" xfId="12897" xr:uid="{00000000-0005-0000-0000-0000AB3D0000}"/>
    <cellStyle name="40% - Accent4 2 9 2 2 2" xfId="26609" xr:uid="{00000000-0005-0000-0000-0000AC3D0000}"/>
    <cellStyle name="40% - Accent4 2 9 2 3" xfId="21317" xr:uid="{00000000-0005-0000-0000-0000AD3D0000}"/>
    <cellStyle name="40% - Accent4 2 9 3" xfId="3993" xr:uid="{00000000-0005-0000-0000-0000AE3D0000}"/>
    <cellStyle name="40% - Accent4 2 9 3 2" xfId="15312" xr:uid="{00000000-0005-0000-0000-0000AF3D0000}"/>
    <cellStyle name="40% - Accent4 2 9 3 2 2" xfId="28861" xr:uid="{00000000-0005-0000-0000-0000B03D0000}"/>
    <cellStyle name="40% - Accent4 2 9 3 3" xfId="21318" xr:uid="{00000000-0005-0000-0000-0000B13D0000}"/>
    <cellStyle name="40% - Accent4 2 9 4" xfId="11102" xr:uid="{00000000-0005-0000-0000-0000B23D0000}"/>
    <cellStyle name="40% - Accent4 2 9 4 2" xfId="25044" xr:uid="{00000000-0005-0000-0000-0000B33D0000}"/>
    <cellStyle name="40% - Accent4 2 9 5" xfId="21316" xr:uid="{00000000-0005-0000-0000-0000B43D0000}"/>
    <cellStyle name="40% - Accent4 20" xfId="3994" xr:uid="{00000000-0005-0000-0000-0000B53D0000}"/>
    <cellStyle name="40% - Accent4 20 2" xfId="3995" xr:uid="{00000000-0005-0000-0000-0000B63D0000}"/>
    <cellStyle name="40% - Accent4 20 2 2" xfId="12898" xr:uid="{00000000-0005-0000-0000-0000B73D0000}"/>
    <cellStyle name="40% - Accent4 20 2 2 2" xfId="26610" xr:uid="{00000000-0005-0000-0000-0000B83D0000}"/>
    <cellStyle name="40% - Accent4 20 2 3" xfId="21320" xr:uid="{00000000-0005-0000-0000-0000B93D0000}"/>
    <cellStyle name="40% - Accent4 20 3" xfId="3996" xr:uid="{00000000-0005-0000-0000-0000BA3D0000}"/>
    <cellStyle name="40% - Accent4 20 3 2" xfId="15313" xr:uid="{00000000-0005-0000-0000-0000BB3D0000}"/>
    <cellStyle name="40% - Accent4 20 3 2 2" xfId="28862" xr:uid="{00000000-0005-0000-0000-0000BC3D0000}"/>
    <cellStyle name="40% - Accent4 20 3 3" xfId="21321" xr:uid="{00000000-0005-0000-0000-0000BD3D0000}"/>
    <cellStyle name="40% - Accent4 20 4" xfId="10512" xr:uid="{00000000-0005-0000-0000-0000BE3D0000}"/>
    <cellStyle name="40% - Accent4 20 4 2" xfId="24460" xr:uid="{00000000-0005-0000-0000-0000BF3D0000}"/>
    <cellStyle name="40% - Accent4 20 5" xfId="21319" xr:uid="{00000000-0005-0000-0000-0000C03D0000}"/>
    <cellStyle name="40% - Accent4 21" xfId="3997" xr:uid="{00000000-0005-0000-0000-0000C13D0000}"/>
    <cellStyle name="40% - Accent4 21 2" xfId="3998" xr:uid="{00000000-0005-0000-0000-0000C23D0000}"/>
    <cellStyle name="40% - Accent4 21 2 2" xfId="12899" xr:uid="{00000000-0005-0000-0000-0000C33D0000}"/>
    <cellStyle name="40% - Accent4 21 2 2 2" xfId="26611" xr:uid="{00000000-0005-0000-0000-0000C43D0000}"/>
    <cellStyle name="40% - Accent4 21 2 3" xfId="21323" xr:uid="{00000000-0005-0000-0000-0000C53D0000}"/>
    <cellStyle name="40% - Accent4 21 3" xfId="3999" xr:uid="{00000000-0005-0000-0000-0000C63D0000}"/>
    <cellStyle name="40% - Accent4 21 3 2" xfId="15314" xr:uid="{00000000-0005-0000-0000-0000C73D0000}"/>
    <cellStyle name="40% - Accent4 21 3 2 2" xfId="28863" xr:uid="{00000000-0005-0000-0000-0000C83D0000}"/>
    <cellStyle name="40% - Accent4 21 3 3" xfId="21324" xr:uid="{00000000-0005-0000-0000-0000C93D0000}"/>
    <cellStyle name="40% - Accent4 21 4" xfId="11091" xr:uid="{00000000-0005-0000-0000-0000CA3D0000}"/>
    <cellStyle name="40% - Accent4 21 4 2" xfId="25033" xr:uid="{00000000-0005-0000-0000-0000CB3D0000}"/>
    <cellStyle name="40% - Accent4 21 5" xfId="21322" xr:uid="{00000000-0005-0000-0000-0000CC3D0000}"/>
    <cellStyle name="40% - Accent4 22" xfId="4000" xr:uid="{00000000-0005-0000-0000-0000CD3D0000}"/>
    <cellStyle name="40% - Accent4 22 2" xfId="11748" xr:uid="{00000000-0005-0000-0000-0000CE3D0000}"/>
    <cellStyle name="40% - Accent4 22 2 2" xfId="25463" xr:uid="{00000000-0005-0000-0000-0000CF3D0000}"/>
    <cellStyle name="40% - Accent4 22 3" xfId="21325" xr:uid="{00000000-0005-0000-0000-0000D03D0000}"/>
    <cellStyle name="40% - Accent4 23" xfId="4001" xr:uid="{00000000-0005-0000-0000-0000D13D0000}"/>
    <cellStyle name="40% - Accent4 23 2" xfId="12864" xr:uid="{00000000-0005-0000-0000-0000D23D0000}"/>
    <cellStyle name="40% - Accent4 23 2 2" xfId="26576" xr:uid="{00000000-0005-0000-0000-0000D33D0000}"/>
    <cellStyle name="40% - Accent4 23 3" xfId="21326" xr:uid="{00000000-0005-0000-0000-0000D43D0000}"/>
    <cellStyle name="40% - Accent4 24" xfId="4002" xr:uid="{00000000-0005-0000-0000-0000D53D0000}"/>
    <cellStyle name="40% - Accent4 24 2" xfId="13387" xr:uid="{00000000-0005-0000-0000-0000D63D0000}"/>
    <cellStyle name="40% - Accent4 24 2 2" xfId="26936" xr:uid="{00000000-0005-0000-0000-0000D73D0000}"/>
    <cellStyle name="40% - Accent4 24 3" xfId="21327" xr:uid="{00000000-0005-0000-0000-0000D83D0000}"/>
    <cellStyle name="40% - Accent4 25" xfId="4003" xr:uid="{00000000-0005-0000-0000-0000D93D0000}"/>
    <cellStyle name="40% - Accent4 25 2" xfId="13968" xr:uid="{00000000-0005-0000-0000-0000DA3D0000}"/>
    <cellStyle name="40% - Accent4 25 2 2" xfId="27517" xr:uid="{00000000-0005-0000-0000-0000DB3D0000}"/>
    <cellStyle name="40% - Accent4 25 3" xfId="21328" xr:uid="{00000000-0005-0000-0000-0000DC3D0000}"/>
    <cellStyle name="40% - Accent4 26" xfId="4004" xr:uid="{00000000-0005-0000-0000-0000DD3D0000}"/>
    <cellStyle name="40% - Accent4 26 2" xfId="15271" xr:uid="{00000000-0005-0000-0000-0000DE3D0000}"/>
    <cellStyle name="40% - Accent4 26 2 2" xfId="28820" xr:uid="{00000000-0005-0000-0000-0000DF3D0000}"/>
    <cellStyle name="40% - Accent4 26 3" xfId="21329" xr:uid="{00000000-0005-0000-0000-0000E03D0000}"/>
    <cellStyle name="40% - Accent4 27" xfId="4005" xr:uid="{00000000-0005-0000-0000-0000E13D0000}"/>
    <cellStyle name="40% - Accent4 27 2" xfId="15832" xr:uid="{00000000-0005-0000-0000-0000E23D0000}"/>
    <cellStyle name="40% - Accent4 27 2 2" xfId="29239" xr:uid="{00000000-0005-0000-0000-0000E33D0000}"/>
    <cellStyle name="40% - Accent4 27 3" xfId="21330" xr:uid="{00000000-0005-0000-0000-0000E43D0000}"/>
    <cellStyle name="40% - Accent4 28" xfId="4006" xr:uid="{00000000-0005-0000-0000-0000E53D0000}"/>
    <cellStyle name="40% - Accent4 28 2" xfId="15854" xr:uid="{00000000-0005-0000-0000-0000E63D0000}"/>
    <cellStyle name="40% - Accent4 28 2 2" xfId="29261" xr:uid="{00000000-0005-0000-0000-0000E73D0000}"/>
    <cellStyle name="40% - Accent4 28 3" xfId="21331" xr:uid="{00000000-0005-0000-0000-0000E83D0000}"/>
    <cellStyle name="40% - Accent4 29" xfId="4007" xr:uid="{00000000-0005-0000-0000-0000E93D0000}"/>
    <cellStyle name="40% - Accent4 29 2" xfId="9364" xr:uid="{00000000-0005-0000-0000-0000EA3D0000}"/>
    <cellStyle name="40% - Accent4 29 2 2" xfId="23839" xr:uid="{00000000-0005-0000-0000-0000EB3D0000}"/>
    <cellStyle name="40% - Accent4 29 3" xfId="21332" xr:uid="{00000000-0005-0000-0000-0000EC3D0000}"/>
    <cellStyle name="40% - Accent4 3" xfId="4008" xr:uid="{00000000-0005-0000-0000-0000ED3D0000}"/>
    <cellStyle name="40% - Accent4 3 10" xfId="4009" xr:uid="{00000000-0005-0000-0000-0000EE3D0000}"/>
    <cellStyle name="40% - Accent4 3 10 2" xfId="14046" xr:uid="{00000000-0005-0000-0000-0000EF3D0000}"/>
    <cellStyle name="40% - Accent4 3 10 2 2" xfId="27595" xr:uid="{00000000-0005-0000-0000-0000F03D0000}"/>
    <cellStyle name="40% - Accent4 3 10 3" xfId="21334" xr:uid="{00000000-0005-0000-0000-0000F13D0000}"/>
    <cellStyle name="40% - Accent4 3 11" xfId="4010" xr:uid="{00000000-0005-0000-0000-0000F23D0000}"/>
    <cellStyle name="40% - Accent4 3 11 2" xfId="15315" xr:uid="{00000000-0005-0000-0000-0000F33D0000}"/>
    <cellStyle name="40% - Accent4 3 11 2 2" xfId="28864" xr:uid="{00000000-0005-0000-0000-0000F43D0000}"/>
    <cellStyle name="40% - Accent4 3 11 3" xfId="21335" xr:uid="{00000000-0005-0000-0000-0000F53D0000}"/>
    <cellStyle name="40% - Accent4 3 12" xfId="4011" xr:uid="{00000000-0005-0000-0000-0000F63D0000}"/>
    <cellStyle name="40% - Accent4 3 12 2" xfId="15932" xr:uid="{00000000-0005-0000-0000-0000F73D0000}"/>
    <cellStyle name="40% - Accent4 3 12 2 2" xfId="29339" xr:uid="{00000000-0005-0000-0000-0000F83D0000}"/>
    <cellStyle name="40% - Accent4 3 12 3" xfId="21336" xr:uid="{00000000-0005-0000-0000-0000F93D0000}"/>
    <cellStyle name="40% - Accent4 3 13" xfId="9394" xr:uid="{00000000-0005-0000-0000-0000FA3D0000}"/>
    <cellStyle name="40% - Accent4 3 13 2" xfId="23869" xr:uid="{00000000-0005-0000-0000-0000FB3D0000}"/>
    <cellStyle name="40% - Accent4 3 14" xfId="21333" xr:uid="{00000000-0005-0000-0000-0000FC3D0000}"/>
    <cellStyle name="40% - Accent4 3 2" xfId="4012" xr:uid="{00000000-0005-0000-0000-0000FD3D0000}"/>
    <cellStyle name="40% - Accent4 3 2 10" xfId="4013" xr:uid="{00000000-0005-0000-0000-0000FE3D0000}"/>
    <cellStyle name="40% - Accent4 3 2 10 2" xfId="16075" xr:uid="{00000000-0005-0000-0000-0000FF3D0000}"/>
    <cellStyle name="40% - Accent4 3 2 10 2 2" xfId="29482" xr:uid="{00000000-0005-0000-0000-0000003E0000}"/>
    <cellStyle name="40% - Accent4 3 2 10 3" xfId="21338" xr:uid="{00000000-0005-0000-0000-0000013E0000}"/>
    <cellStyle name="40% - Accent4 3 2 11" xfId="9395" xr:uid="{00000000-0005-0000-0000-0000023E0000}"/>
    <cellStyle name="40% - Accent4 3 2 11 2" xfId="23870" xr:uid="{00000000-0005-0000-0000-0000033E0000}"/>
    <cellStyle name="40% - Accent4 3 2 12" xfId="21337" xr:uid="{00000000-0005-0000-0000-0000043E0000}"/>
    <cellStyle name="40% - Accent4 3 2 2" xfId="4014" xr:uid="{00000000-0005-0000-0000-0000053E0000}"/>
    <cellStyle name="40% - Accent4 3 2 2 10" xfId="9396" xr:uid="{00000000-0005-0000-0000-0000063E0000}"/>
    <cellStyle name="40% - Accent4 3 2 2 10 2" xfId="23871" xr:uid="{00000000-0005-0000-0000-0000073E0000}"/>
    <cellStyle name="40% - Accent4 3 2 2 11" xfId="21339" xr:uid="{00000000-0005-0000-0000-0000083E0000}"/>
    <cellStyle name="40% - Accent4 3 2 2 2" xfId="4015" xr:uid="{00000000-0005-0000-0000-0000093E0000}"/>
    <cellStyle name="40% - Accent4 3 2 2 2 2" xfId="4016" xr:uid="{00000000-0005-0000-0000-00000A3E0000}"/>
    <cellStyle name="40% - Accent4 3 2 2 2 2 2" xfId="11124" xr:uid="{00000000-0005-0000-0000-00000B3E0000}"/>
    <cellStyle name="40% - Accent4 3 2 2 2 2 2 2" xfId="25066" xr:uid="{00000000-0005-0000-0000-00000C3E0000}"/>
    <cellStyle name="40% - Accent4 3 2 2 2 2 3" xfId="21341" xr:uid="{00000000-0005-0000-0000-00000D3E0000}"/>
    <cellStyle name="40% - Accent4 3 2 2 2 3" xfId="4017" xr:uid="{00000000-0005-0000-0000-00000E3E0000}"/>
    <cellStyle name="40% - Accent4 3 2 2 2 3 2" xfId="12903" xr:uid="{00000000-0005-0000-0000-00000F3E0000}"/>
    <cellStyle name="40% - Accent4 3 2 2 2 3 2 2" xfId="26615" xr:uid="{00000000-0005-0000-0000-0000103E0000}"/>
    <cellStyle name="40% - Accent4 3 2 2 2 3 3" xfId="21342" xr:uid="{00000000-0005-0000-0000-0000113E0000}"/>
    <cellStyle name="40% - Accent4 3 2 2 2 4" xfId="4018" xr:uid="{00000000-0005-0000-0000-0000123E0000}"/>
    <cellStyle name="40% - Accent4 3 2 2 2 4 2" xfId="15318" xr:uid="{00000000-0005-0000-0000-0000133E0000}"/>
    <cellStyle name="40% - Accent4 3 2 2 2 4 2 2" xfId="28867" xr:uid="{00000000-0005-0000-0000-0000143E0000}"/>
    <cellStyle name="40% - Accent4 3 2 2 2 4 3" xfId="21343" xr:uid="{00000000-0005-0000-0000-0000153E0000}"/>
    <cellStyle name="40% - Accent4 3 2 2 2 5" xfId="4019" xr:uid="{00000000-0005-0000-0000-0000163E0000}"/>
    <cellStyle name="40% - Accent4 3 2 2 2 5 2" xfId="16945" xr:uid="{00000000-0005-0000-0000-0000173E0000}"/>
    <cellStyle name="40% - Accent4 3 2 2 2 5 2 2" xfId="30352" xr:uid="{00000000-0005-0000-0000-0000183E0000}"/>
    <cellStyle name="40% - Accent4 3 2 2 2 5 3" xfId="21344" xr:uid="{00000000-0005-0000-0000-0000193E0000}"/>
    <cellStyle name="40% - Accent4 3 2 2 2 6" xfId="9397" xr:uid="{00000000-0005-0000-0000-00001A3E0000}"/>
    <cellStyle name="40% - Accent4 3 2 2 2 6 2" xfId="23872" xr:uid="{00000000-0005-0000-0000-00001B3E0000}"/>
    <cellStyle name="40% - Accent4 3 2 2 2 7" xfId="21340" xr:uid="{00000000-0005-0000-0000-00001C3E0000}"/>
    <cellStyle name="40% - Accent4 3 2 2 3" xfId="4020" xr:uid="{00000000-0005-0000-0000-00001D3E0000}"/>
    <cellStyle name="40% - Accent4 3 2 2 3 2" xfId="4021" xr:uid="{00000000-0005-0000-0000-00001E3E0000}"/>
    <cellStyle name="40% - Accent4 3 2 2 3 2 2" xfId="15319" xr:uid="{00000000-0005-0000-0000-00001F3E0000}"/>
    <cellStyle name="40% - Accent4 3 2 2 3 2 2 2" xfId="28868" xr:uid="{00000000-0005-0000-0000-0000203E0000}"/>
    <cellStyle name="40% - Accent4 3 2 2 3 2 3" xfId="21346" xr:uid="{00000000-0005-0000-0000-0000213E0000}"/>
    <cellStyle name="40% - Accent4 3 2 2 3 3" xfId="11123" xr:uid="{00000000-0005-0000-0000-0000223E0000}"/>
    <cellStyle name="40% - Accent4 3 2 2 3 3 2" xfId="25065" xr:uid="{00000000-0005-0000-0000-0000233E0000}"/>
    <cellStyle name="40% - Accent4 3 2 2 3 4" xfId="21345" xr:uid="{00000000-0005-0000-0000-0000243E0000}"/>
    <cellStyle name="40% - Accent4 3 2 2 4" xfId="4022" xr:uid="{00000000-0005-0000-0000-0000253E0000}"/>
    <cellStyle name="40% - Accent4 3 2 2 4 2" xfId="12333" xr:uid="{00000000-0005-0000-0000-0000263E0000}"/>
    <cellStyle name="40% - Accent4 3 2 2 4 2 2" xfId="26045" xr:uid="{00000000-0005-0000-0000-0000273E0000}"/>
    <cellStyle name="40% - Accent4 3 2 2 4 3" xfId="21347" xr:uid="{00000000-0005-0000-0000-0000283E0000}"/>
    <cellStyle name="40% - Accent4 3 2 2 5" xfId="4023" xr:uid="{00000000-0005-0000-0000-0000293E0000}"/>
    <cellStyle name="40% - Accent4 3 2 2 5 2" xfId="12902" xr:uid="{00000000-0005-0000-0000-00002A3E0000}"/>
    <cellStyle name="40% - Accent4 3 2 2 5 2 2" xfId="26614" xr:uid="{00000000-0005-0000-0000-00002B3E0000}"/>
    <cellStyle name="40% - Accent4 3 2 2 5 3" xfId="21348" xr:uid="{00000000-0005-0000-0000-00002C3E0000}"/>
    <cellStyle name="40% - Accent4 3 2 2 6" xfId="4024" xr:uid="{00000000-0005-0000-0000-00002D3E0000}"/>
    <cellStyle name="40% - Accent4 3 2 2 6 2" xfId="13897" xr:uid="{00000000-0005-0000-0000-00002E3E0000}"/>
    <cellStyle name="40% - Accent4 3 2 2 6 2 2" xfId="27446" xr:uid="{00000000-0005-0000-0000-00002F3E0000}"/>
    <cellStyle name="40% - Accent4 3 2 2 6 3" xfId="21349" xr:uid="{00000000-0005-0000-0000-0000303E0000}"/>
    <cellStyle name="40% - Accent4 3 2 2 7" xfId="4025" xr:uid="{00000000-0005-0000-0000-0000313E0000}"/>
    <cellStyle name="40% - Accent4 3 2 2 7 2" xfId="14478" xr:uid="{00000000-0005-0000-0000-0000323E0000}"/>
    <cellStyle name="40% - Accent4 3 2 2 7 2 2" xfId="28027" xr:uid="{00000000-0005-0000-0000-0000333E0000}"/>
    <cellStyle name="40% - Accent4 3 2 2 7 3" xfId="21350" xr:uid="{00000000-0005-0000-0000-0000343E0000}"/>
    <cellStyle name="40% - Accent4 3 2 2 8" xfId="4026" xr:uid="{00000000-0005-0000-0000-0000353E0000}"/>
    <cellStyle name="40% - Accent4 3 2 2 8 2" xfId="15317" xr:uid="{00000000-0005-0000-0000-0000363E0000}"/>
    <cellStyle name="40% - Accent4 3 2 2 8 2 2" xfId="28866" xr:uid="{00000000-0005-0000-0000-0000373E0000}"/>
    <cellStyle name="40% - Accent4 3 2 2 8 3" xfId="21351" xr:uid="{00000000-0005-0000-0000-0000383E0000}"/>
    <cellStyle name="40% - Accent4 3 2 2 9" xfId="4027" xr:uid="{00000000-0005-0000-0000-0000393E0000}"/>
    <cellStyle name="40% - Accent4 3 2 2 9 2" xfId="16364" xr:uid="{00000000-0005-0000-0000-00003A3E0000}"/>
    <cellStyle name="40% - Accent4 3 2 2 9 2 2" xfId="29771" xr:uid="{00000000-0005-0000-0000-00003B3E0000}"/>
    <cellStyle name="40% - Accent4 3 2 2 9 3" xfId="21352" xr:uid="{00000000-0005-0000-0000-00003C3E0000}"/>
    <cellStyle name="40% - Accent4 3 2 3" xfId="4028" xr:uid="{00000000-0005-0000-0000-00003D3E0000}"/>
    <cellStyle name="40% - Accent4 3 2 3 2" xfId="4029" xr:uid="{00000000-0005-0000-0000-00003E3E0000}"/>
    <cellStyle name="40% - Accent4 3 2 3 2 2" xfId="11125" xr:uid="{00000000-0005-0000-0000-00003F3E0000}"/>
    <cellStyle name="40% - Accent4 3 2 3 2 2 2" xfId="25067" xr:uid="{00000000-0005-0000-0000-0000403E0000}"/>
    <cellStyle name="40% - Accent4 3 2 3 2 3" xfId="21354" xr:uid="{00000000-0005-0000-0000-0000413E0000}"/>
    <cellStyle name="40% - Accent4 3 2 3 3" xfId="4030" xr:uid="{00000000-0005-0000-0000-0000423E0000}"/>
    <cellStyle name="40% - Accent4 3 2 3 3 2" xfId="12904" xr:uid="{00000000-0005-0000-0000-0000433E0000}"/>
    <cellStyle name="40% - Accent4 3 2 3 3 2 2" xfId="26616" xr:uid="{00000000-0005-0000-0000-0000443E0000}"/>
    <cellStyle name="40% - Accent4 3 2 3 3 3" xfId="21355" xr:uid="{00000000-0005-0000-0000-0000453E0000}"/>
    <cellStyle name="40% - Accent4 3 2 3 4" xfId="4031" xr:uid="{00000000-0005-0000-0000-0000463E0000}"/>
    <cellStyle name="40% - Accent4 3 2 3 4 2" xfId="15320" xr:uid="{00000000-0005-0000-0000-0000473E0000}"/>
    <cellStyle name="40% - Accent4 3 2 3 4 2 2" xfId="28869" xr:uid="{00000000-0005-0000-0000-0000483E0000}"/>
    <cellStyle name="40% - Accent4 3 2 3 4 3" xfId="21356" xr:uid="{00000000-0005-0000-0000-0000493E0000}"/>
    <cellStyle name="40% - Accent4 3 2 3 5" xfId="4032" xr:uid="{00000000-0005-0000-0000-00004A3E0000}"/>
    <cellStyle name="40% - Accent4 3 2 3 5 2" xfId="16656" xr:uid="{00000000-0005-0000-0000-00004B3E0000}"/>
    <cellStyle name="40% - Accent4 3 2 3 5 2 2" xfId="30063" xr:uid="{00000000-0005-0000-0000-00004C3E0000}"/>
    <cellStyle name="40% - Accent4 3 2 3 5 3" xfId="21357" xr:uid="{00000000-0005-0000-0000-00004D3E0000}"/>
    <cellStyle name="40% - Accent4 3 2 3 6" xfId="9398" xr:uid="{00000000-0005-0000-0000-00004E3E0000}"/>
    <cellStyle name="40% - Accent4 3 2 3 6 2" xfId="23873" xr:uid="{00000000-0005-0000-0000-00004F3E0000}"/>
    <cellStyle name="40% - Accent4 3 2 3 7" xfId="21353" xr:uid="{00000000-0005-0000-0000-0000503E0000}"/>
    <cellStyle name="40% - Accent4 3 2 4" xfId="4033" xr:uid="{00000000-0005-0000-0000-0000513E0000}"/>
    <cellStyle name="40% - Accent4 3 2 4 2" xfId="4034" xr:uid="{00000000-0005-0000-0000-0000523E0000}"/>
    <cellStyle name="40% - Accent4 3 2 4 2 2" xfId="15321" xr:uid="{00000000-0005-0000-0000-0000533E0000}"/>
    <cellStyle name="40% - Accent4 3 2 4 2 2 2" xfId="28870" xr:uid="{00000000-0005-0000-0000-0000543E0000}"/>
    <cellStyle name="40% - Accent4 3 2 4 2 3" xfId="21359" xr:uid="{00000000-0005-0000-0000-0000553E0000}"/>
    <cellStyle name="40% - Accent4 3 2 4 3" xfId="11122" xr:uid="{00000000-0005-0000-0000-0000563E0000}"/>
    <cellStyle name="40% - Accent4 3 2 4 3 2" xfId="25064" xr:uid="{00000000-0005-0000-0000-0000573E0000}"/>
    <cellStyle name="40% - Accent4 3 2 4 4" xfId="21358" xr:uid="{00000000-0005-0000-0000-0000583E0000}"/>
    <cellStyle name="40% - Accent4 3 2 5" xfId="4035" xr:uid="{00000000-0005-0000-0000-0000593E0000}"/>
    <cellStyle name="40% - Accent4 3 2 5 2" xfId="12033" xr:uid="{00000000-0005-0000-0000-00005A3E0000}"/>
    <cellStyle name="40% - Accent4 3 2 5 2 2" xfId="25748" xr:uid="{00000000-0005-0000-0000-00005B3E0000}"/>
    <cellStyle name="40% - Accent4 3 2 5 3" xfId="21360" xr:uid="{00000000-0005-0000-0000-00005C3E0000}"/>
    <cellStyle name="40% - Accent4 3 2 6" xfId="4036" xr:uid="{00000000-0005-0000-0000-00005D3E0000}"/>
    <cellStyle name="40% - Accent4 3 2 6 2" xfId="12901" xr:uid="{00000000-0005-0000-0000-00005E3E0000}"/>
    <cellStyle name="40% - Accent4 3 2 6 2 2" xfId="26613" xr:uid="{00000000-0005-0000-0000-00005F3E0000}"/>
    <cellStyle name="40% - Accent4 3 2 6 3" xfId="21361" xr:uid="{00000000-0005-0000-0000-0000603E0000}"/>
    <cellStyle name="40% - Accent4 3 2 7" xfId="4037" xr:uid="{00000000-0005-0000-0000-0000613E0000}"/>
    <cellStyle name="40% - Accent4 3 2 7 2" xfId="13608" xr:uid="{00000000-0005-0000-0000-0000623E0000}"/>
    <cellStyle name="40% - Accent4 3 2 7 2 2" xfId="27157" xr:uid="{00000000-0005-0000-0000-0000633E0000}"/>
    <cellStyle name="40% - Accent4 3 2 7 3" xfId="21362" xr:uid="{00000000-0005-0000-0000-0000643E0000}"/>
    <cellStyle name="40% - Accent4 3 2 8" xfId="4038" xr:uid="{00000000-0005-0000-0000-0000653E0000}"/>
    <cellStyle name="40% - Accent4 3 2 8 2" xfId="14189" xr:uid="{00000000-0005-0000-0000-0000663E0000}"/>
    <cellStyle name="40% - Accent4 3 2 8 2 2" xfId="27738" xr:uid="{00000000-0005-0000-0000-0000673E0000}"/>
    <cellStyle name="40% - Accent4 3 2 8 3" xfId="21363" xr:uid="{00000000-0005-0000-0000-0000683E0000}"/>
    <cellStyle name="40% - Accent4 3 2 9" xfId="4039" xr:uid="{00000000-0005-0000-0000-0000693E0000}"/>
    <cellStyle name="40% - Accent4 3 2 9 2" xfId="15316" xr:uid="{00000000-0005-0000-0000-00006A3E0000}"/>
    <cellStyle name="40% - Accent4 3 2 9 2 2" xfId="28865" xr:uid="{00000000-0005-0000-0000-00006B3E0000}"/>
    <cellStyle name="40% - Accent4 3 2 9 3" xfId="21364" xr:uid="{00000000-0005-0000-0000-00006C3E0000}"/>
    <cellStyle name="40% - Accent4 3 3" xfId="4040" xr:uid="{00000000-0005-0000-0000-00006D3E0000}"/>
    <cellStyle name="40% - Accent4 3 3 10" xfId="9399" xr:uid="{00000000-0005-0000-0000-00006E3E0000}"/>
    <cellStyle name="40% - Accent4 3 3 10 2" xfId="23874" xr:uid="{00000000-0005-0000-0000-00006F3E0000}"/>
    <cellStyle name="40% - Accent4 3 3 11" xfId="21365" xr:uid="{00000000-0005-0000-0000-0000703E0000}"/>
    <cellStyle name="40% - Accent4 3 3 2" xfId="4041" xr:uid="{00000000-0005-0000-0000-0000713E0000}"/>
    <cellStyle name="40% - Accent4 3 3 2 2" xfId="4042" xr:uid="{00000000-0005-0000-0000-0000723E0000}"/>
    <cellStyle name="40% - Accent4 3 3 2 2 2" xfId="11127" xr:uid="{00000000-0005-0000-0000-0000733E0000}"/>
    <cellStyle name="40% - Accent4 3 3 2 2 2 2" xfId="25069" xr:uid="{00000000-0005-0000-0000-0000743E0000}"/>
    <cellStyle name="40% - Accent4 3 3 2 2 3" xfId="21367" xr:uid="{00000000-0005-0000-0000-0000753E0000}"/>
    <cellStyle name="40% - Accent4 3 3 2 3" xfId="4043" xr:uid="{00000000-0005-0000-0000-0000763E0000}"/>
    <cellStyle name="40% - Accent4 3 3 2 3 2" xfId="12906" xr:uid="{00000000-0005-0000-0000-0000773E0000}"/>
    <cellStyle name="40% - Accent4 3 3 2 3 2 2" xfId="26618" xr:uid="{00000000-0005-0000-0000-0000783E0000}"/>
    <cellStyle name="40% - Accent4 3 3 2 3 3" xfId="21368" xr:uid="{00000000-0005-0000-0000-0000793E0000}"/>
    <cellStyle name="40% - Accent4 3 3 2 4" xfId="4044" xr:uid="{00000000-0005-0000-0000-00007A3E0000}"/>
    <cellStyle name="40% - Accent4 3 3 2 4 2" xfId="15323" xr:uid="{00000000-0005-0000-0000-00007B3E0000}"/>
    <cellStyle name="40% - Accent4 3 3 2 4 2 2" xfId="28872" xr:uid="{00000000-0005-0000-0000-00007C3E0000}"/>
    <cellStyle name="40% - Accent4 3 3 2 4 3" xfId="21369" xr:uid="{00000000-0005-0000-0000-00007D3E0000}"/>
    <cellStyle name="40% - Accent4 3 3 2 5" xfId="4045" xr:uid="{00000000-0005-0000-0000-00007E3E0000}"/>
    <cellStyle name="40% - Accent4 3 3 2 5 2" xfId="16802" xr:uid="{00000000-0005-0000-0000-00007F3E0000}"/>
    <cellStyle name="40% - Accent4 3 3 2 5 2 2" xfId="30209" xr:uid="{00000000-0005-0000-0000-0000803E0000}"/>
    <cellStyle name="40% - Accent4 3 3 2 5 3" xfId="21370" xr:uid="{00000000-0005-0000-0000-0000813E0000}"/>
    <cellStyle name="40% - Accent4 3 3 2 6" xfId="9400" xr:uid="{00000000-0005-0000-0000-0000823E0000}"/>
    <cellStyle name="40% - Accent4 3 3 2 6 2" xfId="23875" xr:uid="{00000000-0005-0000-0000-0000833E0000}"/>
    <cellStyle name="40% - Accent4 3 3 2 7" xfId="21366" xr:uid="{00000000-0005-0000-0000-0000843E0000}"/>
    <cellStyle name="40% - Accent4 3 3 3" xfId="4046" xr:uid="{00000000-0005-0000-0000-0000853E0000}"/>
    <cellStyle name="40% - Accent4 3 3 3 2" xfId="4047" xr:uid="{00000000-0005-0000-0000-0000863E0000}"/>
    <cellStyle name="40% - Accent4 3 3 3 2 2" xfId="15324" xr:uid="{00000000-0005-0000-0000-0000873E0000}"/>
    <cellStyle name="40% - Accent4 3 3 3 2 2 2" xfId="28873" xr:uid="{00000000-0005-0000-0000-0000883E0000}"/>
    <cellStyle name="40% - Accent4 3 3 3 2 3" xfId="21372" xr:uid="{00000000-0005-0000-0000-0000893E0000}"/>
    <cellStyle name="40% - Accent4 3 3 3 3" xfId="11126" xr:uid="{00000000-0005-0000-0000-00008A3E0000}"/>
    <cellStyle name="40% - Accent4 3 3 3 3 2" xfId="25068" xr:uid="{00000000-0005-0000-0000-00008B3E0000}"/>
    <cellStyle name="40% - Accent4 3 3 3 4" xfId="21371" xr:uid="{00000000-0005-0000-0000-00008C3E0000}"/>
    <cellStyle name="40% - Accent4 3 3 4" xfId="4048" xr:uid="{00000000-0005-0000-0000-00008D3E0000}"/>
    <cellStyle name="40% - Accent4 3 3 4 2" xfId="12190" xr:uid="{00000000-0005-0000-0000-00008E3E0000}"/>
    <cellStyle name="40% - Accent4 3 3 4 2 2" xfId="25902" xr:uid="{00000000-0005-0000-0000-00008F3E0000}"/>
    <cellStyle name="40% - Accent4 3 3 4 3" xfId="21373" xr:uid="{00000000-0005-0000-0000-0000903E0000}"/>
    <cellStyle name="40% - Accent4 3 3 5" xfId="4049" xr:uid="{00000000-0005-0000-0000-0000913E0000}"/>
    <cellStyle name="40% - Accent4 3 3 5 2" xfId="12905" xr:uid="{00000000-0005-0000-0000-0000923E0000}"/>
    <cellStyle name="40% - Accent4 3 3 5 2 2" xfId="26617" xr:uid="{00000000-0005-0000-0000-0000933E0000}"/>
    <cellStyle name="40% - Accent4 3 3 5 3" xfId="21374" xr:uid="{00000000-0005-0000-0000-0000943E0000}"/>
    <cellStyle name="40% - Accent4 3 3 6" xfId="4050" xr:uid="{00000000-0005-0000-0000-0000953E0000}"/>
    <cellStyle name="40% - Accent4 3 3 6 2" xfId="13754" xr:uid="{00000000-0005-0000-0000-0000963E0000}"/>
    <cellStyle name="40% - Accent4 3 3 6 2 2" xfId="27303" xr:uid="{00000000-0005-0000-0000-0000973E0000}"/>
    <cellStyle name="40% - Accent4 3 3 6 3" xfId="21375" xr:uid="{00000000-0005-0000-0000-0000983E0000}"/>
    <cellStyle name="40% - Accent4 3 3 7" xfId="4051" xr:uid="{00000000-0005-0000-0000-0000993E0000}"/>
    <cellStyle name="40% - Accent4 3 3 7 2" xfId="14335" xr:uid="{00000000-0005-0000-0000-00009A3E0000}"/>
    <cellStyle name="40% - Accent4 3 3 7 2 2" xfId="27884" xr:uid="{00000000-0005-0000-0000-00009B3E0000}"/>
    <cellStyle name="40% - Accent4 3 3 7 3" xfId="21376" xr:uid="{00000000-0005-0000-0000-00009C3E0000}"/>
    <cellStyle name="40% - Accent4 3 3 8" xfId="4052" xr:uid="{00000000-0005-0000-0000-00009D3E0000}"/>
    <cellStyle name="40% - Accent4 3 3 8 2" xfId="15322" xr:uid="{00000000-0005-0000-0000-00009E3E0000}"/>
    <cellStyle name="40% - Accent4 3 3 8 2 2" xfId="28871" xr:uid="{00000000-0005-0000-0000-00009F3E0000}"/>
    <cellStyle name="40% - Accent4 3 3 8 3" xfId="21377" xr:uid="{00000000-0005-0000-0000-0000A03E0000}"/>
    <cellStyle name="40% - Accent4 3 3 9" xfId="4053" xr:uid="{00000000-0005-0000-0000-0000A13E0000}"/>
    <cellStyle name="40% - Accent4 3 3 9 2" xfId="16221" xr:uid="{00000000-0005-0000-0000-0000A23E0000}"/>
    <cellStyle name="40% - Accent4 3 3 9 2 2" xfId="29628" xr:uid="{00000000-0005-0000-0000-0000A33E0000}"/>
    <cellStyle name="40% - Accent4 3 3 9 3" xfId="21378" xr:uid="{00000000-0005-0000-0000-0000A43E0000}"/>
    <cellStyle name="40% - Accent4 3 4" xfId="4054" xr:uid="{00000000-0005-0000-0000-0000A53E0000}"/>
    <cellStyle name="40% - Accent4 3 4 2" xfId="4055" xr:uid="{00000000-0005-0000-0000-0000A63E0000}"/>
    <cellStyle name="40% - Accent4 3 4 2 2" xfId="11128" xr:uid="{00000000-0005-0000-0000-0000A73E0000}"/>
    <cellStyle name="40% - Accent4 3 4 2 2 2" xfId="25070" xr:uid="{00000000-0005-0000-0000-0000A83E0000}"/>
    <cellStyle name="40% - Accent4 3 4 2 3" xfId="21380" xr:uid="{00000000-0005-0000-0000-0000A93E0000}"/>
    <cellStyle name="40% - Accent4 3 4 3" xfId="4056" xr:uid="{00000000-0005-0000-0000-0000AA3E0000}"/>
    <cellStyle name="40% - Accent4 3 4 3 2" xfId="12907" xr:uid="{00000000-0005-0000-0000-0000AB3E0000}"/>
    <cellStyle name="40% - Accent4 3 4 3 2 2" xfId="26619" xr:uid="{00000000-0005-0000-0000-0000AC3E0000}"/>
    <cellStyle name="40% - Accent4 3 4 3 3" xfId="21381" xr:uid="{00000000-0005-0000-0000-0000AD3E0000}"/>
    <cellStyle name="40% - Accent4 3 4 4" xfId="4057" xr:uid="{00000000-0005-0000-0000-0000AE3E0000}"/>
    <cellStyle name="40% - Accent4 3 4 4 2" xfId="15325" xr:uid="{00000000-0005-0000-0000-0000AF3E0000}"/>
    <cellStyle name="40% - Accent4 3 4 4 2 2" xfId="28874" xr:uid="{00000000-0005-0000-0000-0000B03E0000}"/>
    <cellStyle name="40% - Accent4 3 4 4 3" xfId="21382" xr:uid="{00000000-0005-0000-0000-0000B13E0000}"/>
    <cellStyle name="40% - Accent4 3 4 5" xfId="4058" xr:uid="{00000000-0005-0000-0000-0000B23E0000}"/>
    <cellStyle name="40% - Accent4 3 4 5 2" xfId="17149" xr:uid="{00000000-0005-0000-0000-0000B33E0000}"/>
    <cellStyle name="40% - Accent4 3 4 5 2 2" xfId="30508" xr:uid="{00000000-0005-0000-0000-0000B43E0000}"/>
    <cellStyle name="40% - Accent4 3 4 5 3" xfId="21383" xr:uid="{00000000-0005-0000-0000-0000B53E0000}"/>
    <cellStyle name="40% - Accent4 3 4 6" xfId="9401" xr:uid="{00000000-0005-0000-0000-0000B63E0000}"/>
    <cellStyle name="40% - Accent4 3 4 6 2" xfId="23876" xr:uid="{00000000-0005-0000-0000-0000B73E0000}"/>
    <cellStyle name="40% - Accent4 3 4 7" xfId="21379" xr:uid="{00000000-0005-0000-0000-0000B83E0000}"/>
    <cellStyle name="40% - Accent4 3 5" xfId="4059" xr:uid="{00000000-0005-0000-0000-0000B93E0000}"/>
    <cellStyle name="40% - Accent4 3 5 2" xfId="4060" xr:uid="{00000000-0005-0000-0000-0000BA3E0000}"/>
    <cellStyle name="40% - Accent4 3 5 2 2" xfId="11129" xr:uid="{00000000-0005-0000-0000-0000BB3E0000}"/>
    <cellStyle name="40% - Accent4 3 5 2 2 2" xfId="25071" xr:uid="{00000000-0005-0000-0000-0000BC3E0000}"/>
    <cellStyle name="40% - Accent4 3 5 2 3" xfId="21385" xr:uid="{00000000-0005-0000-0000-0000BD3E0000}"/>
    <cellStyle name="40% - Accent4 3 5 3" xfId="4061" xr:uid="{00000000-0005-0000-0000-0000BE3E0000}"/>
    <cellStyle name="40% - Accent4 3 5 3 2" xfId="12908" xr:uid="{00000000-0005-0000-0000-0000BF3E0000}"/>
    <cellStyle name="40% - Accent4 3 5 3 2 2" xfId="26620" xr:uid="{00000000-0005-0000-0000-0000C03E0000}"/>
    <cellStyle name="40% - Accent4 3 5 3 3" xfId="21386" xr:uid="{00000000-0005-0000-0000-0000C13E0000}"/>
    <cellStyle name="40% - Accent4 3 5 4" xfId="4062" xr:uid="{00000000-0005-0000-0000-0000C23E0000}"/>
    <cellStyle name="40% - Accent4 3 5 4 2" xfId="15326" xr:uid="{00000000-0005-0000-0000-0000C33E0000}"/>
    <cellStyle name="40% - Accent4 3 5 4 2 2" xfId="28875" xr:uid="{00000000-0005-0000-0000-0000C43E0000}"/>
    <cellStyle name="40% - Accent4 3 5 4 3" xfId="21387" xr:uid="{00000000-0005-0000-0000-0000C53E0000}"/>
    <cellStyle name="40% - Accent4 3 5 5" xfId="4063" xr:uid="{00000000-0005-0000-0000-0000C63E0000}"/>
    <cellStyle name="40% - Accent4 3 5 5 2" xfId="17238" xr:uid="{00000000-0005-0000-0000-0000C73E0000}"/>
    <cellStyle name="40% - Accent4 3 5 5 2 2" xfId="30597" xr:uid="{00000000-0005-0000-0000-0000C83E0000}"/>
    <cellStyle name="40% - Accent4 3 5 5 3" xfId="21388" xr:uid="{00000000-0005-0000-0000-0000C93E0000}"/>
    <cellStyle name="40% - Accent4 3 5 6" xfId="9402" xr:uid="{00000000-0005-0000-0000-0000CA3E0000}"/>
    <cellStyle name="40% - Accent4 3 5 6 2" xfId="23877" xr:uid="{00000000-0005-0000-0000-0000CB3E0000}"/>
    <cellStyle name="40% - Accent4 3 5 7" xfId="21384" xr:uid="{00000000-0005-0000-0000-0000CC3E0000}"/>
    <cellStyle name="40% - Accent4 3 6" xfId="4064" xr:uid="{00000000-0005-0000-0000-0000CD3E0000}"/>
    <cellStyle name="40% - Accent4 3 6 2" xfId="4065" xr:uid="{00000000-0005-0000-0000-0000CE3E0000}"/>
    <cellStyle name="40% - Accent4 3 6 2 2" xfId="15327" xr:uid="{00000000-0005-0000-0000-0000CF3E0000}"/>
    <cellStyle name="40% - Accent4 3 6 2 2 2" xfId="28876" xr:uid="{00000000-0005-0000-0000-0000D03E0000}"/>
    <cellStyle name="40% - Accent4 3 6 2 3" xfId="21390" xr:uid="{00000000-0005-0000-0000-0000D13E0000}"/>
    <cellStyle name="40% - Accent4 3 6 3" xfId="4066" xr:uid="{00000000-0005-0000-0000-0000D23E0000}"/>
    <cellStyle name="40% - Accent4 3 6 3 2" xfId="16513" xr:uid="{00000000-0005-0000-0000-0000D33E0000}"/>
    <cellStyle name="40% - Accent4 3 6 3 2 2" xfId="29920" xr:uid="{00000000-0005-0000-0000-0000D43E0000}"/>
    <cellStyle name="40% - Accent4 3 6 3 3" xfId="21391" xr:uid="{00000000-0005-0000-0000-0000D53E0000}"/>
    <cellStyle name="40% - Accent4 3 6 4" xfId="11121" xr:uid="{00000000-0005-0000-0000-0000D63E0000}"/>
    <cellStyle name="40% - Accent4 3 6 4 2" xfId="25063" xr:uid="{00000000-0005-0000-0000-0000D73E0000}"/>
    <cellStyle name="40% - Accent4 3 6 5" xfId="21389" xr:uid="{00000000-0005-0000-0000-0000D83E0000}"/>
    <cellStyle name="40% - Accent4 3 7" xfId="4067" xr:uid="{00000000-0005-0000-0000-0000D93E0000}"/>
    <cellStyle name="40% - Accent4 3 7 2" xfId="11885" xr:uid="{00000000-0005-0000-0000-0000DA3E0000}"/>
    <cellStyle name="40% - Accent4 3 7 2 2" xfId="25600" xr:uid="{00000000-0005-0000-0000-0000DB3E0000}"/>
    <cellStyle name="40% - Accent4 3 7 3" xfId="21392" xr:uid="{00000000-0005-0000-0000-0000DC3E0000}"/>
    <cellStyle name="40% - Accent4 3 8" xfId="4068" xr:uid="{00000000-0005-0000-0000-0000DD3E0000}"/>
    <cellStyle name="40% - Accent4 3 8 2" xfId="12900" xr:uid="{00000000-0005-0000-0000-0000DE3E0000}"/>
    <cellStyle name="40% - Accent4 3 8 2 2" xfId="26612" xr:uid="{00000000-0005-0000-0000-0000DF3E0000}"/>
    <cellStyle name="40% - Accent4 3 8 3" xfId="21393" xr:uid="{00000000-0005-0000-0000-0000E03E0000}"/>
    <cellStyle name="40% - Accent4 3 9" xfId="4069" xr:uid="{00000000-0005-0000-0000-0000E13E0000}"/>
    <cellStyle name="40% - Accent4 3 9 2" xfId="13465" xr:uid="{00000000-0005-0000-0000-0000E23E0000}"/>
    <cellStyle name="40% - Accent4 3 9 2 2" xfId="27014" xr:uid="{00000000-0005-0000-0000-0000E33E0000}"/>
    <cellStyle name="40% - Accent4 3 9 3" xfId="21394" xr:uid="{00000000-0005-0000-0000-0000E43E0000}"/>
    <cellStyle name="40% - Accent4 30" xfId="23258" xr:uid="{00000000-0005-0000-0000-0000E53E0000}"/>
    <cellStyle name="40% - Accent4 4" xfId="4070" xr:uid="{00000000-0005-0000-0000-0000E63E0000}"/>
    <cellStyle name="40% - Accent4 4 10" xfId="4071" xr:uid="{00000000-0005-0000-0000-0000E73E0000}"/>
    <cellStyle name="40% - Accent4 4 10 2" xfId="15328" xr:uid="{00000000-0005-0000-0000-0000E83E0000}"/>
    <cellStyle name="40% - Accent4 4 10 2 2" xfId="28877" xr:uid="{00000000-0005-0000-0000-0000E93E0000}"/>
    <cellStyle name="40% - Accent4 4 10 3" xfId="21396" xr:uid="{00000000-0005-0000-0000-0000EA3E0000}"/>
    <cellStyle name="40% - Accent4 4 11" xfId="4072" xr:uid="{00000000-0005-0000-0000-0000EB3E0000}"/>
    <cellStyle name="40% - Accent4 4 11 2" xfId="15888" xr:uid="{00000000-0005-0000-0000-0000EC3E0000}"/>
    <cellStyle name="40% - Accent4 4 11 2 2" xfId="29295" xr:uid="{00000000-0005-0000-0000-0000ED3E0000}"/>
    <cellStyle name="40% - Accent4 4 11 3" xfId="21397" xr:uid="{00000000-0005-0000-0000-0000EE3E0000}"/>
    <cellStyle name="40% - Accent4 4 12" xfId="9403" xr:uid="{00000000-0005-0000-0000-0000EF3E0000}"/>
    <cellStyle name="40% - Accent4 4 12 2" xfId="23878" xr:uid="{00000000-0005-0000-0000-0000F03E0000}"/>
    <cellStyle name="40% - Accent4 4 13" xfId="21395" xr:uid="{00000000-0005-0000-0000-0000F13E0000}"/>
    <cellStyle name="40% - Accent4 4 2" xfId="4073" xr:uid="{00000000-0005-0000-0000-0000F23E0000}"/>
    <cellStyle name="40% - Accent4 4 2 10" xfId="4074" xr:uid="{00000000-0005-0000-0000-0000F33E0000}"/>
    <cellStyle name="40% - Accent4 4 2 10 2" xfId="16031" xr:uid="{00000000-0005-0000-0000-0000F43E0000}"/>
    <cellStyle name="40% - Accent4 4 2 10 2 2" xfId="29438" xr:uid="{00000000-0005-0000-0000-0000F53E0000}"/>
    <cellStyle name="40% - Accent4 4 2 10 3" xfId="21399" xr:uid="{00000000-0005-0000-0000-0000F63E0000}"/>
    <cellStyle name="40% - Accent4 4 2 11" xfId="9404" xr:uid="{00000000-0005-0000-0000-0000F73E0000}"/>
    <cellStyle name="40% - Accent4 4 2 11 2" xfId="23879" xr:uid="{00000000-0005-0000-0000-0000F83E0000}"/>
    <cellStyle name="40% - Accent4 4 2 12" xfId="21398" xr:uid="{00000000-0005-0000-0000-0000F93E0000}"/>
    <cellStyle name="40% - Accent4 4 2 2" xfId="4075" xr:uid="{00000000-0005-0000-0000-0000FA3E0000}"/>
    <cellStyle name="40% - Accent4 4 2 2 10" xfId="9405" xr:uid="{00000000-0005-0000-0000-0000FB3E0000}"/>
    <cellStyle name="40% - Accent4 4 2 2 10 2" xfId="23880" xr:uid="{00000000-0005-0000-0000-0000FC3E0000}"/>
    <cellStyle name="40% - Accent4 4 2 2 11" xfId="21400" xr:uid="{00000000-0005-0000-0000-0000FD3E0000}"/>
    <cellStyle name="40% - Accent4 4 2 2 2" xfId="4076" xr:uid="{00000000-0005-0000-0000-0000FE3E0000}"/>
    <cellStyle name="40% - Accent4 4 2 2 2 2" xfId="4077" xr:uid="{00000000-0005-0000-0000-0000FF3E0000}"/>
    <cellStyle name="40% - Accent4 4 2 2 2 2 2" xfId="11133" xr:uid="{00000000-0005-0000-0000-0000003F0000}"/>
    <cellStyle name="40% - Accent4 4 2 2 2 2 2 2" xfId="25075" xr:uid="{00000000-0005-0000-0000-0000013F0000}"/>
    <cellStyle name="40% - Accent4 4 2 2 2 2 3" xfId="23200" xr:uid="{00000000-0005-0000-0000-0000023F0000}"/>
    <cellStyle name="40% - Accent4 4 2 2 2 3" xfId="4078" xr:uid="{00000000-0005-0000-0000-0000033F0000}"/>
    <cellStyle name="40% - Accent4 4 2 2 2 3 2" xfId="12912" xr:uid="{00000000-0005-0000-0000-0000043F0000}"/>
    <cellStyle name="40% - Accent4 4 2 2 2 3 2 2" xfId="26624" xr:uid="{00000000-0005-0000-0000-0000053F0000}"/>
    <cellStyle name="40% - Accent4 4 2 2 2 3 3" xfId="24315" xr:uid="{00000000-0005-0000-0000-0000063F0000}"/>
    <cellStyle name="40% - Accent4 4 2 2 2 4" xfId="4079" xr:uid="{00000000-0005-0000-0000-0000073F0000}"/>
    <cellStyle name="40% - Accent4 4 2 2 2 4 2" xfId="15331" xr:uid="{00000000-0005-0000-0000-0000083F0000}"/>
    <cellStyle name="40% - Accent4 4 2 2 2 4 2 2" xfId="28880" xr:uid="{00000000-0005-0000-0000-0000093F0000}"/>
    <cellStyle name="40% - Accent4 4 2 2 2 4 3" xfId="23199" xr:uid="{00000000-0005-0000-0000-00000A3F0000}"/>
    <cellStyle name="40% - Accent4 4 2 2 2 5" xfId="4080" xr:uid="{00000000-0005-0000-0000-00000B3F0000}"/>
    <cellStyle name="40% - Accent4 4 2 2 2 5 2" xfId="16901" xr:uid="{00000000-0005-0000-0000-00000C3F0000}"/>
    <cellStyle name="40% - Accent4 4 2 2 2 5 2 2" xfId="30308" xr:uid="{00000000-0005-0000-0000-00000D3F0000}"/>
    <cellStyle name="40% - Accent4 4 2 2 2 5 3" xfId="23198" xr:uid="{00000000-0005-0000-0000-00000E3F0000}"/>
    <cellStyle name="40% - Accent4 4 2 2 2 6" xfId="9406" xr:uid="{00000000-0005-0000-0000-00000F3F0000}"/>
    <cellStyle name="40% - Accent4 4 2 2 2 6 2" xfId="23881" xr:uid="{00000000-0005-0000-0000-0000103F0000}"/>
    <cellStyle name="40% - Accent4 4 2 2 2 7" xfId="21401" xr:uid="{00000000-0005-0000-0000-0000113F0000}"/>
    <cellStyle name="40% - Accent4 4 2 2 3" xfId="4081" xr:uid="{00000000-0005-0000-0000-0000123F0000}"/>
    <cellStyle name="40% - Accent4 4 2 2 3 2" xfId="4082" xr:uid="{00000000-0005-0000-0000-0000133F0000}"/>
    <cellStyle name="40% - Accent4 4 2 2 3 2 2" xfId="15332" xr:uid="{00000000-0005-0000-0000-0000143F0000}"/>
    <cellStyle name="40% - Accent4 4 2 2 3 2 2 2" xfId="28881" xr:uid="{00000000-0005-0000-0000-0000153F0000}"/>
    <cellStyle name="40% - Accent4 4 2 2 3 2 3" xfId="23197" xr:uid="{00000000-0005-0000-0000-0000163F0000}"/>
    <cellStyle name="40% - Accent4 4 2 2 3 3" xfId="11132" xr:uid="{00000000-0005-0000-0000-0000173F0000}"/>
    <cellStyle name="40% - Accent4 4 2 2 3 3 2" xfId="25074" xr:uid="{00000000-0005-0000-0000-0000183F0000}"/>
    <cellStyle name="40% - Accent4 4 2 2 3 4" xfId="26876" xr:uid="{00000000-0005-0000-0000-0000193F0000}"/>
    <cellStyle name="40% - Accent4 4 2 2 4" xfId="4083" xr:uid="{00000000-0005-0000-0000-00001A3F0000}"/>
    <cellStyle name="40% - Accent4 4 2 2 4 2" xfId="12289" xr:uid="{00000000-0005-0000-0000-00001B3F0000}"/>
    <cellStyle name="40% - Accent4 4 2 2 4 2 2" xfId="26001" xr:uid="{00000000-0005-0000-0000-00001C3F0000}"/>
    <cellStyle name="40% - Accent4 4 2 2 4 3" xfId="23196" xr:uid="{00000000-0005-0000-0000-00001D3F0000}"/>
    <cellStyle name="40% - Accent4 4 2 2 5" xfId="4084" xr:uid="{00000000-0005-0000-0000-00001E3F0000}"/>
    <cellStyle name="40% - Accent4 4 2 2 5 2" xfId="12911" xr:uid="{00000000-0005-0000-0000-00001F3F0000}"/>
    <cellStyle name="40% - Accent4 4 2 2 5 2 2" xfId="26623" xr:uid="{00000000-0005-0000-0000-0000203F0000}"/>
    <cellStyle name="40% - Accent4 4 2 2 5 3" xfId="24314" xr:uid="{00000000-0005-0000-0000-0000213F0000}"/>
    <cellStyle name="40% - Accent4 4 2 2 6" xfId="4085" xr:uid="{00000000-0005-0000-0000-0000223F0000}"/>
    <cellStyle name="40% - Accent4 4 2 2 6 2" xfId="13853" xr:uid="{00000000-0005-0000-0000-0000233F0000}"/>
    <cellStyle name="40% - Accent4 4 2 2 6 2 2" xfId="27402" xr:uid="{00000000-0005-0000-0000-0000243F0000}"/>
    <cellStyle name="40% - Accent4 4 2 2 6 3" xfId="23195" xr:uid="{00000000-0005-0000-0000-0000253F0000}"/>
    <cellStyle name="40% - Accent4 4 2 2 7" xfId="4086" xr:uid="{00000000-0005-0000-0000-0000263F0000}"/>
    <cellStyle name="40% - Accent4 4 2 2 7 2" xfId="14434" xr:uid="{00000000-0005-0000-0000-0000273F0000}"/>
    <cellStyle name="40% - Accent4 4 2 2 7 2 2" xfId="27983" xr:uid="{00000000-0005-0000-0000-0000283F0000}"/>
    <cellStyle name="40% - Accent4 4 2 2 7 3" xfId="26874" xr:uid="{00000000-0005-0000-0000-0000293F0000}"/>
    <cellStyle name="40% - Accent4 4 2 2 8" xfId="4087" xr:uid="{00000000-0005-0000-0000-00002A3F0000}"/>
    <cellStyle name="40% - Accent4 4 2 2 8 2" xfId="15330" xr:uid="{00000000-0005-0000-0000-00002B3F0000}"/>
    <cellStyle name="40% - Accent4 4 2 2 8 2 2" xfId="28879" xr:uid="{00000000-0005-0000-0000-00002C3F0000}"/>
    <cellStyle name="40% - Accent4 4 2 2 8 3" xfId="23194" xr:uid="{00000000-0005-0000-0000-00002D3F0000}"/>
    <cellStyle name="40% - Accent4 4 2 2 9" xfId="4088" xr:uid="{00000000-0005-0000-0000-00002E3F0000}"/>
    <cellStyle name="40% - Accent4 4 2 2 9 2" xfId="16320" xr:uid="{00000000-0005-0000-0000-00002F3F0000}"/>
    <cellStyle name="40% - Accent4 4 2 2 9 2 2" xfId="29727" xr:uid="{00000000-0005-0000-0000-0000303F0000}"/>
    <cellStyle name="40% - Accent4 4 2 2 9 3" xfId="23193" xr:uid="{00000000-0005-0000-0000-0000313F0000}"/>
    <cellStyle name="40% - Accent4 4 2 3" xfId="4089" xr:uid="{00000000-0005-0000-0000-0000323F0000}"/>
    <cellStyle name="40% - Accent4 4 2 3 2" xfId="4090" xr:uid="{00000000-0005-0000-0000-0000333F0000}"/>
    <cellStyle name="40% - Accent4 4 2 3 2 2" xfId="11134" xr:uid="{00000000-0005-0000-0000-0000343F0000}"/>
    <cellStyle name="40% - Accent4 4 2 3 2 2 2" xfId="25076" xr:uid="{00000000-0005-0000-0000-0000353F0000}"/>
    <cellStyle name="40% - Accent4 4 2 3 2 3" xfId="23192" xr:uid="{00000000-0005-0000-0000-0000363F0000}"/>
    <cellStyle name="40% - Accent4 4 2 3 3" xfId="4091" xr:uid="{00000000-0005-0000-0000-0000373F0000}"/>
    <cellStyle name="40% - Accent4 4 2 3 3 2" xfId="12913" xr:uid="{00000000-0005-0000-0000-0000383F0000}"/>
    <cellStyle name="40% - Accent4 4 2 3 3 2 2" xfId="26625" xr:uid="{00000000-0005-0000-0000-0000393F0000}"/>
    <cellStyle name="40% - Accent4 4 2 3 3 3" xfId="23191" xr:uid="{00000000-0005-0000-0000-00003A3F0000}"/>
    <cellStyle name="40% - Accent4 4 2 3 4" xfId="4092" xr:uid="{00000000-0005-0000-0000-00003B3F0000}"/>
    <cellStyle name="40% - Accent4 4 2 3 4 2" xfId="15333" xr:uid="{00000000-0005-0000-0000-00003C3F0000}"/>
    <cellStyle name="40% - Accent4 4 2 3 4 2 2" xfId="28882" xr:uid="{00000000-0005-0000-0000-00003D3F0000}"/>
    <cellStyle name="40% - Accent4 4 2 3 4 3" xfId="30656" xr:uid="{00000000-0005-0000-0000-00003E3F0000}"/>
    <cellStyle name="40% - Accent4 4 2 3 5" xfId="4093" xr:uid="{00000000-0005-0000-0000-00003F3F0000}"/>
    <cellStyle name="40% - Accent4 4 2 3 5 2" xfId="16612" xr:uid="{00000000-0005-0000-0000-0000403F0000}"/>
    <cellStyle name="40% - Accent4 4 2 3 5 2 2" xfId="30019" xr:uid="{00000000-0005-0000-0000-0000413F0000}"/>
    <cellStyle name="40% - Accent4 4 2 3 5 3" xfId="24311" xr:uid="{00000000-0005-0000-0000-0000423F0000}"/>
    <cellStyle name="40% - Accent4 4 2 3 6" xfId="9407" xr:uid="{00000000-0005-0000-0000-0000433F0000}"/>
    <cellStyle name="40% - Accent4 4 2 3 6 2" xfId="23882" xr:uid="{00000000-0005-0000-0000-0000443F0000}"/>
    <cellStyle name="40% - Accent4 4 2 3 7" xfId="24313" xr:uid="{00000000-0005-0000-0000-0000453F0000}"/>
    <cellStyle name="40% - Accent4 4 2 4" xfId="4094" xr:uid="{00000000-0005-0000-0000-0000463F0000}"/>
    <cellStyle name="40% - Accent4 4 2 4 2" xfId="4095" xr:uid="{00000000-0005-0000-0000-0000473F0000}"/>
    <cellStyle name="40% - Accent4 4 2 4 2 2" xfId="15334" xr:uid="{00000000-0005-0000-0000-0000483F0000}"/>
    <cellStyle name="40% - Accent4 4 2 4 2 2 2" xfId="28883" xr:uid="{00000000-0005-0000-0000-0000493F0000}"/>
    <cellStyle name="40% - Accent4 4 2 4 2 3" xfId="24464" xr:uid="{00000000-0005-0000-0000-00004A3F0000}"/>
    <cellStyle name="40% - Accent4 4 2 4 3" xfId="11131" xr:uid="{00000000-0005-0000-0000-00004B3F0000}"/>
    <cellStyle name="40% - Accent4 4 2 4 3 2" xfId="25073" xr:uid="{00000000-0005-0000-0000-00004C3F0000}"/>
    <cellStyle name="40% - Accent4 4 2 4 4" xfId="23202" xr:uid="{00000000-0005-0000-0000-00004D3F0000}"/>
    <cellStyle name="40% - Accent4 4 2 5" xfId="4096" xr:uid="{00000000-0005-0000-0000-00004E3F0000}"/>
    <cellStyle name="40% - Accent4 4 2 5 2" xfId="11989" xr:uid="{00000000-0005-0000-0000-00004F3F0000}"/>
    <cellStyle name="40% - Accent4 4 2 5 2 2" xfId="25704" xr:uid="{00000000-0005-0000-0000-0000503F0000}"/>
    <cellStyle name="40% - Accent4 4 2 5 3" xfId="23240" xr:uid="{00000000-0005-0000-0000-0000513F0000}"/>
    <cellStyle name="40% - Accent4 4 2 6" xfId="4097" xr:uid="{00000000-0005-0000-0000-0000523F0000}"/>
    <cellStyle name="40% - Accent4 4 2 6 2" xfId="12910" xr:uid="{00000000-0005-0000-0000-0000533F0000}"/>
    <cellStyle name="40% - Accent4 4 2 6 2 2" xfId="26622" xr:uid="{00000000-0005-0000-0000-0000543F0000}"/>
    <cellStyle name="40% - Accent4 4 2 6 3" xfId="30685" xr:uid="{00000000-0005-0000-0000-0000553F0000}"/>
    <cellStyle name="40% - Accent4 4 2 7" xfId="4098" xr:uid="{00000000-0005-0000-0000-0000563F0000}"/>
    <cellStyle name="40% - Accent4 4 2 7 2" xfId="13564" xr:uid="{00000000-0005-0000-0000-0000573F0000}"/>
    <cellStyle name="40% - Accent4 4 2 7 2 2" xfId="27113" xr:uid="{00000000-0005-0000-0000-0000583F0000}"/>
    <cellStyle name="40% - Accent4 4 2 7 3" xfId="23190" xr:uid="{00000000-0005-0000-0000-0000593F0000}"/>
    <cellStyle name="40% - Accent4 4 2 8" xfId="4099" xr:uid="{00000000-0005-0000-0000-00005A3F0000}"/>
    <cellStyle name="40% - Accent4 4 2 8 2" xfId="14145" xr:uid="{00000000-0005-0000-0000-00005B3F0000}"/>
    <cellStyle name="40% - Accent4 4 2 8 2 2" xfId="27694" xr:uid="{00000000-0005-0000-0000-00005C3F0000}"/>
    <cellStyle name="40% - Accent4 4 2 8 3" xfId="23189" xr:uid="{00000000-0005-0000-0000-00005D3F0000}"/>
    <cellStyle name="40% - Accent4 4 2 9" xfId="4100" xr:uid="{00000000-0005-0000-0000-00005E3F0000}"/>
    <cellStyle name="40% - Accent4 4 2 9 2" xfId="15329" xr:uid="{00000000-0005-0000-0000-00005F3F0000}"/>
    <cellStyle name="40% - Accent4 4 2 9 2 2" xfId="28878" xr:uid="{00000000-0005-0000-0000-0000603F0000}"/>
    <cellStyle name="40% - Accent4 4 2 9 3" xfId="26873" xr:uid="{00000000-0005-0000-0000-0000613F0000}"/>
    <cellStyle name="40% - Accent4 4 3" xfId="4101" xr:uid="{00000000-0005-0000-0000-0000623F0000}"/>
    <cellStyle name="40% - Accent4 4 3 10" xfId="9408" xr:uid="{00000000-0005-0000-0000-0000633F0000}"/>
    <cellStyle name="40% - Accent4 4 3 10 2" xfId="23883" xr:uid="{00000000-0005-0000-0000-0000643F0000}"/>
    <cellStyle name="40% - Accent4 4 3 11" xfId="23188" xr:uid="{00000000-0005-0000-0000-0000653F0000}"/>
    <cellStyle name="40% - Accent4 4 3 2" xfId="4102" xr:uid="{00000000-0005-0000-0000-0000663F0000}"/>
    <cellStyle name="40% - Accent4 4 3 2 2" xfId="4103" xr:uid="{00000000-0005-0000-0000-0000673F0000}"/>
    <cellStyle name="40% - Accent4 4 3 2 2 2" xfId="11136" xr:uid="{00000000-0005-0000-0000-0000683F0000}"/>
    <cellStyle name="40% - Accent4 4 3 2 2 2 2" xfId="25078" xr:uid="{00000000-0005-0000-0000-0000693F0000}"/>
    <cellStyle name="40% - Accent4 4 3 2 2 3" xfId="23209" xr:uid="{00000000-0005-0000-0000-00006A3F0000}"/>
    <cellStyle name="40% - Accent4 4 3 2 3" xfId="4104" xr:uid="{00000000-0005-0000-0000-00006B3F0000}"/>
    <cellStyle name="40% - Accent4 4 3 2 3 2" xfId="12915" xr:uid="{00000000-0005-0000-0000-00006C3F0000}"/>
    <cellStyle name="40% - Accent4 4 3 2 3 2 2" xfId="26627" xr:uid="{00000000-0005-0000-0000-00006D3F0000}"/>
    <cellStyle name="40% - Accent4 4 3 2 3 3" xfId="23186" xr:uid="{00000000-0005-0000-0000-00006E3F0000}"/>
    <cellStyle name="40% - Accent4 4 3 2 4" xfId="4105" xr:uid="{00000000-0005-0000-0000-00006F3F0000}"/>
    <cellStyle name="40% - Accent4 4 3 2 4 2" xfId="15336" xr:uid="{00000000-0005-0000-0000-0000703F0000}"/>
    <cellStyle name="40% - Accent4 4 3 2 4 2 2" xfId="28885" xr:uid="{00000000-0005-0000-0000-0000713F0000}"/>
    <cellStyle name="40% - Accent4 4 3 2 4 3" xfId="26872" xr:uid="{00000000-0005-0000-0000-0000723F0000}"/>
    <cellStyle name="40% - Accent4 4 3 2 5" xfId="4106" xr:uid="{00000000-0005-0000-0000-0000733F0000}"/>
    <cellStyle name="40% - Accent4 4 3 2 5 2" xfId="16761" xr:uid="{00000000-0005-0000-0000-0000743F0000}"/>
    <cellStyle name="40% - Accent4 4 3 2 5 2 2" xfId="30168" xr:uid="{00000000-0005-0000-0000-0000753F0000}"/>
    <cellStyle name="40% - Accent4 4 3 2 5 3" xfId="23185" xr:uid="{00000000-0005-0000-0000-0000763F0000}"/>
    <cellStyle name="40% - Accent4 4 3 2 6" xfId="9409" xr:uid="{00000000-0005-0000-0000-0000773F0000}"/>
    <cellStyle name="40% - Accent4 4 3 2 6 2" xfId="23884" xr:uid="{00000000-0005-0000-0000-0000783F0000}"/>
    <cellStyle name="40% - Accent4 4 3 2 7" xfId="23187" xr:uid="{00000000-0005-0000-0000-0000793F0000}"/>
    <cellStyle name="40% - Accent4 4 3 3" xfId="4107" xr:uid="{00000000-0005-0000-0000-00007A3F0000}"/>
    <cellStyle name="40% - Accent4 4 3 3 2" xfId="4108" xr:uid="{00000000-0005-0000-0000-00007B3F0000}"/>
    <cellStyle name="40% - Accent4 4 3 3 2 2" xfId="15337" xr:uid="{00000000-0005-0000-0000-00007C3F0000}"/>
    <cellStyle name="40% - Accent4 4 3 3 2 2 2" xfId="28886" xr:uid="{00000000-0005-0000-0000-00007D3F0000}"/>
    <cellStyle name="40% - Accent4 4 3 3 2 3" xfId="23184" xr:uid="{00000000-0005-0000-0000-00007E3F0000}"/>
    <cellStyle name="40% - Accent4 4 3 3 3" xfId="11135" xr:uid="{00000000-0005-0000-0000-00007F3F0000}"/>
    <cellStyle name="40% - Accent4 4 3 3 3 2" xfId="25077" xr:uid="{00000000-0005-0000-0000-0000803F0000}"/>
    <cellStyle name="40% - Accent4 4 3 3 4" xfId="24312" xr:uid="{00000000-0005-0000-0000-0000813F0000}"/>
    <cellStyle name="40% - Accent4 4 3 4" xfId="4109" xr:uid="{00000000-0005-0000-0000-0000823F0000}"/>
    <cellStyle name="40% - Accent4 4 3 4 2" xfId="12149" xr:uid="{00000000-0005-0000-0000-0000833F0000}"/>
    <cellStyle name="40% - Accent4 4 3 4 2 2" xfId="25861" xr:uid="{00000000-0005-0000-0000-0000843F0000}"/>
    <cellStyle name="40% - Accent4 4 3 4 3" xfId="23183" xr:uid="{00000000-0005-0000-0000-0000853F0000}"/>
    <cellStyle name="40% - Accent4 4 3 5" xfId="4110" xr:uid="{00000000-0005-0000-0000-0000863F0000}"/>
    <cellStyle name="40% - Accent4 4 3 5 2" xfId="12914" xr:uid="{00000000-0005-0000-0000-0000873F0000}"/>
    <cellStyle name="40% - Accent4 4 3 5 2 2" xfId="26626" xr:uid="{00000000-0005-0000-0000-0000883F0000}"/>
    <cellStyle name="40% - Accent4 4 3 5 3" xfId="23182" xr:uid="{00000000-0005-0000-0000-0000893F0000}"/>
    <cellStyle name="40% - Accent4 4 3 6" xfId="4111" xr:uid="{00000000-0005-0000-0000-00008A3F0000}"/>
    <cellStyle name="40% - Accent4 4 3 6 2" xfId="13713" xr:uid="{00000000-0005-0000-0000-00008B3F0000}"/>
    <cellStyle name="40% - Accent4 4 3 6 2 2" xfId="27262" xr:uid="{00000000-0005-0000-0000-00008C3F0000}"/>
    <cellStyle name="40% - Accent4 4 3 6 3" xfId="26871" xr:uid="{00000000-0005-0000-0000-00008D3F0000}"/>
    <cellStyle name="40% - Accent4 4 3 7" xfId="4112" xr:uid="{00000000-0005-0000-0000-00008E3F0000}"/>
    <cellStyle name="40% - Accent4 4 3 7 2" xfId="14294" xr:uid="{00000000-0005-0000-0000-00008F3F0000}"/>
    <cellStyle name="40% - Accent4 4 3 7 2 2" xfId="27843" xr:uid="{00000000-0005-0000-0000-0000903F0000}"/>
    <cellStyle name="40% - Accent4 4 3 7 3" xfId="23181" xr:uid="{00000000-0005-0000-0000-0000913F0000}"/>
    <cellStyle name="40% - Accent4 4 3 8" xfId="4113" xr:uid="{00000000-0005-0000-0000-0000923F0000}"/>
    <cellStyle name="40% - Accent4 4 3 8 2" xfId="15335" xr:uid="{00000000-0005-0000-0000-0000933F0000}"/>
    <cellStyle name="40% - Accent4 4 3 8 2 2" xfId="28884" xr:uid="{00000000-0005-0000-0000-0000943F0000}"/>
    <cellStyle name="40% - Accent4 4 3 8 3" xfId="24309" xr:uid="{00000000-0005-0000-0000-0000953F0000}"/>
    <cellStyle name="40% - Accent4 4 3 9" xfId="4114" xr:uid="{00000000-0005-0000-0000-0000963F0000}"/>
    <cellStyle name="40% - Accent4 4 3 9 2" xfId="16180" xr:uid="{00000000-0005-0000-0000-0000973F0000}"/>
    <cellStyle name="40% - Accent4 4 3 9 2 2" xfId="29587" xr:uid="{00000000-0005-0000-0000-0000983F0000}"/>
    <cellStyle name="40% - Accent4 4 3 9 3" xfId="26870" xr:uid="{00000000-0005-0000-0000-0000993F0000}"/>
    <cellStyle name="40% - Accent4 4 4" xfId="4115" xr:uid="{00000000-0005-0000-0000-00009A3F0000}"/>
    <cellStyle name="40% - Accent4 4 4 2" xfId="4116" xr:uid="{00000000-0005-0000-0000-00009B3F0000}"/>
    <cellStyle name="40% - Accent4 4 4 2 2" xfId="11137" xr:uid="{00000000-0005-0000-0000-00009C3F0000}"/>
    <cellStyle name="40% - Accent4 4 4 2 2 2" xfId="25079" xr:uid="{00000000-0005-0000-0000-00009D3F0000}"/>
    <cellStyle name="40% - Accent4 4 4 2 3" xfId="24310" xr:uid="{00000000-0005-0000-0000-00009E3F0000}"/>
    <cellStyle name="40% - Accent4 4 4 3" xfId="4117" xr:uid="{00000000-0005-0000-0000-00009F3F0000}"/>
    <cellStyle name="40% - Accent4 4 4 3 2" xfId="12916" xr:uid="{00000000-0005-0000-0000-0000A03F0000}"/>
    <cellStyle name="40% - Accent4 4 4 3 2 2" xfId="26628" xr:uid="{00000000-0005-0000-0000-0000A13F0000}"/>
    <cellStyle name="40% - Accent4 4 4 3 3" xfId="23179" xr:uid="{00000000-0005-0000-0000-0000A23F0000}"/>
    <cellStyle name="40% - Accent4 4 4 4" xfId="4118" xr:uid="{00000000-0005-0000-0000-0000A33F0000}"/>
    <cellStyle name="40% - Accent4 4 4 4 2" xfId="15338" xr:uid="{00000000-0005-0000-0000-0000A43F0000}"/>
    <cellStyle name="40% - Accent4 4 4 4 2 2" xfId="28887" xr:uid="{00000000-0005-0000-0000-0000A53F0000}"/>
    <cellStyle name="40% - Accent4 4 4 4 3" xfId="23178" xr:uid="{00000000-0005-0000-0000-0000A63F0000}"/>
    <cellStyle name="40% - Accent4 4 4 5" xfId="4119" xr:uid="{00000000-0005-0000-0000-0000A73F0000}"/>
    <cellStyle name="40% - Accent4 4 4 5 2" xfId="16469" xr:uid="{00000000-0005-0000-0000-0000A83F0000}"/>
    <cellStyle name="40% - Accent4 4 4 5 2 2" xfId="29876" xr:uid="{00000000-0005-0000-0000-0000A93F0000}"/>
    <cellStyle name="40% - Accent4 4 4 5 3" xfId="24308" xr:uid="{00000000-0005-0000-0000-0000AA3F0000}"/>
    <cellStyle name="40% - Accent4 4 4 6" xfId="9410" xr:uid="{00000000-0005-0000-0000-0000AB3F0000}"/>
    <cellStyle name="40% - Accent4 4 4 6 2" xfId="23885" xr:uid="{00000000-0005-0000-0000-0000AC3F0000}"/>
    <cellStyle name="40% - Accent4 4 4 7" xfId="23180" xr:uid="{00000000-0005-0000-0000-0000AD3F0000}"/>
    <cellStyle name="40% - Accent4 4 5" xfId="4120" xr:uid="{00000000-0005-0000-0000-0000AE3F0000}"/>
    <cellStyle name="40% - Accent4 4 5 2" xfId="4121" xr:uid="{00000000-0005-0000-0000-0000AF3F0000}"/>
    <cellStyle name="40% - Accent4 4 5 2 2" xfId="15339" xr:uid="{00000000-0005-0000-0000-0000B03F0000}"/>
    <cellStyle name="40% - Accent4 4 5 2 2 2" xfId="28888" xr:uid="{00000000-0005-0000-0000-0000B13F0000}"/>
    <cellStyle name="40% - Accent4 4 5 2 3" xfId="23205" xr:uid="{00000000-0005-0000-0000-0000B23F0000}"/>
    <cellStyle name="40% - Accent4 4 5 3" xfId="11130" xr:uid="{00000000-0005-0000-0000-0000B33F0000}"/>
    <cellStyle name="40% - Accent4 4 5 3 2" xfId="25072" xr:uid="{00000000-0005-0000-0000-0000B43F0000}"/>
    <cellStyle name="40% - Accent4 4 5 4" xfId="23177" xr:uid="{00000000-0005-0000-0000-0000B53F0000}"/>
    <cellStyle name="40% - Accent4 4 6" xfId="4122" xr:uid="{00000000-0005-0000-0000-0000B63F0000}"/>
    <cellStyle name="40% - Accent4 4 6 2" xfId="11820" xr:uid="{00000000-0005-0000-0000-0000B73F0000}"/>
    <cellStyle name="40% - Accent4 4 6 2 2" xfId="25535" xr:uid="{00000000-0005-0000-0000-0000B83F0000}"/>
    <cellStyle name="40% - Accent4 4 6 3" xfId="24307" xr:uid="{00000000-0005-0000-0000-0000B93F0000}"/>
    <cellStyle name="40% - Accent4 4 7" xfId="4123" xr:uid="{00000000-0005-0000-0000-0000BA3F0000}"/>
    <cellStyle name="40% - Accent4 4 7 2" xfId="12909" xr:uid="{00000000-0005-0000-0000-0000BB3F0000}"/>
    <cellStyle name="40% - Accent4 4 7 2 2" xfId="26621" xr:uid="{00000000-0005-0000-0000-0000BC3F0000}"/>
    <cellStyle name="40% - Accent4 4 7 3" xfId="30654" xr:uid="{00000000-0005-0000-0000-0000BD3F0000}"/>
    <cellStyle name="40% - Accent4 4 8" xfId="4124" xr:uid="{00000000-0005-0000-0000-0000BE3F0000}"/>
    <cellStyle name="40% - Accent4 4 8 2" xfId="13421" xr:uid="{00000000-0005-0000-0000-0000BF3F0000}"/>
    <cellStyle name="40% - Accent4 4 8 2 2" xfId="26970" xr:uid="{00000000-0005-0000-0000-0000C03F0000}"/>
    <cellStyle name="40% - Accent4 4 8 3" xfId="30684" xr:uid="{00000000-0005-0000-0000-0000C13F0000}"/>
    <cellStyle name="40% - Accent4 4 9" xfId="4125" xr:uid="{00000000-0005-0000-0000-0000C23F0000}"/>
    <cellStyle name="40% - Accent4 4 9 2" xfId="14002" xr:uid="{00000000-0005-0000-0000-0000C33F0000}"/>
    <cellStyle name="40% - Accent4 4 9 2 2" xfId="27551" xr:uid="{00000000-0005-0000-0000-0000C43F0000}"/>
    <cellStyle name="40% - Accent4 4 9 3" xfId="23239" xr:uid="{00000000-0005-0000-0000-0000C53F0000}"/>
    <cellStyle name="40% - Accent4 5" xfId="4126" xr:uid="{00000000-0005-0000-0000-0000C63F0000}"/>
    <cellStyle name="40% - Accent4 5 10" xfId="4127" xr:uid="{00000000-0005-0000-0000-0000C73F0000}"/>
    <cellStyle name="40% - Accent4 5 10 2" xfId="15340" xr:uid="{00000000-0005-0000-0000-0000C83F0000}"/>
    <cellStyle name="40% - Accent4 5 10 2 2" xfId="28889" xr:uid="{00000000-0005-0000-0000-0000C93F0000}"/>
    <cellStyle name="40% - Accent4 5 10 3" xfId="23207" xr:uid="{00000000-0005-0000-0000-0000CA3F0000}"/>
    <cellStyle name="40% - Accent4 5 11" xfId="4128" xr:uid="{00000000-0005-0000-0000-0000CB3F0000}"/>
    <cellStyle name="40% - Accent4 5 11 2" xfId="15871" xr:uid="{00000000-0005-0000-0000-0000CC3F0000}"/>
    <cellStyle name="40% - Accent4 5 11 2 2" xfId="29278" xr:uid="{00000000-0005-0000-0000-0000CD3F0000}"/>
    <cellStyle name="40% - Accent4 5 11 3" xfId="30431" xr:uid="{00000000-0005-0000-0000-0000CE3F0000}"/>
    <cellStyle name="40% - Accent4 5 12" xfId="9411" xr:uid="{00000000-0005-0000-0000-0000CF3F0000}"/>
    <cellStyle name="40% - Accent4 5 12 2" xfId="23886" xr:uid="{00000000-0005-0000-0000-0000D03F0000}"/>
    <cellStyle name="40% - Accent4 5 13" xfId="23176" xr:uid="{00000000-0005-0000-0000-0000D13F0000}"/>
    <cellStyle name="40% - Accent4 5 2" xfId="4129" xr:uid="{00000000-0005-0000-0000-0000D23F0000}"/>
    <cellStyle name="40% - Accent4 5 2 10" xfId="4130" xr:uid="{00000000-0005-0000-0000-0000D33F0000}"/>
    <cellStyle name="40% - Accent4 5 2 10 2" xfId="16014" xr:uid="{00000000-0005-0000-0000-0000D43F0000}"/>
    <cellStyle name="40% - Accent4 5 2 10 2 2" xfId="29421" xr:uid="{00000000-0005-0000-0000-0000D53F0000}"/>
    <cellStyle name="40% - Accent4 5 2 10 3" xfId="23174" xr:uid="{00000000-0005-0000-0000-0000D63F0000}"/>
    <cellStyle name="40% - Accent4 5 2 11" xfId="9412" xr:uid="{00000000-0005-0000-0000-0000D73F0000}"/>
    <cellStyle name="40% - Accent4 5 2 11 2" xfId="23887" xr:uid="{00000000-0005-0000-0000-0000D83F0000}"/>
    <cellStyle name="40% - Accent4 5 2 12" xfId="23175" xr:uid="{00000000-0005-0000-0000-0000D93F0000}"/>
    <cellStyle name="40% - Accent4 5 2 2" xfId="4131" xr:uid="{00000000-0005-0000-0000-0000DA3F0000}"/>
    <cellStyle name="40% - Accent4 5 2 2 10" xfId="9413" xr:uid="{00000000-0005-0000-0000-0000DB3F0000}"/>
    <cellStyle name="40% - Accent4 5 2 2 10 2" xfId="23888" xr:uid="{00000000-0005-0000-0000-0000DC3F0000}"/>
    <cellStyle name="40% - Accent4 5 2 2 11" xfId="23173" xr:uid="{00000000-0005-0000-0000-0000DD3F0000}"/>
    <cellStyle name="40% - Accent4 5 2 2 2" xfId="4132" xr:uid="{00000000-0005-0000-0000-0000DE3F0000}"/>
    <cellStyle name="40% - Accent4 5 2 2 2 2" xfId="4133" xr:uid="{00000000-0005-0000-0000-0000DF3F0000}"/>
    <cellStyle name="40% - Accent4 5 2 2 2 2 2" xfId="11141" xr:uid="{00000000-0005-0000-0000-0000E03F0000}"/>
    <cellStyle name="40% - Accent4 5 2 2 2 2 2 2" xfId="25083" xr:uid="{00000000-0005-0000-0000-0000E13F0000}"/>
    <cellStyle name="40% - Accent4 5 2 2 2 2 3" xfId="26869" xr:uid="{00000000-0005-0000-0000-0000E23F0000}"/>
    <cellStyle name="40% - Accent4 5 2 2 2 3" xfId="4134" xr:uid="{00000000-0005-0000-0000-0000E33F0000}"/>
    <cellStyle name="40% - Accent4 5 2 2 2 3 2" xfId="12920" xr:uid="{00000000-0005-0000-0000-0000E43F0000}"/>
    <cellStyle name="40% - Accent4 5 2 2 2 3 2 2" xfId="26632" xr:uid="{00000000-0005-0000-0000-0000E53F0000}"/>
    <cellStyle name="40% - Accent4 5 2 2 2 3 3" xfId="23172" xr:uid="{00000000-0005-0000-0000-0000E63F0000}"/>
    <cellStyle name="40% - Accent4 5 2 2 2 4" xfId="4135" xr:uid="{00000000-0005-0000-0000-0000E73F0000}"/>
    <cellStyle name="40% - Accent4 5 2 2 2 4 2" xfId="15343" xr:uid="{00000000-0005-0000-0000-0000E83F0000}"/>
    <cellStyle name="40% - Accent4 5 2 2 2 4 2 2" xfId="28892" xr:uid="{00000000-0005-0000-0000-0000E93F0000}"/>
    <cellStyle name="40% - Accent4 5 2 2 2 4 3" xfId="25297" xr:uid="{00000000-0005-0000-0000-0000EA3F0000}"/>
    <cellStyle name="40% - Accent4 5 2 2 2 5" xfId="4136" xr:uid="{00000000-0005-0000-0000-0000EB3F0000}"/>
    <cellStyle name="40% - Accent4 5 2 2 2 5 2" xfId="16884" xr:uid="{00000000-0005-0000-0000-0000EC3F0000}"/>
    <cellStyle name="40% - Accent4 5 2 2 2 5 2 2" xfId="30291" xr:uid="{00000000-0005-0000-0000-0000ED3F0000}"/>
    <cellStyle name="40% - Accent4 5 2 2 2 5 3" xfId="23171" xr:uid="{00000000-0005-0000-0000-0000EE3F0000}"/>
    <cellStyle name="40% - Accent4 5 2 2 2 6" xfId="9414" xr:uid="{00000000-0005-0000-0000-0000EF3F0000}"/>
    <cellStyle name="40% - Accent4 5 2 2 2 6 2" xfId="23889" xr:uid="{00000000-0005-0000-0000-0000F03F0000}"/>
    <cellStyle name="40% - Accent4 5 2 2 2 7" xfId="24305" xr:uid="{00000000-0005-0000-0000-0000F13F0000}"/>
    <cellStyle name="40% - Accent4 5 2 2 3" xfId="4137" xr:uid="{00000000-0005-0000-0000-0000F23F0000}"/>
    <cellStyle name="40% - Accent4 5 2 2 3 2" xfId="4138" xr:uid="{00000000-0005-0000-0000-0000F33F0000}"/>
    <cellStyle name="40% - Accent4 5 2 2 3 2 2" xfId="15344" xr:uid="{00000000-0005-0000-0000-0000F43F0000}"/>
    <cellStyle name="40% - Accent4 5 2 2 3 2 2 2" xfId="28893" xr:uid="{00000000-0005-0000-0000-0000F53F0000}"/>
    <cellStyle name="40% - Accent4 5 2 2 3 2 3" xfId="25298" xr:uid="{00000000-0005-0000-0000-0000F63F0000}"/>
    <cellStyle name="40% - Accent4 5 2 2 3 3" xfId="11140" xr:uid="{00000000-0005-0000-0000-0000F73F0000}"/>
    <cellStyle name="40% - Accent4 5 2 2 3 3 2" xfId="25082" xr:uid="{00000000-0005-0000-0000-0000F83F0000}"/>
    <cellStyle name="40% - Accent4 5 2 2 3 4" xfId="24306" xr:uid="{00000000-0005-0000-0000-0000F93F0000}"/>
    <cellStyle name="40% - Accent4 5 2 2 4" xfId="4139" xr:uid="{00000000-0005-0000-0000-0000FA3F0000}"/>
    <cellStyle name="40% - Accent4 5 2 2 4 2" xfId="12272" xr:uid="{00000000-0005-0000-0000-0000FB3F0000}"/>
    <cellStyle name="40% - Accent4 5 2 2 4 2 2" xfId="25984" xr:uid="{00000000-0005-0000-0000-0000FC3F0000}"/>
    <cellStyle name="40% - Accent4 5 2 2 4 3" xfId="23170" xr:uid="{00000000-0005-0000-0000-0000FD3F0000}"/>
    <cellStyle name="40% - Accent4 5 2 2 5" xfId="4140" xr:uid="{00000000-0005-0000-0000-0000FE3F0000}"/>
    <cellStyle name="40% - Accent4 5 2 2 5 2" xfId="12919" xr:uid="{00000000-0005-0000-0000-0000FF3F0000}"/>
    <cellStyle name="40% - Accent4 5 2 2 5 2 2" xfId="26631" xr:uid="{00000000-0005-0000-0000-000000400000}"/>
    <cellStyle name="40% - Accent4 5 2 2 5 3" xfId="23169" xr:uid="{00000000-0005-0000-0000-000001400000}"/>
    <cellStyle name="40% - Accent4 5 2 2 6" xfId="4141" xr:uid="{00000000-0005-0000-0000-000002400000}"/>
    <cellStyle name="40% - Accent4 5 2 2 6 2" xfId="13836" xr:uid="{00000000-0005-0000-0000-000003400000}"/>
    <cellStyle name="40% - Accent4 5 2 2 6 2 2" xfId="27385" xr:uid="{00000000-0005-0000-0000-000004400000}"/>
    <cellStyle name="40% - Accent4 5 2 2 6 3" xfId="23168" xr:uid="{00000000-0005-0000-0000-000005400000}"/>
    <cellStyle name="40% - Accent4 5 2 2 7" xfId="4142" xr:uid="{00000000-0005-0000-0000-000006400000}"/>
    <cellStyle name="40% - Accent4 5 2 2 7 2" xfId="14417" xr:uid="{00000000-0005-0000-0000-000007400000}"/>
    <cellStyle name="40% - Accent4 5 2 2 7 2 2" xfId="27966" xr:uid="{00000000-0005-0000-0000-000008400000}"/>
    <cellStyle name="40% - Accent4 5 2 2 7 3" xfId="24303" xr:uid="{00000000-0005-0000-0000-000009400000}"/>
    <cellStyle name="40% - Accent4 5 2 2 8" xfId="4143" xr:uid="{00000000-0005-0000-0000-00000A400000}"/>
    <cellStyle name="40% - Accent4 5 2 2 8 2" xfId="15342" xr:uid="{00000000-0005-0000-0000-00000B400000}"/>
    <cellStyle name="40% - Accent4 5 2 2 8 2 2" xfId="28891" xr:uid="{00000000-0005-0000-0000-00000C400000}"/>
    <cellStyle name="40% - Accent4 5 2 2 8 3" xfId="26868" xr:uid="{00000000-0005-0000-0000-00000D400000}"/>
    <cellStyle name="40% - Accent4 5 2 2 9" xfId="4144" xr:uid="{00000000-0005-0000-0000-00000E400000}"/>
    <cellStyle name="40% - Accent4 5 2 2 9 2" xfId="16303" xr:uid="{00000000-0005-0000-0000-00000F400000}"/>
    <cellStyle name="40% - Accent4 5 2 2 9 2 2" xfId="29710" xr:uid="{00000000-0005-0000-0000-000010400000}"/>
    <cellStyle name="40% - Accent4 5 2 2 9 3" xfId="23167" xr:uid="{00000000-0005-0000-0000-000011400000}"/>
    <cellStyle name="40% - Accent4 5 2 3" xfId="4145" xr:uid="{00000000-0005-0000-0000-000012400000}"/>
    <cellStyle name="40% - Accent4 5 2 3 2" xfId="4146" xr:uid="{00000000-0005-0000-0000-000013400000}"/>
    <cellStyle name="40% - Accent4 5 2 3 2 2" xfId="11142" xr:uid="{00000000-0005-0000-0000-000014400000}"/>
    <cellStyle name="40% - Accent4 5 2 3 2 2 2" xfId="25084" xr:uid="{00000000-0005-0000-0000-000015400000}"/>
    <cellStyle name="40% - Accent4 5 2 3 2 3" xfId="23166" xr:uid="{00000000-0005-0000-0000-000016400000}"/>
    <cellStyle name="40% - Accent4 5 2 3 3" xfId="4147" xr:uid="{00000000-0005-0000-0000-000017400000}"/>
    <cellStyle name="40% - Accent4 5 2 3 3 2" xfId="12921" xr:uid="{00000000-0005-0000-0000-000018400000}"/>
    <cellStyle name="40% - Accent4 5 2 3 3 2 2" xfId="26633" xr:uid="{00000000-0005-0000-0000-000019400000}"/>
    <cellStyle name="40% - Accent4 5 2 3 3 3" xfId="23165" xr:uid="{00000000-0005-0000-0000-00001A400000}"/>
    <cellStyle name="40% - Accent4 5 2 3 4" xfId="4148" xr:uid="{00000000-0005-0000-0000-00001B400000}"/>
    <cellStyle name="40% - Accent4 5 2 3 4 2" xfId="15345" xr:uid="{00000000-0005-0000-0000-00001C400000}"/>
    <cellStyle name="40% - Accent4 5 2 3 4 2 2" xfId="28894" xr:uid="{00000000-0005-0000-0000-00001D400000}"/>
    <cellStyle name="40% - Accent4 5 2 3 4 3" xfId="24302" xr:uid="{00000000-0005-0000-0000-00001E400000}"/>
    <cellStyle name="40% - Accent4 5 2 3 5" xfId="4149" xr:uid="{00000000-0005-0000-0000-00001F400000}"/>
    <cellStyle name="40% - Accent4 5 2 3 5 2" xfId="16595" xr:uid="{00000000-0005-0000-0000-000020400000}"/>
    <cellStyle name="40% - Accent4 5 2 3 5 2 2" xfId="30002" xr:uid="{00000000-0005-0000-0000-000021400000}"/>
    <cellStyle name="40% - Accent4 5 2 3 5 3" xfId="23164" xr:uid="{00000000-0005-0000-0000-000022400000}"/>
    <cellStyle name="40% - Accent4 5 2 3 6" xfId="9415" xr:uid="{00000000-0005-0000-0000-000023400000}"/>
    <cellStyle name="40% - Accent4 5 2 3 6 2" xfId="23890" xr:uid="{00000000-0005-0000-0000-000024400000}"/>
    <cellStyle name="40% - Accent4 5 2 3 7" xfId="24304" xr:uid="{00000000-0005-0000-0000-000025400000}"/>
    <cellStyle name="40% - Accent4 5 2 4" xfId="4150" xr:uid="{00000000-0005-0000-0000-000026400000}"/>
    <cellStyle name="40% - Accent4 5 2 4 2" xfId="4151" xr:uid="{00000000-0005-0000-0000-000027400000}"/>
    <cellStyle name="40% - Accent4 5 2 4 2 2" xfId="15346" xr:uid="{00000000-0005-0000-0000-000028400000}"/>
    <cellStyle name="40% - Accent4 5 2 4 2 2 2" xfId="28895" xr:uid="{00000000-0005-0000-0000-000029400000}"/>
    <cellStyle name="40% - Accent4 5 2 4 2 3" xfId="24301" xr:uid="{00000000-0005-0000-0000-00002A400000}"/>
    <cellStyle name="40% - Accent4 5 2 4 3" xfId="11139" xr:uid="{00000000-0005-0000-0000-00002B400000}"/>
    <cellStyle name="40% - Accent4 5 2 4 3 2" xfId="25081" xr:uid="{00000000-0005-0000-0000-00002C400000}"/>
    <cellStyle name="40% - Accent4 5 2 4 4" xfId="23163" xr:uid="{00000000-0005-0000-0000-00002D400000}"/>
    <cellStyle name="40% - Accent4 5 2 5" xfId="4152" xr:uid="{00000000-0005-0000-0000-00002E400000}"/>
    <cellStyle name="40% - Accent4 5 2 5 2" xfId="11972" xr:uid="{00000000-0005-0000-0000-00002F400000}"/>
    <cellStyle name="40% - Accent4 5 2 5 2 2" xfId="25687" xr:uid="{00000000-0005-0000-0000-000030400000}"/>
    <cellStyle name="40% - Accent4 5 2 5 3" xfId="23162" xr:uid="{00000000-0005-0000-0000-000031400000}"/>
    <cellStyle name="40% - Accent4 5 2 6" xfId="4153" xr:uid="{00000000-0005-0000-0000-000032400000}"/>
    <cellStyle name="40% - Accent4 5 2 6 2" xfId="12918" xr:uid="{00000000-0005-0000-0000-000033400000}"/>
    <cellStyle name="40% - Accent4 5 2 6 2 2" xfId="26630" xr:uid="{00000000-0005-0000-0000-000034400000}"/>
    <cellStyle name="40% - Accent4 5 2 6 3" xfId="23161" xr:uid="{00000000-0005-0000-0000-000035400000}"/>
    <cellStyle name="40% - Accent4 5 2 7" xfId="4154" xr:uid="{00000000-0005-0000-0000-000036400000}"/>
    <cellStyle name="40% - Accent4 5 2 7 2" xfId="13547" xr:uid="{00000000-0005-0000-0000-000037400000}"/>
    <cellStyle name="40% - Accent4 5 2 7 2 2" xfId="27096" xr:uid="{00000000-0005-0000-0000-000038400000}"/>
    <cellStyle name="40% - Accent4 5 2 7 3" xfId="23238" xr:uid="{00000000-0005-0000-0000-000039400000}"/>
    <cellStyle name="40% - Accent4 5 2 8" xfId="4155" xr:uid="{00000000-0005-0000-0000-00003A400000}"/>
    <cellStyle name="40% - Accent4 5 2 8 2" xfId="14128" xr:uid="{00000000-0005-0000-0000-00003B400000}"/>
    <cellStyle name="40% - Accent4 5 2 8 2 2" xfId="27677" xr:uid="{00000000-0005-0000-0000-00003C400000}"/>
    <cellStyle name="40% - Accent4 5 2 8 3" xfId="30683" xr:uid="{00000000-0005-0000-0000-00003D400000}"/>
    <cellStyle name="40% - Accent4 5 2 9" xfId="4156" xr:uid="{00000000-0005-0000-0000-00003E400000}"/>
    <cellStyle name="40% - Accent4 5 2 9 2" xfId="15341" xr:uid="{00000000-0005-0000-0000-00003F400000}"/>
    <cellStyle name="40% - Accent4 5 2 9 2 2" xfId="28890" xr:uid="{00000000-0005-0000-0000-000040400000}"/>
    <cellStyle name="40% - Accent4 5 2 9 3" xfId="23160" xr:uid="{00000000-0005-0000-0000-000041400000}"/>
    <cellStyle name="40% - Accent4 5 3" xfId="4157" xr:uid="{00000000-0005-0000-0000-000042400000}"/>
    <cellStyle name="40% - Accent4 5 3 10" xfId="9416" xr:uid="{00000000-0005-0000-0000-000043400000}"/>
    <cellStyle name="40% - Accent4 5 3 10 2" xfId="23891" xr:uid="{00000000-0005-0000-0000-000044400000}"/>
    <cellStyle name="40% - Accent4 5 3 11" xfId="23159" xr:uid="{00000000-0005-0000-0000-000045400000}"/>
    <cellStyle name="40% - Accent4 5 3 2" xfId="4158" xr:uid="{00000000-0005-0000-0000-000046400000}"/>
    <cellStyle name="40% - Accent4 5 3 2 2" xfId="4159" xr:uid="{00000000-0005-0000-0000-000047400000}"/>
    <cellStyle name="40% - Accent4 5 3 2 2 2" xfId="11144" xr:uid="{00000000-0005-0000-0000-000048400000}"/>
    <cellStyle name="40% - Accent4 5 3 2 2 2 2" xfId="25086" xr:uid="{00000000-0005-0000-0000-000049400000}"/>
    <cellStyle name="40% - Accent4 5 3 2 2 3" xfId="23206" xr:uid="{00000000-0005-0000-0000-00004A400000}"/>
    <cellStyle name="40% - Accent4 5 3 2 3" xfId="4160" xr:uid="{00000000-0005-0000-0000-00004B400000}"/>
    <cellStyle name="40% - Accent4 5 3 2 3 2" xfId="12923" xr:uid="{00000000-0005-0000-0000-00004C400000}"/>
    <cellStyle name="40% - Accent4 5 3 2 3 2 2" xfId="26635" xr:uid="{00000000-0005-0000-0000-00004D400000}"/>
    <cellStyle name="40% - Accent4 5 3 2 3 3" xfId="24299" xr:uid="{00000000-0005-0000-0000-00004E400000}"/>
    <cellStyle name="40% - Accent4 5 3 2 4" xfId="4161" xr:uid="{00000000-0005-0000-0000-00004F400000}"/>
    <cellStyle name="40% - Accent4 5 3 2 4 2" xfId="15348" xr:uid="{00000000-0005-0000-0000-000050400000}"/>
    <cellStyle name="40% - Accent4 5 3 2 4 2 2" xfId="28897" xr:uid="{00000000-0005-0000-0000-000051400000}"/>
    <cellStyle name="40% - Accent4 5 3 2 4 3" xfId="23157" xr:uid="{00000000-0005-0000-0000-000052400000}"/>
    <cellStyle name="40% - Accent4 5 3 2 5" xfId="4162" xr:uid="{00000000-0005-0000-0000-000053400000}"/>
    <cellStyle name="40% - Accent4 5 3 2 5 2" xfId="16744" xr:uid="{00000000-0005-0000-0000-000054400000}"/>
    <cellStyle name="40% - Accent4 5 3 2 5 2 2" xfId="30151" xr:uid="{00000000-0005-0000-0000-000055400000}"/>
    <cellStyle name="40% - Accent4 5 3 2 5 3" xfId="26867" xr:uid="{00000000-0005-0000-0000-000056400000}"/>
    <cellStyle name="40% - Accent4 5 3 2 6" xfId="9417" xr:uid="{00000000-0005-0000-0000-000057400000}"/>
    <cellStyle name="40% - Accent4 5 3 2 6 2" xfId="23892" xr:uid="{00000000-0005-0000-0000-000058400000}"/>
    <cellStyle name="40% - Accent4 5 3 2 7" xfId="23158" xr:uid="{00000000-0005-0000-0000-000059400000}"/>
    <cellStyle name="40% - Accent4 5 3 3" xfId="4163" xr:uid="{00000000-0005-0000-0000-00005A400000}"/>
    <cellStyle name="40% - Accent4 5 3 3 2" xfId="4164" xr:uid="{00000000-0005-0000-0000-00005B400000}"/>
    <cellStyle name="40% - Accent4 5 3 3 2 2" xfId="15349" xr:uid="{00000000-0005-0000-0000-00005C400000}"/>
    <cellStyle name="40% - Accent4 5 3 3 2 2 2" xfId="28898" xr:uid="{00000000-0005-0000-0000-00005D400000}"/>
    <cellStyle name="40% - Accent4 5 3 3 2 3" xfId="24300" xr:uid="{00000000-0005-0000-0000-00005E400000}"/>
    <cellStyle name="40% - Accent4 5 3 3 3" xfId="11143" xr:uid="{00000000-0005-0000-0000-00005F400000}"/>
    <cellStyle name="40% - Accent4 5 3 3 3 2" xfId="25085" xr:uid="{00000000-0005-0000-0000-000060400000}"/>
    <cellStyle name="40% - Accent4 5 3 3 4" xfId="23156" xr:uid="{00000000-0005-0000-0000-000061400000}"/>
    <cellStyle name="40% - Accent4 5 3 4" xfId="4165" xr:uid="{00000000-0005-0000-0000-000062400000}"/>
    <cellStyle name="40% - Accent4 5 3 4 2" xfId="12132" xr:uid="{00000000-0005-0000-0000-000063400000}"/>
    <cellStyle name="40% - Accent4 5 3 4 2 2" xfId="25844" xr:uid="{00000000-0005-0000-0000-000064400000}"/>
    <cellStyle name="40% - Accent4 5 3 4 3" xfId="23155" xr:uid="{00000000-0005-0000-0000-000065400000}"/>
    <cellStyle name="40% - Accent4 5 3 5" xfId="4166" xr:uid="{00000000-0005-0000-0000-000066400000}"/>
    <cellStyle name="40% - Accent4 5 3 5 2" xfId="12922" xr:uid="{00000000-0005-0000-0000-000067400000}"/>
    <cellStyle name="40% - Accent4 5 3 5 2 2" xfId="26634" xr:uid="{00000000-0005-0000-0000-000068400000}"/>
    <cellStyle name="40% - Accent4 5 3 5 3" xfId="23154" xr:uid="{00000000-0005-0000-0000-000069400000}"/>
    <cellStyle name="40% - Accent4 5 3 6" xfId="4167" xr:uid="{00000000-0005-0000-0000-00006A400000}"/>
    <cellStyle name="40% - Accent4 5 3 6 2" xfId="13696" xr:uid="{00000000-0005-0000-0000-00006B400000}"/>
    <cellStyle name="40% - Accent4 5 3 6 2 2" xfId="27245" xr:uid="{00000000-0005-0000-0000-00006C400000}"/>
    <cellStyle name="40% - Accent4 5 3 6 3" xfId="24297" xr:uid="{00000000-0005-0000-0000-00006D400000}"/>
    <cellStyle name="40% - Accent4 5 3 7" xfId="4168" xr:uid="{00000000-0005-0000-0000-00006E400000}"/>
    <cellStyle name="40% - Accent4 5 3 7 2" xfId="14277" xr:uid="{00000000-0005-0000-0000-00006F400000}"/>
    <cellStyle name="40% - Accent4 5 3 7 2 2" xfId="27826" xr:uid="{00000000-0005-0000-0000-000070400000}"/>
    <cellStyle name="40% - Accent4 5 3 7 3" xfId="23153" xr:uid="{00000000-0005-0000-0000-000071400000}"/>
    <cellStyle name="40% - Accent4 5 3 8" xfId="4169" xr:uid="{00000000-0005-0000-0000-000072400000}"/>
    <cellStyle name="40% - Accent4 5 3 8 2" xfId="15347" xr:uid="{00000000-0005-0000-0000-000073400000}"/>
    <cellStyle name="40% - Accent4 5 3 8 2 2" xfId="28896" xr:uid="{00000000-0005-0000-0000-000074400000}"/>
    <cellStyle name="40% - Accent4 5 3 8 3" xfId="23152" xr:uid="{00000000-0005-0000-0000-000075400000}"/>
    <cellStyle name="40% - Accent4 5 3 9" xfId="4170" xr:uid="{00000000-0005-0000-0000-000076400000}"/>
    <cellStyle name="40% - Accent4 5 3 9 2" xfId="16163" xr:uid="{00000000-0005-0000-0000-000077400000}"/>
    <cellStyle name="40% - Accent4 5 3 9 2 2" xfId="29570" xr:uid="{00000000-0005-0000-0000-000078400000}"/>
    <cellStyle name="40% - Accent4 5 3 9 3" xfId="29172" xr:uid="{00000000-0005-0000-0000-000079400000}"/>
    <cellStyle name="40% - Accent4 5 4" xfId="4171" xr:uid="{00000000-0005-0000-0000-00007A400000}"/>
    <cellStyle name="40% - Accent4 5 4 2" xfId="4172" xr:uid="{00000000-0005-0000-0000-00007B400000}"/>
    <cellStyle name="40% - Accent4 5 4 2 2" xfId="11145" xr:uid="{00000000-0005-0000-0000-00007C400000}"/>
    <cellStyle name="40% - Accent4 5 4 2 2 2" xfId="25087" xr:uid="{00000000-0005-0000-0000-00007D400000}"/>
    <cellStyle name="40% - Accent4 5 4 2 3" xfId="23150" xr:uid="{00000000-0005-0000-0000-00007E400000}"/>
    <cellStyle name="40% - Accent4 5 4 3" xfId="4173" xr:uid="{00000000-0005-0000-0000-00007F400000}"/>
    <cellStyle name="40% - Accent4 5 4 3 2" xfId="12924" xr:uid="{00000000-0005-0000-0000-000080400000}"/>
    <cellStyle name="40% - Accent4 5 4 3 2 2" xfId="26636" xr:uid="{00000000-0005-0000-0000-000081400000}"/>
    <cellStyle name="40% - Accent4 5 4 3 3" xfId="26866" xr:uid="{00000000-0005-0000-0000-000082400000}"/>
    <cellStyle name="40% - Accent4 5 4 4" xfId="4174" xr:uid="{00000000-0005-0000-0000-000083400000}"/>
    <cellStyle name="40% - Accent4 5 4 4 2" xfId="15350" xr:uid="{00000000-0005-0000-0000-000084400000}"/>
    <cellStyle name="40% - Accent4 5 4 4 2 2" xfId="28899" xr:uid="{00000000-0005-0000-0000-000085400000}"/>
    <cellStyle name="40% - Accent4 5 4 4 3" xfId="23149" xr:uid="{00000000-0005-0000-0000-000086400000}"/>
    <cellStyle name="40% - Accent4 5 4 5" xfId="4175" xr:uid="{00000000-0005-0000-0000-000087400000}"/>
    <cellStyle name="40% - Accent4 5 4 5 2" xfId="16452" xr:uid="{00000000-0005-0000-0000-000088400000}"/>
    <cellStyle name="40% - Accent4 5 4 5 2 2" xfId="29859" xr:uid="{00000000-0005-0000-0000-000089400000}"/>
    <cellStyle name="40% - Accent4 5 4 5 3" xfId="23148" xr:uid="{00000000-0005-0000-0000-00008A400000}"/>
    <cellStyle name="40% - Accent4 5 4 6" xfId="9418" xr:uid="{00000000-0005-0000-0000-00008B400000}"/>
    <cellStyle name="40% - Accent4 5 4 6 2" xfId="23893" xr:uid="{00000000-0005-0000-0000-00008C400000}"/>
    <cellStyle name="40% - Accent4 5 4 7" xfId="23151" xr:uid="{00000000-0005-0000-0000-00008D400000}"/>
    <cellStyle name="40% - Accent4 5 5" xfId="4176" xr:uid="{00000000-0005-0000-0000-00008E400000}"/>
    <cellStyle name="40% - Accent4 5 5 2" xfId="4177" xr:uid="{00000000-0005-0000-0000-00008F400000}"/>
    <cellStyle name="40% - Accent4 5 5 2 2" xfId="15351" xr:uid="{00000000-0005-0000-0000-000090400000}"/>
    <cellStyle name="40% - Accent4 5 5 2 2 2" xfId="28900" xr:uid="{00000000-0005-0000-0000-000091400000}"/>
    <cellStyle name="40% - Accent4 5 5 2 3" xfId="23147" xr:uid="{00000000-0005-0000-0000-000092400000}"/>
    <cellStyle name="40% - Accent4 5 5 3" xfId="11138" xr:uid="{00000000-0005-0000-0000-000093400000}"/>
    <cellStyle name="40% - Accent4 5 5 3 2" xfId="25080" xr:uid="{00000000-0005-0000-0000-000094400000}"/>
    <cellStyle name="40% - Accent4 5 5 4" xfId="24298" xr:uid="{00000000-0005-0000-0000-000095400000}"/>
    <cellStyle name="40% - Accent4 5 6" xfId="4178" xr:uid="{00000000-0005-0000-0000-000096400000}"/>
    <cellStyle name="40% - Accent4 5 6 2" xfId="11803" xr:uid="{00000000-0005-0000-0000-000097400000}"/>
    <cellStyle name="40% - Accent4 5 6 2 2" xfId="25518" xr:uid="{00000000-0005-0000-0000-000098400000}"/>
    <cellStyle name="40% - Accent4 5 6 3" xfId="25296" xr:uid="{00000000-0005-0000-0000-000099400000}"/>
    <cellStyle name="40% - Accent4 5 7" xfId="4179" xr:uid="{00000000-0005-0000-0000-00009A400000}"/>
    <cellStyle name="40% - Accent4 5 7 2" xfId="12917" xr:uid="{00000000-0005-0000-0000-00009B400000}"/>
    <cellStyle name="40% - Accent4 5 7 2 2" xfId="26629" xr:uid="{00000000-0005-0000-0000-00009C400000}"/>
    <cellStyle name="40% - Accent4 5 7 3" xfId="23146" xr:uid="{00000000-0005-0000-0000-00009D400000}"/>
    <cellStyle name="40% - Accent4 5 8" xfId="4180" xr:uid="{00000000-0005-0000-0000-00009E400000}"/>
    <cellStyle name="40% - Accent4 5 8 2" xfId="13404" xr:uid="{00000000-0005-0000-0000-00009F400000}"/>
    <cellStyle name="40% - Accent4 5 8 2 2" xfId="26953" xr:uid="{00000000-0005-0000-0000-0000A0400000}"/>
    <cellStyle name="40% - Accent4 5 8 3" xfId="23145" xr:uid="{00000000-0005-0000-0000-0000A1400000}"/>
    <cellStyle name="40% - Accent4 5 9" xfId="4181" xr:uid="{00000000-0005-0000-0000-0000A2400000}"/>
    <cellStyle name="40% - Accent4 5 9 2" xfId="13985" xr:uid="{00000000-0005-0000-0000-0000A3400000}"/>
    <cellStyle name="40% - Accent4 5 9 2 2" xfId="27534" xr:uid="{00000000-0005-0000-0000-0000A4400000}"/>
    <cellStyle name="40% - Accent4 5 9 3" xfId="23144" xr:uid="{00000000-0005-0000-0000-0000A5400000}"/>
    <cellStyle name="40% - Accent4 6" xfId="4182" xr:uid="{00000000-0005-0000-0000-0000A6400000}"/>
    <cellStyle name="40% - Accent4 6 10" xfId="4183" xr:uid="{00000000-0005-0000-0000-0000A7400000}"/>
    <cellStyle name="40% - Accent4 6 10 2" xfId="15352" xr:uid="{00000000-0005-0000-0000-0000A8400000}"/>
    <cellStyle name="40% - Accent4 6 10 2 2" xfId="28901" xr:uid="{00000000-0005-0000-0000-0000A9400000}"/>
    <cellStyle name="40% - Accent4 6 10 3" xfId="23143" xr:uid="{00000000-0005-0000-0000-0000AA400000}"/>
    <cellStyle name="40% - Accent4 6 11" xfId="4184" xr:uid="{00000000-0005-0000-0000-0000AB400000}"/>
    <cellStyle name="40% - Accent4 6 11 2" xfId="15977" xr:uid="{00000000-0005-0000-0000-0000AC400000}"/>
    <cellStyle name="40% - Accent4 6 11 2 2" xfId="29384" xr:uid="{00000000-0005-0000-0000-0000AD400000}"/>
    <cellStyle name="40% - Accent4 6 11 3" xfId="23142" xr:uid="{00000000-0005-0000-0000-0000AE400000}"/>
    <cellStyle name="40% - Accent4 6 12" xfId="9419" xr:uid="{00000000-0005-0000-0000-0000AF400000}"/>
    <cellStyle name="40% - Accent4 6 12 2" xfId="23894" xr:uid="{00000000-0005-0000-0000-0000B0400000}"/>
    <cellStyle name="40% - Accent4 6 13" xfId="24295" xr:uid="{00000000-0005-0000-0000-0000B1400000}"/>
    <cellStyle name="40% - Accent4 6 2" xfId="4185" xr:uid="{00000000-0005-0000-0000-0000B2400000}"/>
    <cellStyle name="40% - Accent4 6 2 10" xfId="4186" xr:uid="{00000000-0005-0000-0000-0000B3400000}"/>
    <cellStyle name="40% - Accent4 6 2 10 2" xfId="16120" xr:uid="{00000000-0005-0000-0000-0000B4400000}"/>
    <cellStyle name="40% - Accent4 6 2 10 2 2" xfId="29527" xr:uid="{00000000-0005-0000-0000-0000B5400000}"/>
    <cellStyle name="40% - Accent4 6 2 10 3" xfId="23141" xr:uid="{00000000-0005-0000-0000-0000B6400000}"/>
    <cellStyle name="40% - Accent4 6 2 11" xfId="9420" xr:uid="{00000000-0005-0000-0000-0000B7400000}"/>
    <cellStyle name="40% - Accent4 6 2 11 2" xfId="23895" xr:uid="{00000000-0005-0000-0000-0000B8400000}"/>
    <cellStyle name="40% - Accent4 6 2 12" xfId="29171" xr:uid="{00000000-0005-0000-0000-0000B9400000}"/>
    <cellStyle name="40% - Accent4 6 2 2" xfId="4187" xr:uid="{00000000-0005-0000-0000-0000BA400000}"/>
    <cellStyle name="40% - Accent4 6 2 2 10" xfId="9421" xr:uid="{00000000-0005-0000-0000-0000BB400000}"/>
    <cellStyle name="40% - Accent4 6 2 2 10 2" xfId="23896" xr:uid="{00000000-0005-0000-0000-0000BC400000}"/>
    <cellStyle name="40% - Accent4 6 2 2 11" xfId="23140" xr:uid="{00000000-0005-0000-0000-0000BD400000}"/>
    <cellStyle name="40% - Accent4 6 2 2 2" xfId="4188" xr:uid="{00000000-0005-0000-0000-0000BE400000}"/>
    <cellStyle name="40% - Accent4 6 2 2 2 2" xfId="4189" xr:uid="{00000000-0005-0000-0000-0000BF400000}"/>
    <cellStyle name="40% - Accent4 6 2 2 2 2 2" xfId="11149" xr:uid="{00000000-0005-0000-0000-0000C0400000}"/>
    <cellStyle name="40% - Accent4 6 2 2 2 2 2 2" xfId="25091" xr:uid="{00000000-0005-0000-0000-0000C1400000}"/>
    <cellStyle name="40% - Accent4 6 2 2 2 2 3" xfId="23139" xr:uid="{00000000-0005-0000-0000-0000C2400000}"/>
    <cellStyle name="40% - Accent4 6 2 2 2 3" xfId="4190" xr:uid="{00000000-0005-0000-0000-0000C3400000}"/>
    <cellStyle name="40% - Accent4 6 2 2 2 3 2" xfId="12928" xr:uid="{00000000-0005-0000-0000-0000C4400000}"/>
    <cellStyle name="40% - Accent4 6 2 2 2 3 2 2" xfId="26640" xr:uid="{00000000-0005-0000-0000-0000C5400000}"/>
    <cellStyle name="40% - Accent4 6 2 2 2 3 3" xfId="23138" xr:uid="{00000000-0005-0000-0000-0000C6400000}"/>
    <cellStyle name="40% - Accent4 6 2 2 2 4" xfId="4191" xr:uid="{00000000-0005-0000-0000-0000C7400000}"/>
    <cellStyle name="40% - Accent4 6 2 2 2 4 2" xfId="15355" xr:uid="{00000000-0005-0000-0000-0000C8400000}"/>
    <cellStyle name="40% - Accent4 6 2 2 2 4 2 2" xfId="28904" xr:uid="{00000000-0005-0000-0000-0000C9400000}"/>
    <cellStyle name="40% - Accent4 6 2 2 2 4 3" xfId="24296" xr:uid="{00000000-0005-0000-0000-0000CA400000}"/>
    <cellStyle name="40% - Accent4 6 2 2 2 5" xfId="4192" xr:uid="{00000000-0005-0000-0000-0000CB400000}"/>
    <cellStyle name="40% - Accent4 6 2 2 2 5 2" xfId="16990" xr:uid="{00000000-0005-0000-0000-0000CC400000}"/>
    <cellStyle name="40% - Accent4 6 2 2 2 5 2 2" xfId="30397" xr:uid="{00000000-0005-0000-0000-0000CD400000}"/>
    <cellStyle name="40% - Accent4 6 2 2 2 5 3" xfId="23137" xr:uid="{00000000-0005-0000-0000-0000CE400000}"/>
    <cellStyle name="40% - Accent4 6 2 2 2 6" xfId="9422" xr:uid="{00000000-0005-0000-0000-0000CF400000}"/>
    <cellStyle name="40% - Accent4 6 2 2 2 6 2" xfId="23897" xr:uid="{00000000-0005-0000-0000-0000D0400000}"/>
    <cellStyle name="40% - Accent4 6 2 2 2 7" xfId="26865" xr:uid="{00000000-0005-0000-0000-0000D1400000}"/>
    <cellStyle name="40% - Accent4 6 2 2 3" xfId="4193" xr:uid="{00000000-0005-0000-0000-0000D2400000}"/>
    <cellStyle name="40% - Accent4 6 2 2 3 2" xfId="4194" xr:uid="{00000000-0005-0000-0000-0000D3400000}"/>
    <cellStyle name="40% - Accent4 6 2 2 3 2 2" xfId="15356" xr:uid="{00000000-0005-0000-0000-0000D4400000}"/>
    <cellStyle name="40% - Accent4 6 2 2 3 2 2 2" xfId="28905" xr:uid="{00000000-0005-0000-0000-0000D5400000}"/>
    <cellStyle name="40% - Accent4 6 2 2 3 2 3" xfId="23136" xr:uid="{00000000-0005-0000-0000-0000D6400000}"/>
    <cellStyle name="40% - Accent4 6 2 2 3 3" xfId="11148" xr:uid="{00000000-0005-0000-0000-0000D7400000}"/>
    <cellStyle name="40% - Accent4 6 2 2 3 3 2" xfId="25090" xr:uid="{00000000-0005-0000-0000-0000D8400000}"/>
    <cellStyle name="40% - Accent4 6 2 2 3 4" xfId="25295" xr:uid="{00000000-0005-0000-0000-0000D9400000}"/>
    <cellStyle name="40% - Accent4 6 2 2 4" xfId="4195" xr:uid="{00000000-0005-0000-0000-0000DA400000}"/>
    <cellStyle name="40% - Accent4 6 2 2 4 2" xfId="12378" xr:uid="{00000000-0005-0000-0000-0000DB400000}"/>
    <cellStyle name="40% - Accent4 6 2 2 4 2 2" xfId="26090" xr:uid="{00000000-0005-0000-0000-0000DC400000}"/>
    <cellStyle name="40% - Accent4 6 2 2 4 3" xfId="23135" xr:uid="{00000000-0005-0000-0000-0000DD400000}"/>
    <cellStyle name="40% - Accent4 6 2 2 5" xfId="4196" xr:uid="{00000000-0005-0000-0000-0000DE400000}"/>
    <cellStyle name="40% - Accent4 6 2 2 5 2" xfId="12927" xr:uid="{00000000-0005-0000-0000-0000DF400000}"/>
    <cellStyle name="40% - Accent4 6 2 2 5 2 2" xfId="26639" xr:uid="{00000000-0005-0000-0000-0000E0400000}"/>
    <cellStyle name="40% - Accent4 6 2 2 5 3" xfId="23134" xr:uid="{00000000-0005-0000-0000-0000E1400000}"/>
    <cellStyle name="40% - Accent4 6 2 2 6" xfId="4197" xr:uid="{00000000-0005-0000-0000-0000E2400000}"/>
    <cellStyle name="40% - Accent4 6 2 2 6 2" xfId="13942" xr:uid="{00000000-0005-0000-0000-0000E3400000}"/>
    <cellStyle name="40% - Accent4 6 2 2 6 2 2" xfId="27491" xr:uid="{00000000-0005-0000-0000-0000E4400000}"/>
    <cellStyle name="40% - Accent4 6 2 2 6 3" xfId="24291" xr:uid="{00000000-0005-0000-0000-0000E5400000}"/>
    <cellStyle name="40% - Accent4 6 2 2 7" xfId="4198" xr:uid="{00000000-0005-0000-0000-0000E6400000}"/>
    <cellStyle name="40% - Accent4 6 2 2 7 2" xfId="14523" xr:uid="{00000000-0005-0000-0000-0000E7400000}"/>
    <cellStyle name="40% - Accent4 6 2 2 7 2 2" xfId="28072" xr:uid="{00000000-0005-0000-0000-0000E8400000}"/>
    <cellStyle name="40% - Accent4 6 2 2 7 3" xfId="23133" xr:uid="{00000000-0005-0000-0000-0000E9400000}"/>
    <cellStyle name="40% - Accent4 6 2 2 8" xfId="4199" xr:uid="{00000000-0005-0000-0000-0000EA400000}"/>
    <cellStyle name="40% - Accent4 6 2 2 8 2" xfId="15354" xr:uid="{00000000-0005-0000-0000-0000EB400000}"/>
    <cellStyle name="40% - Accent4 6 2 2 8 2 2" xfId="28903" xr:uid="{00000000-0005-0000-0000-0000EC400000}"/>
    <cellStyle name="40% - Accent4 6 2 2 8 3" xfId="23132" xr:uid="{00000000-0005-0000-0000-0000ED400000}"/>
    <cellStyle name="40% - Accent4 6 2 2 9" xfId="4200" xr:uid="{00000000-0005-0000-0000-0000EE400000}"/>
    <cellStyle name="40% - Accent4 6 2 2 9 2" xfId="16409" xr:uid="{00000000-0005-0000-0000-0000EF400000}"/>
    <cellStyle name="40% - Accent4 6 2 2 9 2 2" xfId="29816" xr:uid="{00000000-0005-0000-0000-0000F0400000}"/>
    <cellStyle name="40% - Accent4 6 2 2 9 3" xfId="29170" xr:uid="{00000000-0005-0000-0000-0000F1400000}"/>
    <cellStyle name="40% - Accent4 6 2 3" xfId="4201" xr:uid="{00000000-0005-0000-0000-0000F2400000}"/>
    <cellStyle name="40% - Accent4 6 2 3 2" xfId="4202" xr:uid="{00000000-0005-0000-0000-0000F3400000}"/>
    <cellStyle name="40% - Accent4 6 2 3 2 2" xfId="11150" xr:uid="{00000000-0005-0000-0000-0000F4400000}"/>
    <cellStyle name="40% - Accent4 6 2 3 2 2 2" xfId="25092" xr:uid="{00000000-0005-0000-0000-0000F5400000}"/>
    <cellStyle name="40% - Accent4 6 2 3 2 3" xfId="23130" xr:uid="{00000000-0005-0000-0000-0000F6400000}"/>
    <cellStyle name="40% - Accent4 6 2 3 3" xfId="4203" xr:uid="{00000000-0005-0000-0000-0000F7400000}"/>
    <cellStyle name="40% - Accent4 6 2 3 3 2" xfId="12929" xr:uid="{00000000-0005-0000-0000-0000F8400000}"/>
    <cellStyle name="40% - Accent4 6 2 3 3 2 2" xfId="26641" xr:uid="{00000000-0005-0000-0000-0000F9400000}"/>
    <cellStyle name="40% - Accent4 6 2 3 3 3" xfId="26864" xr:uid="{00000000-0005-0000-0000-0000FA400000}"/>
    <cellStyle name="40% - Accent4 6 2 3 4" xfId="4204" xr:uid="{00000000-0005-0000-0000-0000FB400000}"/>
    <cellStyle name="40% - Accent4 6 2 3 4 2" xfId="15357" xr:uid="{00000000-0005-0000-0000-0000FC400000}"/>
    <cellStyle name="40% - Accent4 6 2 3 4 2 2" xfId="28906" xr:uid="{00000000-0005-0000-0000-0000FD400000}"/>
    <cellStyle name="40% - Accent4 6 2 3 4 3" xfId="23129" xr:uid="{00000000-0005-0000-0000-0000FE400000}"/>
    <cellStyle name="40% - Accent4 6 2 3 5" xfId="4205" xr:uid="{00000000-0005-0000-0000-0000FF400000}"/>
    <cellStyle name="40% - Accent4 6 2 3 5 2" xfId="16701" xr:uid="{00000000-0005-0000-0000-000000410000}"/>
    <cellStyle name="40% - Accent4 6 2 3 5 2 2" xfId="30108" xr:uid="{00000000-0005-0000-0000-000001410000}"/>
    <cellStyle name="40% - Accent4 6 2 3 5 3" xfId="23128" xr:uid="{00000000-0005-0000-0000-000002410000}"/>
    <cellStyle name="40% - Accent4 6 2 3 6" xfId="9423" xr:uid="{00000000-0005-0000-0000-000003410000}"/>
    <cellStyle name="40% - Accent4 6 2 3 6 2" xfId="23898" xr:uid="{00000000-0005-0000-0000-000004410000}"/>
    <cellStyle name="40% - Accent4 6 2 3 7" xfId="23131" xr:uid="{00000000-0005-0000-0000-000005410000}"/>
    <cellStyle name="40% - Accent4 6 2 4" xfId="4206" xr:uid="{00000000-0005-0000-0000-000006410000}"/>
    <cellStyle name="40% - Accent4 6 2 4 2" xfId="4207" xr:uid="{00000000-0005-0000-0000-000007410000}"/>
    <cellStyle name="40% - Accent4 6 2 4 2 2" xfId="15358" xr:uid="{00000000-0005-0000-0000-000008410000}"/>
    <cellStyle name="40% - Accent4 6 2 4 2 2 2" xfId="28907" xr:uid="{00000000-0005-0000-0000-000009410000}"/>
    <cellStyle name="40% - Accent4 6 2 4 2 3" xfId="23127" xr:uid="{00000000-0005-0000-0000-00000A410000}"/>
    <cellStyle name="40% - Accent4 6 2 4 3" xfId="11147" xr:uid="{00000000-0005-0000-0000-00000B410000}"/>
    <cellStyle name="40% - Accent4 6 2 4 3 2" xfId="25089" xr:uid="{00000000-0005-0000-0000-00000C410000}"/>
    <cellStyle name="40% - Accent4 6 2 4 4" xfId="24294" xr:uid="{00000000-0005-0000-0000-00000D410000}"/>
    <cellStyle name="40% - Accent4 6 2 5" xfId="4208" xr:uid="{00000000-0005-0000-0000-00000E410000}"/>
    <cellStyle name="40% - Accent4 6 2 5 2" xfId="12078" xr:uid="{00000000-0005-0000-0000-00000F410000}"/>
    <cellStyle name="40% - Accent4 6 2 5 2 2" xfId="25793" xr:uid="{00000000-0005-0000-0000-000010410000}"/>
    <cellStyle name="40% - Accent4 6 2 5 3" xfId="25294" xr:uid="{00000000-0005-0000-0000-000011410000}"/>
    <cellStyle name="40% - Accent4 6 2 6" xfId="4209" xr:uid="{00000000-0005-0000-0000-000012410000}"/>
    <cellStyle name="40% - Accent4 6 2 6 2" xfId="12926" xr:uid="{00000000-0005-0000-0000-000013410000}"/>
    <cellStyle name="40% - Accent4 6 2 6 2 2" xfId="26638" xr:uid="{00000000-0005-0000-0000-000014410000}"/>
    <cellStyle name="40% - Accent4 6 2 6 3" xfId="23126" xr:uid="{00000000-0005-0000-0000-000015410000}"/>
    <cellStyle name="40% - Accent4 6 2 7" xfId="4210" xr:uid="{00000000-0005-0000-0000-000016410000}"/>
    <cellStyle name="40% - Accent4 6 2 7 2" xfId="13653" xr:uid="{00000000-0005-0000-0000-000017410000}"/>
    <cellStyle name="40% - Accent4 6 2 7 2 2" xfId="27202" xr:uid="{00000000-0005-0000-0000-000018410000}"/>
    <cellStyle name="40% - Accent4 6 2 7 3" xfId="23125" xr:uid="{00000000-0005-0000-0000-000019410000}"/>
    <cellStyle name="40% - Accent4 6 2 8" xfId="4211" xr:uid="{00000000-0005-0000-0000-00001A410000}"/>
    <cellStyle name="40% - Accent4 6 2 8 2" xfId="14234" xr:uid="{00000000-0005-0000-0000-00001B410000}"/>
    <cellStyle name="40% - Accent4 6 2 8 2 2" xfId="27783" xr:uid="{00000000-0005-0000-0000-00001C410000}"/>
    <cellStyle name="40% - Accent4 6 2 8 3" xfId="24292" xr:uid="{00000000-0005-0000-0000-00001D410000}"/>
    <cellStyle name="40% - Accent4 6 2 9" xfId="4212" xr:uid="{00000000-0005-0000-0000-00001E410000}"/>
    <cellStyle name="40% - Accent4 6 2 9 2" xfId="15353" xr:uid="{00000000-0005-0000-0000-00001F410000}"/>
    <cellStyle name="40% - Accent4 6 2 9 2 2" xfId="28902" xr:uid="{00000000-0005-0000-0000-000020410000}"/>
    <cellStyle name="40% - Accent4 6 2 9 3" xfId="23124" xr:uid="{00000000-0005-0000-0000-000021410000}"/>
    <cellStyle name="40% - Accent4 6 3" xfId="4213" xr:uid="{00000000-0005-0000-0000-000022410000}"/>
    <cellStyle name="40% - Accent4 6 3 10" xfId="9424" xr:uid="{00000000-0005-0000-0000-000023410000}"/>
    <cellStyle name="40% - Accent4 6 3 10 2" xfId="23899" xr:uid="{00000000-0005-0000-0000-000024410000}"/>
    <cellStyle name="40% - Accent4 6 3 11" xfId="23123" xr:uid="{00000000-0005-0000-0000-000025410000}"/>
    <cellStyle name="40% - Accent4 6 3 2" xfId="4214" xr:uid="{00000000-0005-0000-0000-000026410000}"/>
    <cellStyle name="40% - Accent4 6 3 2 2" xfId="4215" xr:uid="{00000000-0005-0000-0000-000027410000}"/>
    <cellStyle name="40% - Accent4 6 3 2 2 2" xfId="11152" xr:uid="{00000000-0005-0000-0000-000028410000}"/>
    <cellStyle name="40% - Accent4 6 3 2 2 2 2" xfId="25094" xr:uid="{00000000-0005-0000-0000-000029410000}"/>
    <cellStyle name="40% - Accent4 6 3 2 2 3" xfId="23122" xr:uid="{00000000-0005-0000-0000-00002A410000}"/>
    <cellStyle name="40% - Accent4 6 3 2 3" xfId="4216" xr:uid="{00000000-0005-0000-0000-00002B410000}"/>
    <cellStyle name="40% - Accent4 6 3 2 3 2" xfId="12931" xr:uid="{00000000-0005-0000-0000-00002C410000}"/>
    <cellStyle name="40% - Accent4 6 3 2 3 2 2" xfId="26643" xr:uid="{00000000-0005-0000-0000-00002D410000}"/>
    <cellStyle name="40% - Accent4 6 3 2 3 3" xfId="23121" xr:uid="{00000000-0005-0000-0000-00002E410000}"/>
    <cellStyle name="40% - Accent4 6 3 2 4" xfId="4217" xr:uid="{00000000-0005-0000-0000-00002F410000}"/>
    <cellStyle name="40% - Accent4 6 3 2 4 2" xfId="15360" xr:uid="{00000000-0005-0000-0000-000030410000}"/>
    <cellStyle name="40% - Accent4 6 3 2 4 2 2" xfId="28909" xr:uid="{00000000-0005-0000-0000-000031410000}"/>
    <cellStyle name="40% - Accent4 6 3 2 4 3" xfId="26863" xr:uid="{00000000-0005-0000-0000-000032410000}"/>
    <cellStyle name="40% - Accent4 6 3 2 5" xfId="4218" xr:uid="{00000000-0005-0000-0000-000033410000}"/>
    <cellStyle name="40% - Accent4 6 3 2 5 2" xfId="16847" xr:uid="{00000000-0005-0000-0000-000034410000}"/>
    <cellStyle name="40% - Accent4 6 3 2 5 2 2" xfId="30254" xr:uid="{00000000-0005-0000-0000-000035410000}"/>
    <cellStyle name="40% - Accent4 6 3 2 5 3" xfId="23120" xr:uid="{00000000-0005-0000-0000-000036410000}"/>
    <cellStyle name="40% - Accent4 6 3 2 6" xfId="9425" xr:uid="{00000000-0005-0000-0000-000037410000}"/>
    <cellStyle name="40% - Accent4 6 3 2 6 2" xfId="23900" xr:uid="{00000000-0005-0000-0000-000038410000}"/>
    <cellStyle name="40% - Accent4 6 3 2 7" xfId="29169" xr:uid="{00000000-0005-0000-0000-000039410000}"/>
    <cellStyle name="40% - Accent4 6 3 3" xfId="4219" xr:uid="{00000000-0005-0000-0000-00003A410000}"/>
    <cellStyle name="40% - Accent4 6 3 3 2" xfId="4220" xr:uid="{00000000-0005-0000-0000-00003B410000}"/>
    <cellStyle name="40% - Accent4 6 3 3 2 2" xfId="15361" xr:uid="{00000000-0005-0000-0000-00003C410000}"/>
    <cellStyle name="40% - Accent4 6 3 3 2 2 2" xfId="28910" xr:uid="{00000000-0005-0000-0000-00003D410000}"/>
    <cellStyle name="40% - Accent4 6 3 3 2 3" xfId="24293" xr:uid="{00000000-0005-0000-0000-00003E410000}"/>
    <cellStyle name="40% - Accent4 6 3 3 3" xfId="11151" xr:uid="{00000000-0005-0000-0000-00003F410000}"/>
    <cellStyle name="40% - Accent4 6 3 3 3 2" xfId="25093" xr:uid="{00000000-0005-0000-0000-000040410000}"/>
    <cellStyle name="40% - Accent4 6 3 3 4" xfId="23119" xr:uid="{00000000-0005-0000-0000-000041410000}"/>
    <cellStyle name="40% - Accent4 6 3 4" xfId="4221" xr:uid="{00000000-0005-0000-0000-000042410000}"/>
    <cellStyle name="40% - Accent4 6 3 4 2" xfId="12235" xr:uid="{00000000-0005-0000-0000-000043410000}"/>
    <cellStyle name="40% - Accent4 6 3 4 2 2" xfId="25947" xr:uid="{00000000-0005-0000-0000-000044410000}"/>
    <cellStyle name="40% - Accent4 6 3 4 3" xfId="23118" xr:uid="{00000000-0005-0000-0000-000045410000}"/>
    <cellStyle name="40% - Accent4 6 3 5" xfId="4222" xr:uid="{00000000-0005-0000-0000-000046410000}"/>
    <cellStyle name="40% - Accent4 6 3 5 2" xfId="12930" xr:uid="{00000000-0005-0000-0000-000047410000}"/>
    <cellStyle name="40% - Accent4 6 3 5 2 2" xfId="26642" xr:uid="{00000000-0005-0000-0000-000048410000}"/>
    <cellStyle name="40% - Accent4 6 3 5 3" xfId="25293" xr:uid="{00000000-0005-0000-0000-000049410000}"/>
    <cellStyle name="40% - Accent4 6 3 6" xfId="4223" xr:uid="{00000000-0005-0000-0000-00004A410000}"/>
    <cellStyle name="40% - Accent4 6 3 6 2" xfId="13799" xr:uid="{00000000-0005-0000-0000-00004B410000}"/>
    <cellStyle name="40% - Accent4 6 3 6 2 2" xfId="27348" xr:uid="{00000000-0005-0000-0000-00004C410000}"/>
    <cellStyle name="40% - Accent4 6 3 6 3" xfId="23117" xr:uid="{00000000-0005-0000-0000-00004D410000}"/>
    <cellStyle name="40% - Accent4 6 3 7" xfId="4224" xr:uid="{00000000-0005-0000-0000-00004E410000}"/>
    <cellStyle name="40% - Accent4 6 3 7 2" xfId="14380" xr:uid="{00000000-0005-0000-0000-00004F410000}"/>
    <cellStyle name="40% - Accent4 6 3 7 2 2" xfId="27929" xr:uid="{00000000-0005-0000-0000-000050410000}"/>
    <cellStyle name="40% - Accent4 6 3 7 3" xfId="23116" xr:uid="{00000000-0005-0000-0000-000051410000}"/>
    <cellStyle name="40% - Accent4 6 3 8" xfId="4225" xr:uid="{00000000-0005-0000-0000-000052410000}"/>
    <cellStyle name="40% - Accent4 6 3 8 2" xfId="15359" xr:uid="{00000000-0005-0000-0000-000053410000}"/>
    <cellStyle name="40% - Accent4 6 3 8 2 2" xfId="28908" xr:uid="{00000000-0005-0000-0000-000054410000}"/>
    <cellStyle name="40% - Accent4 6 3 8 3" xfId="23115" xr:uid="{00000000-0005-0000-0000-000055410000}"/>
    <cellStyle name="40% - Accent4 6 3 9" xfId="4226" xr:uid="{00000000-0005-0000-0000-000056410000}"/>
    <cellStyle name="40% - Accent4 6 3 9 2" xfId="16266" xr:uid="{00000000-0005-0000-0000-000057410000}"/>
    <cellStyle name="40% - Accent4 6 3 9 2 2" xfId="29673" xr:uid="{00000000-0005-0000-0000-000058410000}"/>
    <cellStyle name="40% - Accent4 6 3 9 3" xfId="23114" xr:uid="{00000000-0005-0000-0000-000059410000}"/>
    <cellStyle name="40% - Accent4 6 4" xfId="4227" xr:uid="{00000000-0005-0000-0000-00005A410000}"/>
    <cellStyle name="40% - Accent4 6 4 2" xfId="4228" xr:uid="{00000000-0005-0000-0000-00005B410000}"/>
    <cellStyle name="40% - Accent4 6 4 2 2" xfId="11153" xr:uid="{00000000-0005-0000-0000-00005C410000}"/>
    <cellStyle name="40% - Accent4 6 4 2 2 2" xfId="25095" xr:uid="{00000000-0005-0000-0000-00005D410000}"/>
    <cellStyle name="40% - Accent4 6 4 2 3" xfId="23112" xr:uid="{00000000-0005-0000-0000-00005E410000}"/>
    <cellStyle name="40% - Accent4 6 4 3" xfId="4229" xr:uid="{00000000-0005-0000-0000-00005F410000}"/>
    <cellStyle name="40% - Accent4 6 4 3 2" xfId="12932" xr:uid="{00000000-0005-0000-0000-000060410000}"/>
    <cellStyle name="40% - Accent4 6 4 3 2 2" xfId="26644" xr:uid="{00000000-0005-0000-0000-000061410000}"/>
    <cellStyle name="40% - Accent4 6 4 3 3" xfId="29168" xr:uid="{00000000-0005-0000-0000-000062410000}"/>
    <cellStyle name="40% - Accent4 6 4 4" xfId="4230" xr:uid="{00000000-0005-0000-0000-000063410000}"/>
    <cellStyle name="40% - Accent4 6 4 4 2" xfId="15362" xr:uid="{00000000-0005-0000-0000-000064410000}"/>
    <cellStyle name="40% - Accent4 6 4 4 2 2" xfId="28911" xr:uid="{00000000-0005-0000-0000-000065410000}"/>
    <cellStyle name="40% - Accent4 6 4 4 3" xfId="23111" xr:uid="{00000000-0005-0000-0000-000066410000}"/>
    <cellStyle name="40% - Accent4 6 4 5" xfId="4231" xr:uid="{00000000-0005-0000-0000-000067410000}"/>
    <cellStyle name="40% - Accent4 6 4 5 2" xfId="16558" xr:uid="{00000000-0005-0000-0000-000068410000}"/>
    <cellStyle name="40% - Accent4 6 4 5 2 2" xfId="29965" xr:uid="{00000000-0005-0000-0000-000069410000}"/>
    <cellStyle name="40% - Accent4 6 4 5 3" xfId="23110" xr:uid="{00000000-0005-0000-0000-00006A410000}"/>
    <cellStyle name="40% - Accent4 6 4 6" xfId="9426" xr:uid="{00000000-0005-0000-0000-00006B410000}"/>
    <cellStyle name="40% - Accent4 6 4 6 2" xfId="23901" xr:uid="{00000000-0005-0000-0000-00006C410000}"/>
    <cellStyle name="40% - Accent4 6 4 7" xfId="23113" xr:uid="{00000000-0005-0000-0000-00006D410000}"/>
    <cellStyle name="40% - Accent4 6 5" xfId="4232" xr:uid="{00000000-0005-0000-0000-00006E410000}"/>
    <cellStyle name="40% - Accent4 6 5 2" xfId="4233" xr:uid="{00000000-0005-0000-0000-00006F410000}"/>
    <cellStyle name="40% - Accent4 6 5 2 2" xfId="15363" xr:uid="{00000000-0005-0000-0000-000070410000}"/>
    <cellStyle name="40% - Accent4 6 5 2 2 2" xfId="28912" xr:uid="{00000000-0005-0000-0000-000071410000}"/>
    <cellStyle name="40% - Accent4 6 5 2 3" xfId="23109" xr:uid="{00000000-0005-0000-0000-000072410000}"/>
    <cellStyle name="40% - Accent4 6 5 3" xfId="11146" xr:uid="{00000000-0005-0000-0000-000073410000}"/>
    <cellStyle name="40% - Accent4 6 5 3 2" xfId="25088" xr:uid="{00000000-0005-0000-0000-000074410000}"/>
    <cellStyle name="40% - Accent4 6 5 4" xfId="26862" xr:uid="{00000000-0005-0000-0000-000075410000}"/>
    <cellStyle name="40% - Accent4 6 6" xfId="4234" xr:uid="{00000000-0005-0000-0000-000076410000}"/>
    <cellStyle name="40% - Accent4 6 6 2" xfId="11933" xr:uid="{00000000-0005-0000-0000-000077410000}"/>
    <cellStyle name="40% - Accent4 6 6 2 2" xfId="25648" xr:uid="{00000000-0005-0000-0000-000078410000}"/>
    <cellStyle name="40% - Accent4 6 6 3" xfId="23108" xr:uid="{00000000-0005-0000-0000-000079410000}"/>
    <cellStyle name="40% - Accent4 6 7" xfId="4235" xr:uid="{00000000-0005-0000-0000-00007A410000}"/>
    <cellStyle name="40% - Accent4 6 7 2" xfId="12925" xr:uid="{00000000-0005-0000-0000-00007B410000}"/>
    <cellStyle name="40% - Accent4 6 7 2 2" xfId="26637" xr:uid="{00000000-0005-0000-0000-00007C410000}"/>
    <cellStyle name="40% - Accent4 6 7 3" xfId="24290" xr:uid="{00000000-0005-0000-0000-00007D410000}"/>
    <cellStyle name="40% - Accent4 6 8" xfId="4236" xr:uid="{00000000-0005-0000-0000-00007E410000}"/>
    <cellStyle name="40% - Accent4 6 8 2" xfId="13510" xr:uid="{00000000-0005-0000-0000-00007F410000}"/>
    <cellStyle name="40% - Accent4 6 8 2 2" xfId="27059" xr:uid="{00000000-0005-0000-0000-000080410000}"/>
    <cellStyle name="40% - Accent4 6 8 3" xfId="25292" xr:uid="{00000000-0005-0000-0000-000081410000}"/>
    <cellStyle name="40% - Accent4 6 9" xfId="4237" xr:uid="{00000000-0005-0000-0000-000082410000}"/>
    <cellStyle name="40% - Accent4 6 9 2" xfId="14091" xr:uid="{00000000-0005-0000-0000-000083410000}"/>
    <cellStyle name="40% - Accent4 6 9 2 2" xfId="27640" xr:uid="{00000000-0005-0000-0000-000084410000}"/>
    <cellStyle name="40% - Accent4 6 9 3" xfId="23107" xr:uid="{00000000-0005-0000-0000-000085410000}"/>
    <cellStyle name="40% - Accent4 7" xfId="4238" xr:uid="{00000000-0005-0000-0000-000086410000}"/>
    <cellStyle name="40% - Accent4 7 10" xfId="4239" xr:uid="{00000000-0005-0000-0000-000087410000}"/>
    <cellStyle name="40% - Accent4 7 10 2" xfId="15995" xr:uid="{00000000-0005-0000-0000-000088410000}"/>
    <cellStyle name="40% - Accent4 7 10 2 2" xfId="29402" xr:uid="{00000000-0005-0000-0000-000089410000}"/>
    <cellStyle name="40% - Accent4 7 10 3" xfId="24289" xr:uid="{00000000-0005-0000-0000-00008A410000}"/>
    <cellStyle name="40% - Accent4 7 11" xfId="9427" xr:uid="{00000000-0005-0000-0000-00008B410000}"/>
    <cellStyle name="40% - Accent4 7 11 2" xfId="23902" xr:uid="{00000000-0005-0000-0000-00008C410000}"/>
    <cellStyle name="40% - Accent4 7 12" xfId="23106" xr:uid="{00000000-0005-0000-0000-00008D410000}"/>
    <cellStyle name="40% - Accent4 7 2" xfId="4240" xr:uid="{00000000-0005-0000-0000-00008E410000}"/>
    <cellStyle name="40% - Accent4 7 2 10" xfId="9428" xr:uid="{00000000-0005-0000-0000-00008F410000}"/>
    <cellStyle name="40% - Accent4 7 2 10 2" xfId="23903" xr:uid="{00000000-0005-0000-0000-000090410000}"/>
    <cellStyle name="40% - Accent4 7 2 11" xfId="23105" xr:uid="{00000000-0005-0000-0000-000091410000}"/>
    <cellStyle name="40% - Accent4 7 2 2" xfId="4241" xr:uid="{00000000-0005-0000-0000-000092410000}"/>
    <cellStyle name="40% - Accent4 7 2 2 2" xfId="4242" xr:uid="{00000000-0005-0000-0000-000093410000}"/>
    <cellStyle name="40% - Accent4 7 2 2 2 2" xfId="11156" xr:uid="{00000000-0005-0000-0000-000094410000}"/>
    <cellStyle name="40% - Accent4 7 2 2 2 2 2" xfId="25098" xr:uid="{00000000-0005-0000-0000-000095410000}"/>
    <cellStyle name="40% - Accent4 7 2 2 2 3" xfId="24287" xr:uid="{00000000-0005-0000-0000-000096410000}"/>
    <cellStyle name="40% - Accent4 7 2 2 3" xfId="4243" xr:uid="{00000000-0005-0000-0000-000097410000}"/>
    <cellStyle name="40% - Accent4 7 2 2 3 2" xfId="12935" xr:uid="{00000000-0005-0000-0000-000098410000}"/>
    <cellStyle name="40% - Accent4 7 2 2 3 2 2" xfId="26647" xr:uid="{00000000-0005-0000-0000-000099410000}"/>
    <cellStyle name="40% - Accent4 7 2 2 3 3" xfId="23103" xr:uid="{00000000-0005-0000-0000-00009A410000}"/>
    <cellStyle name="40% - Accent4 7 2 2 4" xfId="4244" xr:uid="{00000000-0005-0000-0000-00009B410000}"/>
    <cellStyle name="40% - Accent4 7 2 2 4 2" xfId="15366" xr:uid="{00000000-0005-0000-0000-00009C410000}"/>
    <cellStyle name="40% - Accent4 7 2 2 4 2 2" xfId="28915" xr:uid="{00000000-0005-0000-0000-00009D410000}"/>
    <cellStyle name="40% - Accent4 7 2 2 4 3" xfId="23102" xr:uid="{00000000-0005-0000-0000-00009E410000}"/>
    <cellStyle name="40% - Accent4 7 2 2 5" xfId="4245" xr:uid="{00000000-0005-0000-0000-00009F410000}"/>
    <cellStyle name="40% - Accent4 7 2 2 5 2" xfId="16865" xr:uid="{00000000-0005-0000-0000-0000A0410000}"/>
    <cellStyle name="40% - Accent4 7 2 2 5 2 2" xfId="30272" xr:uid="{00000000-0005-0000-0000-0000A1410000}"/>
    <cellStyle name="40% - Accent4 7 2 2 5 3" xfId="29167" xr:uid="{00000000-0005-0000-0000-0000A2410000}"/>
    <cellStyle name="40% - Accent4 7 2 2 6" xfId="9429" xr:uid="{00000000-0005-0000-0000-0000A3410000}"/>
    <cellStyle name="40% - Accent4 7 2 2 6 2" xfId="23904" xr:uid="{00000000-0005-0000-0000-0000A4410000}"/>
    <cellStyle name="40% - Accent4 7 2 2 7" xfId="23104" xr:uid="{00000000-0005-0000-0000-0000A5410000}"/>
    <cellStyle name="40% - Accent4 7 2 3" xfId="4246" xr:uid="{00000000-0005-0000-0000-0000A6410000}"/>
    <cellStyle name="40% - Accent4 7 2 3 2" xfId="4247" xr:uid="{00000000-0005-0000-0000-0000A7410000}"/>
    <cellStyle name="40% - Accent4 7 2 3 2 2" xfId="15367" xr:uid="{00000000-0005-0000-0000-0000A8410000}"/>
    <cellStyle name="40% - Accent4 7 2 3 2 2 2" xfId="28916" xr:uid="{00000000-0005-0000-0000-0000A9410000}"/>
    <cellStyle name="40% - Accent4 7 2 3 2 3" xfId="23100" xr:uid="{00000000-0005-0000-0000-0000AA410000}"/>
    <cellStyle name="40% - Accent4 7 2 3 3" xfId="11155" xr:uid="{00000000-0005-0000-0000-0000AB410000}"/>
    <cellStyle name="40% - Accent4 7 2 3 3 2" xfId="25097" xr:uid="{00000000-0005-0000-0000-0000AC410000}"/>
    <cellStyle name="40% - Accent4 7 2 3 4" xfId="23101" xr:uid="{00000000-0005-0000-0000-0000AD410000}"/>
    <cellStyle name="40% - Accent4 7 2 4" xfId="4248" xr:uid="{00000000-0005-0000-0000-0000AE410000}"/>
    <cellStyle name="40% - Accent4 7 2 4 2" xfId="12253" xr:uid="{00000000-0005-0000-0000-0000AF410000}"/>
    <cellStyle name="40% - Accent4 7 2 4 2 2" xfId="25965" xr:uid="{00000000-0005-0000-0000-0000B0410000}"/>
    <cellStyle name="40% - Accent4 7 2 4 3" xfId="26861" xr:uid="{00000000-0005-0000-0000-0000B1410000}"/>
    <cellStyle name="40% - Accent4 7 2 5" xfId="4249" xr:uid="{00000000-0005-0000-0000-0000B2410000}"/>
    <cellStyle name="40% - Accent4 7 2 5 2" xfId="12934" xr:uid="{00000000-0005-0000-0000-0000B3410000}"/>
    <cellStyle name="40% - Accent4 7 2 5 2 2" xfId="26646" xr:uid="{00000000-0005-0000-0000-0000B4410000}"/>
    <cellStyle name="40% - Accent4 7 2 5 3" xfId="23099" xr:uid="{00000000-0005-0000-0000-0000B5410000}"/>
    <cellStyle name="40% - Accent4 7 2 6" xfId="4250" xr:uid="{00000000-0005-0000-0000-0000B6410000}"/>
    <cellStyle name="40% - Accent4 7 2 6 2" xfId="13817" xr:uid="{00000000-0005-0000-0000-0000B7410000}"/>
    <cellStyle name="40% - Accent4 7 2 6 2 2" xfId="27366" xr:uid="{00000000-0005-0000-0000-0000B8410000}"/>
    <cellStyle name="40% - Accent4 7 2 6 3" xfId="23098" xr:uid="{00000000-0005-0000-0000-0000B9410000}"/>
    <cellStyle name="40% - Accent4 7 2 7" xfId="4251" xr:uid="{00000000-0005-0000-0000-0000BA410000}"/>
    <cellStyle name="40% - Accent4 7 2 7 2" xfId="14398" xr:uid="{00000000-0005-0000-0000-0000BB410000}"/>
    <cellStyle name="40% - Accent4 7 2 7 2 2" xfId="27947" xr:uid="{00000000-0005-0000-0000-0000BC410000}"/>
    <cellStyle name="40% - Accent4 7 2 7 3" xfId="24288" xr:uid="{00000000-0005-0000-0000-0000BD410000}"/>
    <cellStyle name="40% - Accent4 7 2 8" xfId="4252" xr:uid="{00000000-0005-0000-0000-0000BE410000}"/>
    <cellStyle name="40% - Accent4 7 2 8 2" xfId="15365" xr:uid="{00000000-0005-0000-0000-0000BF410000}"/>
    <cellStyle name="40% - Accent4 7 2 8 2 2" xfId="28914" xr:uid="{00000000-0005-0000-0000-0000C0410000}"/>
    <cellStyle name="40% - Accent4 7 2 8 3" xfId="23097" xr:uid="{00000000-0005-0000-0000-0000C1410000}"/>
    <cellStyle name="40% - Accent4 7 2 9" xfId="4253" xr:uid="{00000000-0005-0000-0000-0000C2410000}"/>
    <cellStyle name="40% - Accent4 7 2 9 2" xfId="16284" xr:uid="{00000000-0005-0000-0000-0000C3410000}"/>
    <cellStyle name="40% - Accent4 7 2 9 2 2" xfId="29691" xr:uid="{00000000-0005-0000-0000-0000C4410000}"/>
    <cellStyle name="40% - Accent4 7 2 9 3" xfId="25291" xr:uid="{00000000-0005-0000-0000-0000C5410000}"/>
    <cellStyle name="40% - Accent4 7 3" xfId="4254" xr:uid="{00000000-0005-0000-0000-0000C6410000}"/>
    <cellStyle name="40% - Accent4 7 3 2" xfId="4255" xr:uid="{00000000-0005-0000-0000-0000C7410000}"/>
    <cellStyle name="40% - Accent4 7 3 2 2" xfId="11157" xr:uid="{00000000-0005-0000-0000-0000C8410000}"/>
    <cellStyle name="40% - Accent4 7 3 2 2 2" xfId="25099" xr:uid="{00000000-0005-0000-0000-0000C9410000}"/>
    <cellStyle name="40% - Accent4 7 3 2 3" xfId="23095" xr:uid="{00000000-0005-0000-0000-0000CA410000}"/>
    <cellStyle name="40% - Accent4 7 3 3" xfId="4256" xr:uid="{00000000-0005-0000-0000-0000CB410000}"/>
    <cellStyle name="40% - Accent4 7 3 3 2" xfId="12936" xr:uid="{00000000-0005-0000-0000-0000CC410000}"/>
    <cellStyle name="40% - Accent4 7 3 3 2 2" xfId="26648" xr:uid="{00000000-0005-0000-0000-0000CD410000}"/>
    <cellStyle name="40% - Accent4 7 3 3 3" xfId="23094" xr:uid="{00000000-0005-0000-0000-0000CE410000}"/>
    <cellStyle name="40% - Accent4 7 3 4" xfId="4257" xr:uid="{00000000-0005-0000-0000-0000CF410000}"/>
    <cellStyle name="40% - Accent4 7 3 4 2" xfId="15368" xr:uid="{00000000-0005-0000-0000-0000D0410000}"/>
    <cellStyle name="40% - Accent4 7 3 4 2 2" xfId="28917" xr:uid="{00000000-0005-0000-0000-0000D1410000}"/>
    <cellStyle name="40% - Accent4 7 3 4 3" xfId="24283" xr:uid="{00000000-0005-0000-0000-0000D2410000}"/>
    <cellStyle name="40% - Accent4 7 3 5" xfId="4258" xr:uid="{00000000-0005-0000-0000-0000D3410000}"/>
    <cellStyle name="40% - Accent4 7 3 5 2" xfId="16576" xr:uid="{00000000-0005-0000-0000-0000D4410000}"/>
    <cellStyle name="40% - Accent4 7 3 5 2 2" xfId="29983" xr:uid="{00000000-0005-0000-0000-0000D5410000}"/>
    <cellStyle name="40% - Accent4 7 3 5 3" xfId="23093" xr:uid="{00000000-0005-0000-0000-0000D6410000}"/>
    <cellStyle name="40% - Accent4 7 3 6" xfId="9430" xr:uid="{00000000-0005-0000-0000-0000D7410000}"/>
    <cellStyle name="40% - Accent4 7 3 6 2" xfId="23905" xr:uid="{00000000-0005-0000-0000-0000D8410000}"/>
    <cellStyle name="40% - Accent4 7 3 7" xfId="23096" xr:uid="{00000000-0005-0000-0000-0000D9410000}"/>
    <cellStyle name="40% - Accent4 7 4" xfId="4259" xr:uid="{00000000-0005-0000-0000-0000DA410000}"/>
    <cellStyle name="40% - Accent4 7 4 2" xfId="4260" xr:uid="{00000000-0005-0000-0000-0000DB410000}"/>
    <cellStyle name="40% - Accent4 7 4 2 2" xfId="15369" xr:uid="{00000000-0005-0000-0000-0000DC410000}"/>
    <cellStyle name="40% - Accent4 7 4 2 2 2" xfId="28918" xr:uid="{00000000-0005-0000-0000-0000DD410000}"/>
    <cellStyle name="40% - Accent4 7 4 2 3" xfId="29166" xr:uid="{00000000-0005-0000-0000-0000DE410000}"/>
    <cellStyle name="40% - Accent4 7 4 3" xfId="11154" xr:uid="{00000000-0005-0000-0000-0000DF410000}"/>
    <cellStyle name="40% - Accent4 7 4 3 2" xfId="25096" xr:uid="{00000000-0005-0000-0000-0000E0410000}"/>
    <cellStyle name="40% - Accent4 7 4 4" xfId="23092" xr:uid="{00000000-0005-0000-0000-0000E1410000}"/>
    <cellStyle name="40% - Accent4 7 5" xfId="4261" xr:uid="{00000000-0005-0000-0000-0000E2410000}"/>
    <cellStyle name="40% - Accent4 7 5 2" xfId="11951" xr:uid="{00000000-0005-0000-0000-0000E3410000}"/>
    <cellStyle name="40% - Accent4 7 5 2 2" xfId="25666" xr:uid="{00000000-0005-0000-0000-0000E4410000}"/>
    <cellStyle name="40% - Accent4 7 5 3" xfId="23091" xr:uid="{00000000-0005-0000-0000-0000E5410000}"/>
    <cellStyle name="40% - Accent4 7 6" xfId="4262" xr:uid="{00000000-0005-0000-0000-0000E6410000}"/>
    <cellStyle name="40% - Accent4 7 6 2" xfId="12933" xr:uid="{00000000-0005-0000-0000-0000E7410000}"/>
    <cellStyle name="40% - Accent4 7 6 2 2" xfId="26645" xr:uid="{00000000-0005-0000-0000-0000E8410000}"/>
    <cellStyle name="40% - Accent4 7 6 3" xfId="23090" xr:uid="{00000000-0005-0000-0000-0000E9410000}"/>
    <cellStyle name="40% - Accent4 7 7" xfId="4263" xr:uid="{00000000-0005-0000-0000-0000EA410000}"/>
    <cellStyle name="40% - Accent4 7 7 2" xfId="13528" xr:uid="{00000000-0005-0000-0000-0000EB410000}"/>
    <cellStyle name="40% - Accent4 7 7 2 2" xfId="27077" xr:uid="{00000000-0005-0000-0000-0000EC410000}"/>
    <cellStyle name="40% - Accent4 7 7 3" xfId="26860" xr:uid="{00000000-0005-0000-0000-0000ED410000}"/>
    <cellStyle name="40% - Accent4 7 8" xfId="4264" xr:uid="{00000000-0005-0000-0000-0000EE410000}"/>
    <cellStyle name="40% - Accent4 7 8 2" xfId="14109" xr:uid="{00000000-0005-0000-0000-0000EF410000}"/>
    <cellStyle name="40% - Accent4 7 8 2 2" xfId="27658" xr:uid="{00000000-0005-0000-0000-0000F0410000}"/>
    <cellStyle name="40% - Accent4 7 8 3" xfId="23089" xr:uid="{00000000-0005-0000-0000-0000F1410000}"/>
    <cellStyle name="40% - Accent4 7 9" xfId="4265" xr:uid="{00000000-0005-0000-0000-0000F2410000}"/>
    <cellStyle name="40% - Accent4 7 9 2" xfId="15364" xr:uid="{00000000-0005-0000-0000-0000F3410000}"/>
    <cellStyle name="40% - Accent4 7 9 2 2" xfId="28913" xr:uid="{00000000-0005-0000-0000-0000F4410000}"/>
    <cellStyle name="40% - Accent4 7 9 3" xfId="23088" xr:uid="{00000000-0005-0000-0000-0000F5410000}"/>
    <cellStyle name="40% - Accent4 8" xfId="4266" xr:uid="{00000000-0005-0000-0000-0000F6410000}"/>
    <cellStyle name="40% - Accent4 8 10" xfId="9431" xr:uid="{00000000-0005-0000-0000-0000F7410000}"/>
    <cellStyle name="40% - Accent4 8 10 2" xfId="23906" xr:uid="{00000000-0005-0000-0000-0000F8410000}"/>
    <cellStyle name="40% - Accent4 8 11" xfId="24286" xr:uid="{00000000-0005-0000-0000-0000F9410000}"/>
    <cellStyle name="40% - Accent4 8 2" xfId="4267" xr:uid="{00000000-0005-0000-0000-0000FA410000}"/>
    <cellStyle name="40% - Accent4 8 2 2" xfId="4268" xr:uid="{00000000-0005-0000-0000-0000FB410000}"/>
    <cellStyle name="40% - Accent4 8 2 2 2" xfId="11159" xr:uid="{00000000-0005-0000-0000-0000FC410000}"/>
    <cellStyle name="40% - Accent4 8 2 2 2 2" xfId="25101" xr:uid="{00000000-0005-0000-0000-0000FD410000}"/>
    <cellStyle name="40% - Accent4 8 2 2 3" xfId="25290" xr:uid="{00000000-0005-0000-0000-0000FE410000}"/>
    <cellStyle name="40% - Accent4 8 2 3" xfId="4269" xr:uid="{00000000-0005-0000-0000-0000FF410000}"/>
    <cellStyle name="40% - Accent4 8 2 3 2" xfId="12938" xr:uid="{00000000-0005-0000-0000-000000420000}"/>
    <cellStyle name="40% - Accent4 8 2 3 2 2" xfId="26650" xr:uid="{00000000-0005-0000-0000-000001420000}"/>
    <cellStyle name="40% - Accent4 8 2 3 3" xfId="23086" xr:uid="{00000000-0005-0000-0000-000002420000}"/>
    <cellStyle name="40% - Accent4 8 2 4" xfId="4270" xr:uid="{00000000-0005-0000-0000-000003420000}"/>
    <cellStyle name="40% - Accent4 8 2 4 2" xfId="15371" xr:uid="{00000000-0005-0000-0000-000004420000}"/>
    <cellStyle name="40% - Accent4 8 2 4 2 2" xfId="28920" xr:uid="{00000000-0005-0000-0000-000005420000}"/>
    <cellStyle name="40% - Accent4 8 2 4 3" xfId="23085" xr:uid="{00000000-0005-0000-0000-000006420000}"/>
    <cellStyle name="40% - Accent4 8 2 5" xfId="4271" xr:uid="{00000000-0005-0000-0000-000007420000}"/>
    <cellStyle name="40% - Accent4 8 2 5 2" xfId="16721" xr:uid="{00000000-0005-0000-0000-000008420000}"/>
    <cellStyle name="40% - Accent4 8 2 5 2 2" xfId="30128" xr:uid="{00000000-0005-0000-0000-000009420000}"/>
    <cellStyle name="40% - Accent4 8 2 5 3" xfId="24284" xr:uid="{00000000-0005-0000-0000-00000A420000}"/>
    <cellStyle name="40% - Accent4 8 2 6" xfId="9432" xr:uid="{00000000-0005-0000-0000-00000B420000}"/>
    <cellStyle name="40% - Accent4 8 2 6 2" xfId="23907" xr:uid="{00000000-0005-0000-0000-00000C420000}"/>
    <cellStyle name="40% - Accent4 8 2 7" xfId="23087" xr:uid="{00000000-0005-0000-0000-00000D420000}"/>
    <cellStyle name="40% - Accent4 8 3" xfId="4272" xr:uid="{00000000-0005-0000-0000-00000E420000}"/>
    <cellStyle name="40% - Accent4 8 3 2" xfId="4273" xr:uid="{00000000-0005-0000-0000-00000F420000}"/>
    <cellStyle name="40% - Accent4 8 3 2 2" xfId="15372" xr:uid="{00000000-0005-0000-0000-000010420000}"/>
    <cellStyle name="40% - Accent4 8 3 2 2 2" xfId="28921" xr:uid="{00000000-0005-0000-0000-000011420000}"/>
    <cellStyle name="40% - Accent4 8 3 2 3" xfId="23083" xr:uid="{00000000-0005-0000-0000-000012420000}"/>
    <cellStyle name="40% - Accent4 8 3 3" xfId="11158" xr:uid="{00000000-0005-0000-0000-000013420000}"/>
    <cellStyle name="40% - Accent4 8 3 3 2" xfId="25100" xr:uid="{00000000-0005-0000-0000-000014420000}"/>
    <cellStyle name="40% - Accent4 8 3 4" xfId="23084" xr:uid="{00000000-0005-0000-0000-000015420000}"/>
    <cellStyle name="40% - Accent4 8 4" xfId="4274" xr:uid="{00000000-0005-0000-0000-000016420000}"/>
    <cellStyle name="40% - Accent4 8 4 2" xfId="12099" xr:uid="{00000000-0005-0000-0000-000017420000}"/>
    <cellStyle name="40% - Accent4 8 4 2 2" xfId="25813" xr:uid="{00000000-0005-0000-0000-000018420000}"/>
    <cellStyle name="40% - Accent4 8 4 3" xfId="29165" xr:uid="{00000000-0005-0000-0000-000019420000}"/>
    <cellStyle name="40% - Accent4 8 5" xfId="4275" xr:uid="{00000000-0005-0000-0000-00001A420000}"/>
    <cellStyle name="40% - Accent4 8 5 2" xfId="12937" xr:uid="{00000000-0005-0000-0000-00001B420000}"/>
    <cellStyle name="40% - Accent4 8 5 2 2" xfId="26649" xr:uid="{00000000-0005-0000-0000-00001C420000}"/>
    <cellStyle name="40% - Accent4 8 5 3" xfId="23082" xr:uid="{00000000-0005-0000-0000-00001D420000}"/>
    <cellStyle name="40% - Accent4 8 6" xfId="4276" xr:uid="{00000000-0005-0000-0000-00001E420000}"/>
    <cellStyle name="40% - Accent4 8 6 2" xfId="13673" xr:uid="{00000000-0005-0000-0000-00001F420000}"/>
    <cellStyle name="40% - Accent4 8 6 2 2" xfId="27222" xr:uid="{00000000-0005-0000-0000-000020420000}"/>
    <cellStyle name="40% - Accent4 8 6 3" xfId="23081" xr:uid="{00000000-0005-0000-0000-000021420000}"/>
    <cellStyle name="40% - Accent4 8 7" xfId="4277" xr:uid="{00000000-0005-0000-0000-000022420000}"/>
    <cellStyle name="40% - Accent4 8 7 2" xfId="14254" xr:uid="{00000000-0005-0000-0000-000023420000}"/>
    <cellStyle name="40% - Accent4 8 7 2 2" xfId="27803" xr:uid="{00000000-0005-0000-0000-000024420000}"/>
    <cellStyle name="40% - Accent4 8 7 3" xfId="26859" xr:uid="{00000000-0005-0000-0000-000025420000}"/>
    <cellStyle name="40% - Accent4 8 8" xfId="4278" xr:uid="{00000000-0005-0000-0000-000026420000}"/>
    <cellStyle name="40% - Accent4 8 8 2" xfId="15370" xr:uid="{00000000-0005-0000-0000-000027420000}"/>
    <cellStyle name="40% - Accent4 8 8 2 2" xfId="28919" xr:uid="{00000000-0005-0000-0000-000028420000}"/>
    <cellStyle name="40% - Accent4 8 8 3" xfId="23080" xr:uid="{00000000-0005-0000-0000-000029420000}"/>
    <cellStyle name="40% - Accent4 8 9" xfId="4279" xr:uid="{00000000-0005-0000-0000-00002A420000}"/>
    <cellStyle name="40% - Accent4 8 9 2" xfId="16140" xr:uid="{00000000-0005-0000-0000-00002B420000}"/>
    <cellStyle name="40% - Accent4 8 9 2 2" xfId="29547" xr:uid="{00000000-0005-0000-0000-00002C420000}"/>
    <cellStyle name="40% - Accent4 8 9 3" xfId="23079" xr:uid="{00000000-0005-0000-0000-00002D420000}"/>
    <cellStyle name="40% - Accent4 9" xfId="4280" xr:uid="{00000000-0005-0000-0000-00002E420000}"/>
    <cellStyle name="40% - Accent4 9 2" xfId="4281" xr:uid="{00000000-0005-0000-0000-00002F420000}"/>
    <cellStyle name="40% - Accent4 9 2 2" xfId="11160" xr:uid="{00000000-0005-0000-0000-000030420000}"/>
    <cellStyle name="40% - Accent4 9 2 2 2" xfId="25102" xr:uid="{00000000-0005-0000-0000-000031420000}"/>
    <cellStyle name="40% - Accent4 9 2 3" xfId="23078" xr:uid="{00000000-0005-0000-0000-000032420000}"/>
    <cellStyle name="40% - Accent4 9 3" xfId="4282" xr:uid="{00000000-0005-0000-0000-000033420000}"/>
    <cellStyle name="40% - Accent4 9 3 2" xfId="12939" xr:uid="{00000000-0005-0000-0000-000034420000}"/>
    <cellStyle name="40% - Accent4 9 3 2 2" xfId="26651" xr:uid="{00000000-0005-0000-0000-000035420000}"/>
    <cellStyle name="40% - Accent4 9 3 3" xfId="25289" xr:uid="{00000000-0005-0000-0000-000036420000}"/>
    <cellStyle name="40% - Accent4 9 4" xfId="4283" xr:uid="{00000000-0005-0000-0000-000037420000}"/>
    <cellStyle name="40% - Accent4 9 4 2" xfId="15373" xr:uid="{00000000-0005-0000-0000-000038420000}"/>
    <cellStyle name="40% - Accent4 9 4 2 2" xfId="28922" xr:uid="{00000000-0005-0000-0000-000039420000}"/>
    <cellStyle name="40% - Accent4 9 4 3" xfId="23077" xr:uid="{00000000-0005-0000-0000-00003A420000}"/>
    <cellStyle name="40% - Accent4 9 5" xfId="4284" xr:uid="{00000000-0005-0000-0000-00003B420000}"/>
    <cellStyle name="40% - Accent4 9 5 2" xfId="17105" xr:uid="{00000000-0005-0000-0000-00003C420000}"/>
    <cellStyle name="40% - Accent4 9 5 2 2" xfId="30464" xr:uid="{00000000-0005-0000-0000-00003D420000}"/>
    <cellStyle name="40% - Accent4 9 5 3" xfId="23076" xr:uid="{00000000-0005-0000-0000-00003E420000}"/>
    <cellStyle name="40% - Accent4 9 6" xfId="9433" xr:uid="{00000000-0005-0000-0000-00003F420000}"/>
    <cellStyle name="40% - Accent4 9 6 2" xfId="23908" xr:uid="{00000000-0005-0000-0000-000040420000}"/>
    <cellStyle name="40% - Accent4 9 7" xfId="24285" xr:uid="{00000000-0005-0000-0000-000041420000}"/>
    <cellStyle name="40% - Accent5" xfId="44" builtinId="47" customBuiltin="1"/>
    <cellStyle name="40% - Accent5 10" xfId="4285" xr:uid="{00000000-0005-0000-0000-000043420000}"/>
    <cellStyle name="40% - Accent5 10 2" xfId="4286" xr:uid="{00000000-0005-0000-0000-000044420000}"/>
    <cellStyle name="40% - Accent5 10 2 2" xfId="4287" xr:uid="{00000000-0005-0000-0000-000045420000}"/>
    <cellStyle name="40% - Accent5 10 2 2 2" xfId="12942" xr:uid="{00000000-0005-0000-0000-000046420000}"/>
    <cellStyle name="40% - Accent5 10 2 2 2 2" xfId="26654" xr:uid="{00000000-0005-0000-0000-000047420000}"/>
    <cellStyle name="40% - Accent5 10 2 2 3" xfId="24282" xr:uid="{00000000-0005-0000-0000-000048420000}"/>
    <cellStyle name="40% - Accent5 10 2 3" xfId="4288" xr:uid="{00000000-0005-0000-0000-000049420000}"/>
    <cellStyle name="40% - Accent5 10 2 3 2" xfId="15376" xr:uid="{00000000-0005-0000-0000-00004A420000}"/>
    <cellStyle name="40% - Accent5 10 2 3 2 2" xfId="28925" xr:uid="{00000000-0005-0000-0000-00004B420000}"/>
    <cellStyle name="40% - Accent5 10 2 3 3" xfId="23073" xr:uid="{00000000-0005-0000-0000-00004C420000}"/>
    <cellStyle name="40% - Accent5 10 2 4" xfId="11162" xr:uid="{00000000-0005-0000-0000-00004D420000}"/>
    <cellStyle name="40% - Accent5 10 2 4 2" xfId="25104" xr:uid="{00000000-0005-0000-0000-00004E420000}"/>
    <cellStyle name="40% - Accent5 10 2 5" xfId="23074" xr:uid="{00000000-0005-0000-0000-00004F420000}"/>
    <cellStyle name="40% - Accent5 10 3" xfId="4289" xr:uid="{00000000-0005-0000-0000-000050420000}"/>
    <cellStyle name="40% - Accent5 10 3 2" xfId="12941" xr:uid="{00000000-0005-0000-0000-000051420000}"/>
    <cellStyle name="40% - Accent5 10 3 2 2" xfId="26653" xr:uid="{00000000-0005-0000-0000-000052420000}"/>
    <cellStyle name="40% - Accent5 10 3 3" xfId="23072" xr:uid="{00000000-0005-0000-0000-000053420000}"/>
    <cellStyle name="40% - Accent5 10 4" xfId="4290" xr:uid="{00000000-0005-0000-0000-000054420000}"/>
    <cellStyle name="40% - Accent5 10 4 2" xfId="15375" xr:uid="{00000000-0005-0000-0000-000055420000}"/>
    <cellStyle name="40% - Accent5 10 4 2 2" xfId="28924" xr:uid="{00000000-0005-0000-0000-000056420000}"/>
    <cellStyle name="40% - Accent5 10 4 3" xfId="23071" xr:uid="{00000000-0005-0000-0000-000057420000}"/>
    <cellStyle name="40% - Accent5 10 5" xfId="4291" xr:uid="{00000000-0005-0000-0000-000058420000}"/>
    <cellStyle name="40% - Accent5 10 5 2" xfId="17195" xr:uid="{00000000-0005-0000-0000-000059420000}"/>
    <cellStyle name="40% - Accent5 10 5 2 2" xfId="30554" xr:uid="{00000000-0005-0000-0000-00005A420000}"/>
    <cellStyle name="40% - Accent5 10 5 3" xfId="29164" xr:uid="{00000000-0005-0000-0000-00005B420000}"/>
    <cellStyle name="40% - Accent5 10 6" xfId="9435" xr:uid="{00000000-0005-0000-0000-00005C420000}"/>
    <cellStyle name="40% - Accent5 10 6 2" xfId="23910" xr:uid="{00000000-0005-0000-0000-00005D420000}"/>
    <cellStyle name="40% - Accent5 10 7" xfId="23075" xr:uid="{00000000-0005-0000-0000-00005E420000}"/>
    <cellStyle name="40% - Accent5 11" xfId="4292" xr:uid="{00000000-0005-0000-0000-00005F420000}"/>
    <cellStyle name="40% - Accent5 11 2" xfId="4293" xr:uid="{00000000-0005-0000-0000-000060420000}"/>
    <cellStyle name="40% - Accent5 11 2 2" xfId="11163" xr:uid="{00000000-0005-0000-0000-000061420000}"/>
    <cellStyle name="40% - Accent5 11 2 2 2" xfId="25105" xr:uid="{00000000-0005-0000-0000-000062420000}"/>
    <cellStyle name="40% - Accent5 11 2 3" xfId="23069" xr:uid="{00000000-0005-0000-0000-000063420000}"/>
    <cellStyle name="40% - Accent5 11 3" xfId="4294" xr:uid="{00000000-0005-0000-0000-000064420000}"/>
    <cellStyle name="40% - Accent5 11 3 2" xfId="12943" xr:uid="{00000000-0005-0000-0000-000065420000}"/>
    <cellStyle name="40% - Accent5 11 3 2 2" xfId="26655" xr:uid="{00000000-0005-0000-0000-000066420000}"/>
    <cellStyle name="40% - Accent5 11 3 3" xfId="26858" xr:uid="{00000000-0005-0000-0000-000067420000}"/>
    <cellStyle name="40% - Accent5 11 4" xfId="4295" xr:uid="{00000000-0005-0000-0000-000068420000}"/>
    <cellStyle name="40% - Accent5 11 4 2" xfId="15377" xr:uid="{00000000-0005-0000-0000-000069420000}"/>
    <cellStyle name="40% - Accent5 11 4 2 2" xfId="28926" xr:uid="{00000000-0005-0000-0000-00006A420000}"/>
    <cellStyle name="40% - Accent5 11 4 3" xfId="23068" xr:uid="{00000000-0005-0000-0000-00006B420000}"/>
    <cellStyle name="40% - Accent5 11 5" xfId="4296" xr:uid="{00000000-0005-0000-0000-00006C420000}"/>
    <cellStyle name="40% - Accent5 11 5 2" xfId="17284" xr:uid="{00000000-0005-0000-0000-00006D420000}"/>
    <cellStyle name="40% - Accent5 11 5 2 2" xfId="30643" xr:uid="{00000000-0005-0000-0000-00006E420000}"/>
    <cellStyle name="40% - Accent5 11 5 3" xfId="23067" xr:uid="{00000000-0005-0000-0000-00006F420000}"/>
    <cellStyle name="40% - Accent5 11 6" xfId="9436" xr:uid="{00000000-0005-0000-0000-000070420000}"/>
    <cellStyle name="40% - Accent5 11 6 2" xfId="23911" xr:uid="{00000000-0005-0000-0000-000071420000}"/>
    <cellStyle name="40% - Accent5 11 7" xfId="23070" xr:uid="{00000000-0005-0000-0000-000072420000}"/>
    <cellStyle name="40% - Accent5 12" xfId="4297" xr:uid="{00000000-0005-0000-0000-000073420000}"/>
    <cellStyle name="40% - Accent5 12 2" xfId="4298" xr:uid="{00000000-0005-0000-0000-000074420000}"/>
    <cellStyle name="40% - Accent5 12 2 2" xfId="4299" xr:uid="{00000000-0005-0000-0000-000075420000}"/>
    <cellStyle name="40% - Accent5 12 2 2 2" xfId="11165" xr:uid="{00000000-0005-0000-0000-000076420000}"/>
    <cellStyle name="40% - Accent5 12 2 2 2 2" xfId="25107" xr:uid="{00000000-0005-0000-0000-000077420000}"/>
    <cellStyle name="40% - Accent5 12 2 2 3" xfId="23066" xr:uid="{00000000-0005-0000-0000-000078420000}"/>
    <cellStyle name="40% - Accent5 12 2 3" xfId="4300" xr:uid="{00000000-0005-0000-0000-000079420000}"/>
    <cellStyle name="40% - Accent5 12 2 3 2" xfId="12945" xr:uid="{00000000-0005-0000-0000-00007A420000}"/>
    <cellStyle name="40% - Accent5 12 2 3 2 2" xfId="26657" xr:uid="{00000000-0005-0000-0000-00007B420000}"/>
    <cellStyle name="40% - Accent5 12 2 3 3" xfId="23065" xr:uid="{00000000-0005-0000-0000-00007C420000}"/>
    <cellStyle name="40% - Accent5 12 2 4" xfId="4301" xr:uid="{00000000-0005-0000-0000-00007D420000}"/>
    <cellStyle name="40% - Accent5 12 2 4 2" xfId="15379" xr:uid="{00000000-0005-0000-0000-00007E420000}"/>
    <cellStyle name="40% - Accent5 12 2 4 2 2" xfId="28928" xr:uid="{00000000-0005-0000-0000-00007F420000}"/>
    <cellStyle name="40% - Accent5 12 2 4 3" xfId="24280" xr:uid="{00000000-0005-0000-0000-000080420000}"/>
    <cellStyle name="40% - Accent5 12 2 5" xfId="9438" xr:uid="{00000000-0005-0000-0000-000081420000}"/>
    <cellStyle name="40% - Accent5 12 2 5 2" xfId="23913" xr:uid="{00000000-0005-0000-0000-000082420000}"/>
    <cellStyle name="40% - Accent5 12 2 6" xfId="25288" xr:uid="{00000000-0005-0000-0000-000083420000}"/>
    <cellStyle name="40% - Accent5 12 3" xfId="4302" xr:uid="{00000000-0005-0000-0000-000084420000}"/>
    <cellStyle name="40% - Accent5 12 3 2" xfId="11164" xr:uid="{00000000-0005-0000-0000-000085420000}"/>
    <cellStyle name="40% - Accent5 12 3 2 2" xfId="25106" xr:uid="{00000000-0005-0000-0000-000086420000}"/>
    <cellStyle name="40% - Accent5 12 3 3" xfId="23064" xr:uid="{00000000-0005-0000-0000-000087420000}"/>
    <cellStyle name="40% - Accent5 12 4" xfId="4303" xr:uid="{00000000-0005-0000-0000-000088420000}"/>
    <cellStyle name="40% - Accent5 12 4 2" xfId="12944" xr:uid="{00000000-0005-0000-0000-000089420000}"/>
    <cellStyle name="40% - Accent5 12 4 2 2" xfId="26656" xr:uid="{00000000-0005-0000-0000-00008A420000}"/>
    <cellStyle name="40% - Accent5 12 4 3" xfId="23063" xr:uid="{00000000-0005-0000-0000-00008B420000}"/>
    <cellStyle name="40% - Accent5 12 5" xfId="4304" xr:uid="{00000000-0005-0000-0000-00008C420000}"/>
    <cellStyle name="40% - Accent5 12 5 2" xfId="15378" xr:uid="{00000000-0005-0000-0000-00008D420000}"/>
    <cellStyle name="40% - Accent5 12 5 2 2" xfId="28927" xr:uid="{00000000-0005-0000-0000-00008E420000}"/>
    <cellStyle name="40% - Accent5 12 5 3" xfId="24278" xr:uid="{00000000-0005-0000-0000-00008F420000}"/>
    <cellStyle name="40% - Accent5 12 6" xfId="4305" xr:uid="{00000000-0005-0000-0000-000090420000}"/>
    <cellStyle name="40% - Accent5 12 6 2" xfId="16436" xr:uid="{00000000-0005-0000-0000-000091420000}"/>
    <cellStyle name="40% - Accent5 12 6 2 2" xfId="29843" xr:uid="{00000000-0005-0000-0000-000092420000}"/>
    <cellStyle name="40% - Accent5 12 6 3" xfId="23062" xr:uid="{00000000-0005-0000-0000-000093420000}"/>
    <cellStyle name="40% - Accent5 12 7" xfId="9437" xr:uid="{00000000-0005-0000-0000-000094420000}"/>
    <cellStyle name="40% - Accent5 12 7 2" xfId="23912" xr:uid="{00000000-0005-0000-0000-000095420000}"/>
    <cellStyle name="40% - Accent5 12 8" xfId="24281" xr:uid="{00000000-0005-0000-0000-000096420000}"/>
    <cellStyle name="40% - Accent5 13" xfId="4306" xr:uid="{00000000-0005-0000-0000-000097420000}"/>
    <cellStyle name="40% - Accent5 13 2" xfId="4307" xr:uid="{00000000-0005-0000-0000-000098420000}"/>
    <cellStyle name="40% - Accent5 13 2 2" xfId="11166" xr:uid="{00000000-0005-0000-0000-000099420000}"/>
    <cellStyle name="40% - Accent5 13 2 2 2" xfId="25108" xr:uid="{00000000-0005-0000-0000-00009A420000}"/>
    <cellStyle name="40% - Accent5 13 2 3" xfId="29163" xr:uid="{00000000-0005-0000-0000-00009B420000}"/>
    <cellStyle name="40% - Accent5 13 3" xfId="4308" xr:uid="{00000000-0005-0000-0000-00009C420000}"/>
    <cellStyle name="40% - Accent5 13 3 2" xfId="12946" xr:uid="{00000000-0005-0000-0000-00009D420000}"/>
    <cellStyle name="40% - Accent5 13 3 2 2" xfId="26658" xr:uid="{00000000-0005-0000-0000-00009E420000}"/>
    <cellStyle name="40% - Accent5 13 3 3" xfId="23060" xr:uid="{00000000-0005-0000-0000-00009F420000}"/>
    <cellStyle name="40% - Accent5 13 4" xfId="4309" xr:uid="{00000000-0005-0000-0000-0000A0420000}"/>
    <cellStyle name="40% - Accent5 13 4 2" xfId="15380" xr:uid="{00000000-0005-0000-0000-0000A1420000}"/>
    <cellStyle name="40% - Accent5 13 4 2 2" xfId="28929" xr:uid="{00000000-0005-0000-0000-0000A2420000}"/>
    <cellStyle name="40% - Accent5 13 4 3" xfId="23059" xr:uid="{00000000-0005-0000-0000-0000A3420000}"/>
    <cellStyle name="40% - Accent5 13 5" xfId="9439" xr:uid="{00000000-0005-0000-0000-0000A4420000}"/>
    <cellStyle name="40% - Accent5 13 5 2" xfId="23914" xr:uid="{00000000-0005-0000-0000-0000A5420000}"/>
    <cellStyle name="40% - Accent5 13 6" xfId="23061" xr:uid="{00000000-0005-0000-0000-0000A6420000}"/>
    <cellStyle name="40% - Accent5 14" xfId="4310" xr:uid="{00000000-0005-0000-0000-0000A7420000}"/>
    <cellStyle name="40% - Accent5 14 2" xfId="4311" xr:uid="{00000000-0005-0000-0000-0000A8420000}"/>
    <cellStyle name="40% - Accent5 14 2 2" xfId="11167" xr:uid="{00000000-0005-0000-0000-0000A9420000}"/>
    <cellStyle name="40% - Accent5 14 2 2 2" xfId="25109" xr:uid="{00000000-0005-0000-0000-0000AA420000}"/>
    <cellStyle name="40% - Accent5 14 2 3" xfId="23058" xr:uid="{00000000-0005-0000-0000-0000AB420000}"/>
    <cellStyle name="40% - Accent5 14 3" xfId="4312" xr:uid="{00000000-0005-0000-0000-0000AC420000}"/>
    <cellStyle name="40% - Accent5 14 3 2" xfId="12947" xr:uid="{00000000-0005-0000-0000-0000AD420000}"/>
    <cellStyle name="40% - Accent5 14 3 2 2" xfId="26659" xr:uid="{00000000-0005-0000-0000-0000AE420000}"/>
    <cellStyle name="40% - Accent5 14 3 3" xfId="23057" xr:uid="{00000000-0005-0000-0000-0000AF420000}"/>
    <cellStyle name="40% - Accent5 14 4" xfId="4313" xr:uid="{00000000-0005-0000-0000-0000B0420000}"/>
    <cellStyle name="40% - Accent5 14 4 2" xfId="15381" xr:uid="{00000000-0005-0000-0000-0000B1420000}"/>
    <cellStyle name="40% - Accent5 14 4 2 2" xfId="28930" xr:uid="{00000000-0005-0000-0000-0000B2420000}"/>
    <cellStyle name="40% - Accent5 14 4 3" xfId="24279" xr:uid="{00000000-0005-0000-0000-0000B3420000}"/>
    <cellStyle name="40% - Accent5 14 5" xfId="9440" xr:uid="{00000000-0005-0000-0000-0000B4420000}"/>
    <cellStyle name="40% - Accent5 14 5 2" xfId="23915" xr:uid="{00000000-0005-0000-0000-0000B5420000}"/>
    <cellStyle name="40% - Accent5 14 6" xfId="26857" xr:uid="{00000000-0005-0000-0000-0000B6420000}"/>
    <cellStyle name="40% - Accent5 15" xfId="4314" xr:uid="{00000000-0005-0000-0000-0000B7420000}"/>
    <cellStyle name="40% - Accent5 15 2" xfId="4315" xr:uid="{00000000-0005-0000-0000-0000B8420000}"/>
    <cellStyle name="40% - Accent5 15 2 2" xfId="11168" xr:uid="{00000000-0005-0000-0000-0000B9420000}"/>
    <cellStyle name="40% - Accent5 15 2 2 2" xfId="25110" xr:uid="{00000000-0005-0000-0000-0000BA420000}"/>
    <cellStyle name="40% - Accent5 15 2 3" xfId="25287" xr:uid="{00000000-0005-0000-0000-0000BB420000}"/>
    <cellStyle name="40% - Accent5 15 3" xfId="4316" xr:uid="{00000000-0005-0000-0000-0000BC420000}"/>
    <cellStyle name="40% - Accent5 15 3 2" xfId="12948" xr:uid="{00000000-0005-0000-0000-0000BD420000}"/>
    <cellStyle name="40% - Accent5 15 3 2 2" xfId="26660" xr:uid="{00000000-0005-0000-0000-0000BE420000}"/>
    <cellStyle name="40% - Accent5 15 3 3" xfId="23055" xr:uid="{00000000-0005-0000-0000-0000BF420000}"/>
    <cellStyle name="40% - Accent5 15 4" xfId="4317" xr:uid="{00000000-0005-0000-0000-0000C0420000}"/>
    <cellStyle name="40% - Accent5 15 4 2" xfId="15382" xr:uid="{00000000-0005-0000-0000-0000C1420000}"/>
    <cellStyle name="40% - Accent5 15 4 2 2" xfId="28931" xr:uid="{00000000-0005-0000-0000-0000C2420000}"/>
    <cellStyle name="40% - Accent5 15 4 3" xfId="23054" xr:uid="{00000000-0005-0000-0000-0000C3420000}"/>
    <cellStyle name="40% - Accent5 15 5" xfId="9441" xr:uid="{00000000-0005-0000-0000-0000C4420000}"/>
    <cellStyle name="40% - Accent5 15 5 2" xfId="23916" xr:uid="{00000000-0005-0000-0000-0000C5420000}"/>
    <cellStyle name="40% - Accent5 15 6" xfId="23056" xr:uid="{00000000-0005-0000-0000-0000C6420000}"/>
    <cellStyle name="40% - Accent5 16" xfId="4318" xr:uid="{00000000-0005-0000-0000-0000C7420000}"/>
    <cellStyle name="40% - Accent5 16 2" xfId="4319" xr:uid="{00000000-0005-0000-0000-0000C8420000}"/>
    <cellStyle name="40% - Accent5 16 2 2" xfId="11169" xr:uid="{00000000-0005-0000-0000-0000C9420000}"/>
    <cellStyle name="40% - Accent5 16 2 2 2" xfId="25111" xr:uid="{00000000-0005-0000-0000-0000CA420000}"/>
    <cellStyle name="40% - Accent5 16 2 3" xfId="24274" xr:uid="{00000000-0005-0000-0000-0000CB420000}"/>
    <cellStyle name="40% - Accent5 16 3" xfId="4320" xr:uid="{00000000-0005-0000-0000-0000CC420000}"/>
    <cellStyle name="40% - Accent5 16 3 2" xfId="12949" xr:uid="{00000000-0005-0000-0000-0000CD420000}"/>
    <cellStyle name="40% - Accent5 16 3 2 2" xfId="26661" xr:uid="{00000000-0005-0000-0000-0000CE420000}"/>
    <cellStyle name="40% - Accent5 16 3 3" xfId="23052" xr:uid="{00000000-0005-0000-0000-0000CF420000}"/>
    <cellStyle name="40% - Accent5 16 4" xfId="4321" xr:uid="{00000000-0005-0000-0000-0000D0420000}"/>
    <cellStyle name="40% - Accent5 16 4 2" xfId="15383" xr:uid="{00000000-0005-0000-0000-0000D1420000}"/>
    <cellStyle name="40% - Accent5 16 4 2 2" xfId="28932" xr:uid="{00000000-0005-0000-0000-0000D2420000}"/>
    <cellStyle name="40% - Accent5 16 4 3" xfId="23051" xr:uid="{00000000-0005-0000-0000-0000D3420000}"/>
    <cellStyle name="40% - Accent5 16 5" xfId="9442" xr:uid="{00000000-0005-0000-0000-0000D4420000}"/>
    <cellStyle name="40% - Accent5 16 5 2" xfId="23917" xr:uid="{00000000-0005-0000-0000-0000D5420000}"/>
    <cellStyle name="40% - Accent5 16 6" xfId="23053" xr:uid="{00000000-0005-0000-0000-0000D6420000}"/>
    <cellStyle name="40% - Accent5 17" xfId="4322" xr:uid="{00000000-0005-0000-0000-0000D7420000}"/>
    <cellStyle name="40% - Accent5 17 2" xfId="4323" xr:uid="{00000000-0005-0000-0000-0000D8420000}"/>
    <cellStyle name="40% - Accent5 17 2 2" xfId="11170" xr:uid="{00000000-0005-0000-0000-0000D9420000}"/>
    <cellStyle name="40% - Accent5 17 2 2 2" xfId="25112" xr:uid="{00000000-0005-0000-0000-0000DA420000}"/>
    <cellStyle name="40% - Accent5 17 2 3" xfId="23050" xr:uid="{00000000-0005-0000-0000-0000DB420000}"/>
    <cellStyle name="40% - Accent5 17 3" xfId="4324" xr:uid="{00000000-0005-0000-0000-0000DC420000}"/>
    <cellStyle name="40% - Accent5 17 3 2" xfId="12950" xr:uid="{00000000-0005-0000-0000-0000DD420000}"/>
    <cellStyle name="40% - Accent5 17 3 2 2" xfId="26662" xr:uid="{00000000-0005-0000-0000-0000DE420000}"/>
    <cellStyle name="40% - Accent5 17 3 3" xfId="23049" xr:uid="{00000000-0005-0000-0000-0000DF420000}"/>
    <cellStyle name="40% - Accent5 17 4" xfId="4325" xr:uid="{00000000-0005-0000-0000-0000E0420000}"/>
    <cellStyle name="40% - Accent5 17 4 2" xfId="15384" xr:uid="{00000000-0005-0000-0000-0000E1420000}"/>
    <cellStyle name="40% - Accent5 17 4 2 2" xfId="28933" xr:uid="{00000000-0005-0000-0000-0000E2420000}"/>
    <cellStyle name="40% - Accent5 17 4 3" xfId="26856" xr:uid="{00000000-0005-0000-0000-0000E3420000}"/>
    <cellStyle name="40% - Accent5 17 5" xfId="9443" xr:uid="{00000000-0005-0000-0000-0000E4420000}"/>
    <cellStyle name="40% - Accent5 17 5 2" xfId="23918" xr:uid="{00000000-0005-0000-0000-0000E5420000}"/>
    <cellStyle name="40% - Accent5 17 6" xfId="29162" xr:uid="{00000000-0005-0000-0000-0000E6420000}"/>
    <cellStyle name="40% - Accent5 18" xfId="4326" xr:uid="{00000000-0005-0000-0000-0000E7420000}"/>
    <cellStyle name="40% - Accent5 18 2" xfId="4327" xr:uid="{00000000-0005-0000-0000-0000E8420000}"/>
    <cellStyle name="40% - Accent5 18 2 2" xfId="11171" xr:uid="{00000000-0005-0000-0000-0000E9420000}"/>
    <cellStyle name="40% - Accent5 18 2 2 2" xfId="25113" xr:uid="{00000000-0005-0000-0000-0000EA420000}"/>
    <cellStyle name="40% - Accent5 18 2 3" xfId="23047" xr:uid="{00000000-0005-0000-0000-0000EB420000}"/>
    <cellStyle name="40% - Accent5 18 3" xfId="4328" xr:uid="{00000000-0005-0000-0000-0000EC420000}"/>
    <cellStyle name="40% - Accent5 18 3 2" xfId="12951" xr:uid="{00000000-0005-0000-0000-0000ED420000}"/>
    <cellStyle name="40% - Accent5 18 3 2 2" xfId="26663" xr:uid="{00000000-0005-0000-0000-0000EE420000}"/>
    <cellStyle name="40% - Accent5 18 3 3" xfId="24277" xr:uid="{00000000-0005-0000-0000-0000EF420000}"/>
    <cellStyle name="40% - Accent5 18 4" xfId="4329" xr:uid="{00000000-0005-0000-0000-0000F0420000}"/>
    <cellStyle name="40% - Accent5 18 4 2" xfId="15385" xr:uid="{00000000-0005-0000-0000-0000F1420000}"/>
    <cellStyle name="40% - Accent5 18 4 2 2" xfId="28934" xr:uid="{00000000-0005-0000-0000-0000F2420000}"/>
    <cellStyle name="40% - Accent5 18 4 3" xfId="23046" xr:uid="{00000000-0005-0000-0000-0000F3420000}"/>
    <cellStyle name="40% - Accent5 18 5" xfId="9444" xr:uid="{00000000-0005-0000-0000-0000F4420000}"/>
    <cellStyle name="40% - Accent5 18 5 2" xfId="23919" xr:uid="{00000000-0005-0000-0000-0000F5420000}"/>
    <cellStyle name="40% - Accent5 18 6" xfId="23048" xr:uid="{00000000-0005-0000-0000-0000F6420000}"/>
    <cellStyle name="40% - Accent5 19" xfId="4330" xr:uid="{00000000-0005-0000-0000-0000F7420000}"/>
    <cellStyle name="40% - Accent5 19 2" xfId="4331" xr:uid="{00000000-0005-0000-0000-0000F8420000}"/>
    <cellStyle name="40% - Accent5 19 2 2" xfId="11720" xr:uid="{00000000-0005-0000-0000-0000F9420000}"/>
    <cellStyle name="40% - Accent5 19 2 2 2" xfId="25440" xr:uid="{00000000-0005-0000-0000-0000FA420000}"/>
    <cellStyle name="40% - Accent5 19 2 3" xfId="23045" xr:uid="{00000000-0005-0000-0000-0000FB420000}"/>
    <cellStyle name="40% - Accent5 19 3" xfId="4332" xr:uid="{00000000-0005-0000-0000-0000FC420000}"/>
    <cellStyle name="40% - Accent5 19 3 2" xfId="12952" xr:uid="{00000000-0005-0000-0000-0000FD420000}"/>
    <cellStyle name="40% - Accent5 19 3 2 2" xfId="26664" xr:uid="{00000000-0005-0000-0000-0000FE420000}"/>
    <cellStyle name="40% - Accent5 19 3 3" xfId="23044" xr:uid="{00000000-0005-0000-0000-0000FF420000}"/>
    <cellStyle name="40% - Accent5 19 4" xfId="4333" xr:uid="{00000000-0005-0000-0000-000000430000}"/>
    <cellStyle name="40% - Accent5 19 4 2" xfId="15386" xr:uid="{00000000-0005-0000-0000-000001430000}"/>
    <cellStyle name="40% - Accent5 19 4 2 2" xfId="28935" xr:uid="{00000000-0005-0000-0000-000002430000}"/>
    <cellStyle name="40% - Accent5 19 4 3" xfId="24275" xr:uid="{00000000-0005-0000-0000-000003430000}"/>
    <cellStyle name="40% - Accent5 19 5" xfId="10472" xr:uid="{00000000-0005-0000-0000-000004430000}"/>
    <cellStyle name="40% - Accent5 19 5 2" xfId="24431" xr:uid="{00000000-0005-0000-0000-000005430000}"/>
    <cellStyle name="40% - Accent5 19 6" xfId="25286" xr:uid="{00000000-0005-0000-0000-000006430000}"/>
    <cellStyle name="40% - Accent5 2" xfId="4334" xr:uid="{00000000-0005-0000-0000-000007430000}"/>
    <cellStyle name="40% - Accent5 2 10" xfId="4335" xr:uid="{00000000-0005-0000-0000-000008430000}"/>
    <cellStyle name="40% - Accent5 2 10 2" xfId="4336" xr:uid="{00000000-0005-0000-0000-000009430000}"/>
    <cellStyle name="40% - Accent5 2 10 2 2" xfId="15388" xr:uid="{00000000-0005-0000-0000-00000A430000}"/>
    <cellStyle name="40% - Accent5 2 10 2 2 2" xfId="28937" xr:uid="{00000000-0005-0000-0000-00000B430000}"/>
    <cellStyle name="40% - Accent5 2 10 2 3" xfId="29161" xr:uid="{00000000-0005-0000-0000-00000C430000}"/>
    <cellStyle name="40% - Accent5 2 10 3" xfId="11846" xr:uid="{00000000-0005-0000-0000-00000D430000}"/>
    <cellStyle name="40% - Accent5 2 10 3 2" xfId="25561" xr:uid="{00000000-0005-0000-0000-00000E430000}"/>
    <cellStyle name="40% - Accent5 2 10 4" xfId="23042" xr:uid="{00000000-0005-0000-0000-00000F430000}"/>
    <cellStyle name="40% - Accent5 2 11" xfId="4337" xr:uid="{00000000-0005-0000-0000-000010430000}"/>
    <cellStyle name="40% - Accent5 2 11 2" xfId="12953" xr:uid="{00000000-0005-0000-0000-000011430000}"/>
    <cellStyle name="40% - Accent5 2 11 2 2" xfId="26665" xr:uid="{00000000-0005-0000-0000-000012430000}"/>
    <cellStyle name="40% - Accent5 2 11 3" xfId="23041" xr:uid="{00000000-0005-0000-0000-000013430000}"/>
    <cellStyle name="40% - Accent5 2 12" xfId="4338" xr:uid="{00000000-0005-0000-0000-000014430000}"/>
    <cellStyle name="40% - Accent5 2 12 2" xfId="13444" xr:uid="{00000000-0005-0000-0000-000015430000}"/>
    <cellStyle name="40% - Accent5 2 12 2 2" xfId="26993" xr:uid="{00000000-0005-0000-0000-000016430000}"/>
    <cellStyle name="40% - Accent5 2 12 3" xfId="23040" xr:uid="{00000000-0005-0000-0000-000017430000}"/>
    <cellStyle name="40% - Accent5 2 13" xfId="4339" xr:uid="{00000000-0005-0000-0000-000018430000}"/>
    <cellStyle name="40% - Accent5 2 13 2" xfId="14025" xr:uid="{00000000-0005-0000-0000-000019430000}"/>
    <cellStyle name="40% - Accent5 2 13 2 2" xfId="27574" xr:uid="{00000000-0005-0000-0000-00001A430000}"/>
    <cellStyle name="40% - Accent5 2 13 3" xfId="26855" xr:uid="{00000000-0005-0000-0000-00001B430000}"/>
    <cellStyle name="40% - Accent5 2 14" xfId="4340" xr:uid="{00000000-0005-0000-0000-00001C430000}"/>
    <cellStyle name="40% - Accent5 2 14 2" xfId="15387" xr:uid="{00000000-0005-0000-0000-00001D430000}"/>
    <cellStyle name="40% - Accent5 2 14 2 2" xfId="28936" xr:uid="{00000000-0005-0000-0000-00001E430000}"/>
    <cellStyle name="40% - Accent5 2 14 3" xfId="23039" xr:uid="{00000000-0005-0000-0000-00001F430000}"/>
    <cellStyle name="40% - Accent5 2 15" xfId="4341" xr:uid="{00000000-0005-0000-0000-000020430000}"/>
    <cellStyle name="40% - Accent5 2 15 2" xfId="15911" xr:uid="{00000000-0005-0000-0000-000021430000}"/>
    <cellStyle name="40% - Accent5 2 15 2 2" xfId="29318" xr:uid="{00000000-0005-0000-0000-000022430000}"/>
    <cellStyle name="40% - Accent5 2 15 3" xfId="23038" xr:uid="{00000000-0005-0000-0000-000023430000}"/>
    <cellStyle name="40% - Accent5 2 16" xfId="9445" xr:uid="{00000000-0005-0000-0000-000024430000}"/>
    <cellStyle name="40% - Accent5 2 16 2" xfId="23920" xr:uid="{00000000-0005-0000-0000-000025430000}"/>
    <cellStyle name="40% - Accent5 2 17" xfId="23043" xr:uid="{00000000-0005-0000-0000-000026430000}"/>
    <cellStyle name="40% - Accent5 2 18" xfId="33079" xr:uid="{00000000-0005-0000-0000-000027430000}"/>
    <cellStyle name="40% - Accent5 2 2" xfId="4342" xr:uid="{00000000-0005-0000-0000-000028430000}"/>
    <cellStyle name="40% - Accent5 2 2 10" xfId="4343" xr:uid="{00000000-0005-0000-0000-000029430000}"/>
    <cellStyle name="40% - Accent5 2 2 10 2" xfId="15389" xr:uid="{00000000-0005-0000-0000-00002A430000}"/>
    <cellStyle name="40% - Accent5 2 2 10 2 2" xfId="28938" xr:uid="{00000000-0005-0000-0000-00002B430000}"/>
    <cellStyle name="40% - Accent5 2 2 10 3" xfId="23037" xr:uid="{00000000-0005-0000-0000-00002C430000}"/>
    <cellStyle name="40% - Accent5 2 2 11" xfId="4344" xr:uid="{00000000-0005-0000-0000-00002D430000}"/>
    <cellStyle name="40% - Accent5 2 2 11 2" xfId="15957" xr:uid="{00000000-0005-0000-0000-00002E430000}"/>
    <cellStyle name="40% - Accent5 2 2 11 2 2" xfId="29364" xr:uid="{00000000-0005-0000-0000-00002F430000}"/>
    <cellStyle name="40% - Accent5 2 2 11 3" xfId="25285" xr:uid="{00000000-0005-0000-0000-000030430000}"/>
    <cellStyle name="40% - Accent5 2 2 12" xfId="9446" xr:uid="{00000000-0005-0000-0000-000031430000}"/>
    <cellStyle name="40% - Accent5 2 2 12 2" xfId="23921" xr:uid="{00000000-0005-0000-0000-000032430000}"/>
    <cellStyle name="40% - Accent5 2 2 13" xfId="24276" xr:uid="{00000000-0005-0000-0000-000033430000}"/>
    <cellStyle name="40% - Accent5 2 2 2" xfId="4345" xr:uid="{00000000-0005-0000-0000-000034430000}"/>
    <cellStyle name="40% - Accent5 2 2 2 10" xfId="4346" xr:uid="{00000000-0005-0000-0000-000035430000}"/>
    <cellStyle name="40% - Accent5 2 2 2 10 2" xfId="16100" xr:uid="{00000000-0005-0000-0000-000036430000}"/>
    <cellStyle name="40% - Accent5 2 2 2 10 2 2" xfId="29507" xr:uid="{00000000-0005-0000-0000-000037430000}"/>
    <cellStyle name="40% - Accent5 2 2 2 10 3" xfId="23035" xr:uid="{00000000-0005-0000-0000-000038430000}"/>
    <cellStyle name="40% - Accent5 2 2 2 11" xfId="9447" xr:uid="{00000000-0005-0000-0000-000039430000}"/>
    <cellStyle name="40% - Accent5 2 2 2 11 2" xfId="23922" xr:uid="{00000000-0005-0000-0000-00003A430000}"/>
    <cellStyle name="40% - Accent5 2 2 2 12" xfId="23036" xr:uid="{00000000-0005-0000-0000-00003B430000}"/>
    <cellStyle name="40% - Accent5 2 2 2 2" xfId="4347" xr:uid="{00000000-0005-0000-0000-00003C430000}"/>
    <cellStyle name="40% - Accent5 2 2 2 2 10" xfId="9448" xr:uid="{00000000-0005-0000-0000-00003D430000}"/>
    <cellStyle name="40% - Accent5 2 2 2 2 10 2" xfId="23923" xr:uid="{00000000-0005-0000-0000-00003E430000}"/>
    <cellStyle name="40% - Accent5 2 2 2 2 11" xfId="23034" xr:uid="{00000000-0005-0000-0000-00003F430000}"/>
    <cellStyle name="40% - Accent5 2 2 2 2 2" xfId="4348" xr:uid="{00000000-0005-0000-0000-000040430000}"/>
    <cellStyle name="40% - Accent5 2 2 2 2 2 2" xfId="4349" xr:uid="{00000000-0005-0000-0000-000041430000}"/>
    <cellStyle name="40% - Accent5 2 2 2 2 2 2 2" xfId="11176" xr:uid="{00000000-0005-0000-0000-000042430000}"/>
    <cellStyle name="40% - Accent5 2 2 2 2 2 2 2 2" xfId="25118" xr:uid="{00000000-0005-0000-0000-000043430000}"/>
    <cellStyle name="40% - Accent5 2 2 2 2 2 2 3" xfId="24273" xr:uid="{00000000-0005-0000-0000-000044430000}"/>
    <cellStyle name="40% - Accent5 2 2 2 2 2 3" xfId="4350" xr:uid="{00000000-0005-0000-0000-000045430000}"/>
    <cellStyle name="40% - Accent5 2 2 2 2 2 3 2" xfId="12957" xr:uid="{00000000-0005-0000-0000-000046430000}"/>
    <cellStyle name="40% - Accent5 2 2 2 2 2 3 2 2" xfId="26669" xr:uid="{00000000-0005-0000-0000-000047430000}"/>
    <cellStyle name="40% - Accent5 2 2 2 2 2 3 3" xfId="23032" xr:uid="{00000000-0005-0000-0000-000048430000}"/>
    <cellStyle name="40% - Accent5 2 2 2 2 2 4" xfId="4351" xr:uid="{00000000-0005-0000-0000-000049430000}"/>
    <cellStyle name="40% - Accent5 2 2 2 2 2 4 2" xfId="15392" xr:uid="{00000000-0005-0000-0000-00004A430000}"/>
    <cellStyle name="40% - Accent5 2 2 2 2 2 4 2 2" xfId="28941" xr:uid="{00000000-0005-0000-0000-00004B430000}"/>
    <cellStyle name="40% - Accent5 2 2 2 2 2 4 3" xfId="23031" xr:uid="{00000000-0005-0000-0000-00004C430000}"/>
    <cellStyle name="40% - Accent5 2 2 2 2 2 5" xfId="4352" xr:uid="{00000000-0005-0000-0000-00004D430000}"/>
    <cellStyle name="40% - Accent5 2 2 2 2 2 5 2" xfId="16970" xr:uid="{00000000-0005-0000-0000-00004E430000}"/>
    <cellStyle name="40% - Accent5 2 2 2 2 2 5 2 2" xfId="30377" xr:uid="{00000000-0005-0000-0000-00004F430000}"/>
    <cellStyle name="40% - Accent5 2 2 2 2 2 5 3" xfId="23030" xr:uid="{00000000-0005-0000-0000-000050430000}"/>
    <cellStyle name="40% - Accent5 2 2 2 2 2 6" xfId="9449" xr:uid="{00000000-0005-0000-0000-000051430000}"/>
    <cellStyle name="40% - Accent5 2 2 2 2 2 6 2" xfId="23924" xr:uid="{00000000-0005-0000-0000-000052430000}"/>
    <cellStyle name="40% - Accent5 2 2 2 2 2 7" xfId="23033" xr:uid="{00000000-0005-0000-0000-000053430000}"/>
    <cellStyle name="40% - Accent5 2 2 2 2 3" xfId="4353" xr:uid="{00000000-0005-0000-0000-000054430000}"/>
    <cellStyle name="40% - Accent5 2 2 2 2 3 2" xfId="4354" xr:uid="{00000000-0005-0000-0000-000055430000}"/>
    <cellStyle name="40% - Accent5 2 2 2 2 3 2 2" xfId="15393" xr:uid="{00000000-0005-0000-0000-000056430000}"/>
    <cellStyle name="40% - Accent5 2 2 2 2 3 2 2 2" xfId="28942" xr:uid="{00000000-0005-0000-0000-000057430000}"/>
    <cellStyle name="40% - Accent5 2 2 2 2 3 2 3" xfId="23029" xr:uid="{00000000-0005-0000-0000-000058430000}"/>
    <cellStyle name="40% - Accent5 2 2 2 2 3 3" xfId="11175" xr:uid="{00000000-0005-0000-0000-000059430000}"/>
    <cellStyle name="40% - Accent5 2 2 2 2 3 3 2" xfId="25117" xr:uid="{00000000-0005-0000-0000-00005A430000}"/>
    <cellStyle name="40% - Accent5 2 2 2 2 3 4" xfId="29160" xr:uid="{00000000-0005-0000-0000-00005B430000}"/>
    <cellStyle name="40% - Accent5 2 2 2 2 4" xfId="4355" xr:uid="{00000000-0005-0000-0000-00005C430000}"/>
    <cellStyle name="40% - Accent5 2 2 2 2 4 2" xfId="12358" xr:uid="{00000000-0005-0000-0000-00005D430000}"/>
    <cellStyle name="40% - Accent5 2 2 2 2 4 2 2" xfId="26070" xr:uid="{00000000-0005-0000-0000-00005E430000}"/>
    <cellStyle name="40% - Accent5 2 2 2 2 4 3" xfId="23028" xr:uid="{00000000-0005-0000-0000-00005F430000}"/>
    <cellStyle name="40% - Accent5 2 2 2 2 5" xfId="4356" xr:uid="{00000000-0005-0000-0000-000060430000}"/>
    <cellStyle name="40% - Accent5 2 2 2 2 5 2" xfId="12956" xr:uid="{00000000-0005-0000-0000-000061430000}"/>
    <cellStyle name="40% - Accent5 2 2 2 2 5 2 2" xfId="26668" xr:uid="{00000000-0005-0000-0000-000062430000}"/>
    <cellStyle name="40% - Accent5 2 2 2 2 5 3" xfId="26854" xr:uid="{00000000-0005-0000-0000-000063430000}"/>
    <cellStyle name="40% - Accent5 2 2 2 2 6" xfId="4357" xr:uid="{00000000-0005-0000-0000-000064430000}"/>
    <cellStyle name="40% - Accent5 2 2 2 2 6 2" xfId="13922" xr:uid="{00000000-0005-0000-0000-000065430000}"/>
    <cellStyle name="40% - Accent5 2 2 2 2 6 2 2" xfId="27471" xr:uid="{00000000-0005-0000-0000-000066430000}"/>
    <cellStyle name="40% - Accent5 2 2 2 2 6 3" xfId="23027" xr:uid="{00000000-0005-0000-0000-000067430000}"/>
    <cellStyle name="40% - Accent5 2 2 2 2 7" xfId="4358" xr:uid="{00000000-0005-0000-0000-000068430000}"/>
    <cellStyle name="40% - Accent5 2 2 2 2 7 2" xfId="14503" xr:uid="{00000000-0005-0000-0000-000069430000}"/>
    <cellStyle name="40% - Accent5 2 2 2 2 7 2 2" xfId="28052" xr:uid="{00000000-0005-0000-0000-00006A430000}"/>
    <cellStyle name="40% - Accent5 2 2 2 2 7 3" xfId="23026" xr:uid="{00000000-0005-0000-0000-00006B430000}"/>
    <cellStyle name="40% - Accent5 2 2 2 2 8" xfId="4359" xr:uid="{00000000-0005-0000-0000-00006C430000}"/>
    <cellStyle name="40% - Accent5 2 2 2 2 8 2" xfId="15391" xr:uid="{00000000-0005-0000-0000-00006D430000}"/>
    <cellStyle name="40% - Accent5 2 2 2 2 8 2 2" xfId="28940" xr:uid="{00000000-0005-0000-0000-00006E430000}"/>
    <cellStyle name="40% - Accent5 2 2 2 2 8 3" xfId="24272" xr:uid="{00000000-0005-0000-0000-00006F430000}"/>
    <cellStyle name="40% - Accent5 2 2 2 2 9" xfId="4360" xr:uid="{00000000-0005-0000-0000-000070430000}"/>
    <cellStyle name="40% - Accent5 2 2 2 2 9 2" xfId="16389" xr:uid="{00000000-0005-0000-0000-000071430000}"/>
    <cellStyle name="40% - Accent5 2 2 2 2 9 2 2" xfId="29796" xr:uid="{00000000-0005-0000-0000-000072430000}"/>
    <cellStyle name="40% - Accent5 2 2 2 2 9 3" xfId="25284" xr:uid="{00000000-0005-0000-0000-000073430000}"/>
    <cellStyle name="40% - Accent5 2 2 2 3" xfId="4361" xr:uid="{00000000-0005-0000-0000-000074430000}"/>
    <cellStyle name="40% - Accent5 2 2 2 3 2" xfId="4362" xr:uid="{00000000-0005-0000-0000-000075430000}"/>
    <cellStyle name="40% - Accent5 2 2 2 3 2 2" xfId="11177" xr:uid="{00000000-0005-0000-0000-000076430000}"/>
    <cellStyle name="40% - Accent5 2 2 2 3 2 2 2" xfId="25119" xr:uid="{00000000-0005-0000-0000-000077430000}"/>
    <cellStyle name="40% - Accent5 2 2 2 3 2 3" xfId="23024" xr:uid="{00000000-0005-0000-0000-000078430000}"/>
    <cellStyle name="40% - Accent5 2 2 2 3 3" xfId="4363" xr:uid="{00000000-0005-0000-0000-000079430000}"/>
    <cellStyle name="40% - Accent5 2 2 2 3 3 2" xfId="12958" xr:uid="{00000000-0005-0000-0000-00007A430000}"/>
    <cellStyle name="40% - Accent5 2 2 2 3 3 2 2" xfId="26670" xr:uid="{00000000-0005-0000-0000-00007B430000}"/>
    <cellStyle name="40% - Accent5 2 2 2 3 3 3" xfId="24271" xr:uid="{00000000-0005-0000-0000-00007C430000}"/>
    <cellStyle name="40% - Accent5 2 2 2 3 4" xfId="4364" xr:uid="{00000000-0005-0000-0000-00007D430000}"/>
    <cellStyle name="40% - Accent5 2 2 2 3 4 2" xfId="15394" xr:uid="{00000000-0005-0000-0000-00007E430000}"/>
    <cellStyle name="40% - Accent5 2 2 2 3 4 2 2" xfId="28943" xr:uid="{00000000-0005-0000-0000-00007F430000}"/>
    <cellStyle name="40% - Accent5 2 2 2 3 4 3" xfId="23023" xr:uid="{00000000-0005-0000-0000-000080430000}"/>
    <cellStyle name="40% - Accent5 2 2 2 3 5" xfId="4365" xr:uid="{00000000-0005-0000-0000-000081430000}"/>
    <cellStyle name="40% - Accent5 2 2 2 3 5 2" xfId="16681" xr:uid="{00000000-0005-0000-0000-000082430000}"/>
    <cellStyle name="40% - Accent5 2 2 2 3 5 2 2" xfId="30088" xr:uid="{00000000-0005-0000-0000-000083430000}"/>
    <cellStyle name="40% - Accent5 2 2 2 3 5 3" xfId="23022" xr:uid="{00000000-0005-0000-0000-000084430000}"/>
    <cellStyle name="40% - Accent5 2 2 2 3 6" xfId="9450" xr:uid="{00000000-0005-0000-0000-000085430000}"/>
    <cellStyle name="40% - Accent5 2 2 2 3 6 2" xfId="23925" xr:uid="{00000000-0005-0000-0000-000086430000}"/>
    <cellStyle name="40% - Accent5 2 2 2 3 7" xfId="23025" xr:uid="{00000000-0005-0000-0000-000087430000}"/>
    <cellStyle name="40% - Accent5 2 2 2 4" xfId="4366" xr:uid="{00000000-0005-0000-0000-000088430000}"/>
    <cellStyle name="40% - Accent5 2 2 2 4 2" xfId="4367" xr:uid="{00000000-0005-0000-0000-000089430000}"/>
    <cellStyle name="40% - Accent5 2 2 2 4 2 2" xfId="15395" xr:uid="{00000000-0005-0000-0000-00008A430000}"/>
    <cellStyle name="40% - Accent5 2 2 2 4 2 2 2" xfId="28944" xr:uid="{00000000-0005-0000-0000-00008B430000}"/>
    <cellStyle name="40% - Accent5 2 2 2 4 2 3" xfId="23021" xr:uid="{00000000-0005-0000-0000-00008C430000}"/>
    <cellStyle name="40% - Accent5 2 2 2 4 3" xfId="11174" xr:uid="{00000000-0005-0000-0000-00008D430000}"/>
    <cellStyle name="40% - Accent5 2 2 2 4 3 2" xfId="25116" xr:uid="{00000000-0005-0000-0000-00008E430000}"/>
    <cellStyle name="40% - Accent5 2 2 2 4 4" xfId="24269" xr:uid="{00000000-0005-0000-0000-00008F430000}"/>
    <cellStyle name="40% - Accent5 2 2 2 5" xfId="4368" xr:uid="{00000000-0005-0000-0000-000090430000}"/>
    <cellStyle name="40% - Accent5 2 2 2 5 2" xfId="12058" xr:uid="{00000000-0005-0000-0000-000091430000}"/>
    <cellStyle name="40% - Accent5 2 2 2 5 2 2" xfId="25773" xr:uid="{00000000-0005-0000-0000-000092430000}"/>
    <cellStyle name="40% - Accent5 2 2 2 5 3" xfId="23020" xr:uid="{00000000-0005-0000-0000-000093430000}"/>
    <cellStyle name="40% - Accent5 2 2 2 6" xfId="4369" xr:uid="{00000000-0005-0000-0000-000094430000}"/>
    <cellStyle name="40% - Accent5 2 2 2 6 2" xfId="12955" xr:uid="{00000000-0005-0000-0000-000095430000}"/>
    <cellStyle name="40% - Accent5 2 2 2 6 2 2" xfId="26667" xr:uid="{00000000-0005-0000-0000-000096430000}"/>
    <cellStyle name="40% - Accent5 2 2 2 6 3" xfId="29159" xr:uid="{00000000-0005-0000-0000-000097430000}"/>
    <cellStyle name="40% - Accent5 2 2 2 7" xfId="4370" xr:uid="{00000000-0005-0000-0000-000098430000}"/>
    <cellStyle name="40% - Accent5 2 2 2 7 2" xfId="13633" xr:uid="{00000000-0005-0000-0000-000099430000}"/>
    <cellStyle name="40% - Accent5 2 2 2 7 2 2" xfId="27182" xr:uid="{00000000-0005-0000-0000-00009A430000}"/>
    <cellStyle name="40% - Accent5 2 2 2 7 3" xfId="23019" xr:uid="{00000000-0005-0000-0000-00009B430000}"/>
    <cellStyle name="40% - Accent5 2 2 2 8" xfId="4371" xr:uid="{00000000-0005-0000-0000-00009C430000}"/>
    <cellStyle name="40% - Accent5 2 2 2 8 2" xfId="14214" xr:uid="{00000000-0005-0000-0000-00009D430000}"/>
    <cellStyle name="40% - Accent5 2 2 2 8 2 2" xfId="27763" xr:uid="{00000000-0005-0000-0000-00009E430000}"/>
    <cellStyle name="40% - Accent5 2 2 2 8 3" xfId="23018" xr:uid="{00000000-0005-0000-0000-00009F430000}"/>
    <cellStyle name="40% - Accent5 2 2 2 9" xfId="4372" xr:uid="{00000000-0005-0000-0000-0000A0430000}"/>
    <cellStyle name="40% - Accent5 2 2 2 9 2" xfId="15390" xr:uid="{00000000-0005-0000-0000-0000A1430000}"/>
    <cellStyle name="40% - Accent5 2 2 2 9 2 2" xfId="28939" xr:uid="{00000000-0005-0000-0000-0000A2430000}"/>
    <cellStyle name="40% - Accent5 2 2 2 9 3" xfId="26853" xr:uid="{00000000-0005-0000-0000-0000A3430000}"/>
    <cellStyle name="40% - Accent5 2 2 3" xfId="4373" xr:uid="{00000000-0005-0000-0000-0000A4430000}"/>
    <cellStyle name="40% - Accent5 2 2 3 10" xfId="9451" xr:uid="{00000000-0005-0000-0000-0000A5430000}"/>
    <cellStyle name="40% - Accent5 2 2 3 10 2" xfId="23926" xr:uid="{00000000-0005-0000-0000-0000A6430000}"/>
    <cellStyle name="40% - Accent5 2 2 3 11" xfId="23017" xr:uid="{00000000-0005-0000-0000-0000A7430000}"/>
    <cellStyle name="40% - Accent5 2 2 3 2" xfId="4374" xr:uid="{00000000-0005-0000-0000-0000A8430000}"/>
    <cellStyle name="40% - Accent5 2 2 3 2 2" xfId="4375" xr:uid="{00000000-0005-0000-0000-0000A9430000}"/>
    <cellStyle name="40% - Accent5 2 2 3 2 2 2" xfId="11179" xr:uid="{00000000-0005-0000-0000-0000AA430000}"/>
    <cellStyle name="40% - Accent5 2 2 3 2 2 2 2" xfId="25121" xr:uid="{00000000-0005-0000-0000-0000AB430000}"/>
    <cellStyle name="40% - Accent5 2 2 3 2 2 3" xfId="24270" xr:uid="{00000000-0005-0000-0000-0000AC430000}"/>
    <cellStyle name="40% - Accent5 2 2 3 2 3" xfId="4376" xr:uid="{00000000-0005-0000-0000-0000AD430000}"/>
    <cellStyle name="40% - Accent5 2 2 3 2 3 2" xfId="12960" xr:uid="{00000000-0005-0000-0000-0000AE430000}"/>
    <cellStyle name="40% - Accent5 2 2 3 2 3 2 2" xfId="26672" xr:uid="{00000000-0005-0000-0000-0000AF430000}"/>
    <cellStyle name="40% - Accent5 2 2 3 2 3 3" xfId="23015" xr:uid="{00000000-0005-0000-0000-0000B0430000}"/>
    <cellStyle name="40% - Accent5 2 2 3 2 4" xfId="4377" xr:uid="{00000000-0005-0000-0000-0000B1430000}"/>
    <cellStyle name="40% - Accent5 2 2 3 2 4 2" xfId="15397" xr:uid="{00000000-0005-0000-0000-0000B2430000}"/>
    <cellStyle name="40% - Accent5 2 2 3 2 4 2 2" xfId="28946" xr:uid="{00000000-0005-0000-0000-0000B3430000}"/>
    <cellStyle name="40% - Accent5 2 2 3 2 4 3" xfId="25283" xr:uid="{00000000-0005-0000-0000-0000B4430000}"/>
    <cellStyle name="40% - Accent5 2 2 3 2 5" xfId="4378" xr:uid="{00000000-0005-0000-0000-0000B5430000}"/>
    <cellStyle name="40% - Accent5 2 2 3 2 5 2" xfId="16827" xr:uid="{00000000-0005-0000-0000-0000B6430000}"/>
    <cellStyle name="40% - Accent5 2 2 3 2 5 2 2" xfId="30234" xr:uid="{00000000-0005-0000-0000-0000B7430000}"/>
    <cellStyle name="40% - Accent5 2 2 3 2 5 3" xfId="23014" xr:uid="{00000000-0005-0000-0000-0000B8430000}"/>
    <cellStyle name="40% - Accent5 2 2 3 2 6" xfId="9452" xr:uid="{00000000-0005-0000-0000-0000B9430000}"/>
    <cellStyle name="40% - Accent5 2 2 3 2 6 2" xfId="23927" xr:uid="{00000000-0005-0000-0000-0000BA430000}"/>
    <cellStyle name="40% - Accent5 2 2 3 2 7" xfId="23016" xr:uid="{00000000-0005-0000-0000-0000BB430000}"/>
    <cellStyle name="40% - Accent5 2 2 3 3" xfId="4379" xr:uid="{00000000-0005-0000-0000-0000BC430000}"/>
    <cellStyle name="40% - Accent5 2 2 3 3 2" xfId="4380" xr:uid="{00000000-0005-0000-0000-0000BD430000}"/>
    <cellStyle name="40% - Accent5 2 2 3 3 2 2" xfId="15398" xr:uid="{00000000-0005-0000-0000-0000BE430000}"/>
    <cellStyle name="40% - Accent5 2 2 3 3 2 2 2" xfId="28947" xr:uid="{00000000-0005-0000-0000-0000BF430000}"/>
    <cellStyle name="40% - Accent5 2 2 3 3 2 3" xfId="23012" xr:uid="{00000000-0005-0000-0000-0000C0430000}"/>
    <cellStyle name="40% - Accent5 2 2 3 3 3" xfId="11178" xr:uid="{00000000-0005-0000-0000-0000C1430000}"/>
    <cellStyle name="40% - Accent5 2 2 3 3 3 2" xfId="25120" xr:uid="{00000000-0005-0000-0000-0000C2430000}"/>
    <cellStyle name="40% - Accent5 2 2 3 3 4" xfId="23013" xr:uid="{00000000-0005-0000-0000-0000C3430000}"/>
    <cellStyle name="40% - Accent5 2 2 3 4" xfId="4381" xr:uid="{00000000-0005-0000-0000-0000C4430000}"/>
    <cellStyle name="40% - Accent5 2 2 3 4 2" xfId="12215" xr:uid="{00000000-0005-0000-0000-0000C5430000}"/>
    <cellStyle name="40% - Accent5 2 2 3 4 2 2" xfId="25927" xr:uid="{00000000-0005-0000-0000-0000C6430000}"/>
    <cellStyle name="40% - Accent5 2 2 3 4 3" xfId="24265" xr:uid="{00000000-0005-0000-0000-0000C7430000}"/>
    <cellStyle name="40% - Accent5 2 2 3 5" xfId="4382" xr:uid="{00000000-0005-0000-0000-0000C8430000}"/>
    <cellStyle name="40% - Accent5 2 2 3 5 2" xfId="12959" xr:uid="{00000000-0005-0000-0000-0000C9430000}"/>
    <cellStyle name="40% - Accent5 2 2 3 5 2 2" xfId="26671" xr:uid="{00000000-0005-0000-0000-0000CA430000}"/>
    <cellStyle name="40% - Accent5 2 2 3 5 3" xfId="23011" xr:uid="{00000000-0005-0000-0000-0000CB430000}"/>
    <cellStyle name="40% - Accent5 2 2 3 6" xfId="4383" xr:uid="{00000000-0005-0000-0000-0000CC430000}"/>
    <cellStyle name="40% - Accent5 2 2 3 6 2" xfId="13779" xr:uid="{00000000-0005-0000-0000-0000CD430000}"/>
    <cellStyle name="40% - Accent5 2 2 3 6 2 2" xfId="27328" xr:uid="{00000000-0005-0000-0000-0000CE430000}"/>
    <cellStyle name="40% - Accent5 2 2 3 6 3" xfId="23010" xr:uid="{00000000-0005-0000-0000-0000CF430000}"/>
    <cellStyle name="40% - Accent5 2 2 3 7" xfId="4384" xr:uid="{00000000-0005-0000-0000-0000D0430000}"/>
    <cellStyle name="40% - Accent5 2 2 3 7 2" xfId="14360" xr:uid="{00000000-0005-0000-0000-0000D1430000}"/>
    <cellStyle name="40% - Accent5 2 2 3 7 2 2" xfId="27909" xr:uid="{00000000-0005-0000-0000-0000D2430000}"/>
    <cellStyle name="40% - Accent5 2 2 3 7 3" xfId="29158" xr:uid="{00000000-0005-0000-0000-0000D3430000}"/>
    <cellStyle name="40% - Accent5 2 2 3 8" xfId="4385" xr:uid="{00000000-0005-0000-0000-0000D4430000}"/>
    <cellStyle name="40% - Accent5 2 2 3 8 2" xfId="15396" xr:uid="{00000000-0005-0000-0000-0000D5430000}"/>
    <cellStyle name="40% - Accent5 2 2 3 8 2 2" xfId="28945" xr:uid="{00000000-0005-0000-0000-0000D6430000}"/>
    <cellStyle name="40% - Accent5 2 2 3 8 3" xfId="23009" xr:uid="{00000000-0005-0000-0000-0000D7430000}"/>
    <cellStyle name="40% - Accent5 2 2 3 9" xfId="4386" xr:uid="{00000000-0005-0000-0000-0000D8430000}"/>
    <cellStyle name="40% - Accent5 2 2 3 9 2" xfId="16246" xr:uid="{00000000-0005-0000-0000-0000D9430000}"/>
    <cellStyle name="40% - Accent5 2 2 3 9 2 2" xfId="29653" xr:uid="{00000000-0005-0000-0000-0000DA430000}"/>
    <cellStyle name="40% - Accent5 2 2 3 9 3" xfId="23008" xr:uid="{00000000-0005-0000-0000-0000DB430000}"/>
    <cellStyle name="40% - Accent5 2 2 4" xfId="4387" xr:uid="{00000000-0005-0000-0000-0000DC430000}"/>
    <cellStyle name="40% - Accent5 2 2 4 2" xfId="4388" xr:uid="{00000000-0005-0000-0000-0000DD430000}"/>
    <cellStyle name="40% - Accent5 2 2 4 2 2" xfId="11180" xr:uid="{00000000-0005-0000-0000-0000DE430000}"/>
    <cellStyle name="40% - Accent5 2 2 4 2 2 2" xfId="25122" xr:uid="{00000000-0005-0000-0000-0000DF430000}"/>
    <cellStyle name="40% - Accent5 2 2 4 2 3" xfId="23007" xr:uid="{00000000-0005-0000-0000-0000E0430000}"/>
    <cellStyle name="40% - Accent5 2 2 4 3" xfId="4389" xr:uid="{00000000-0005-0000-0000-0000E1430000}"/>
    <cellStyle name="40% - Accent5 2 2 4 3 2" xfId="12961" xr:uid="{00000000-0005-0000-0000-0000E2430000}"/>
    <cellStyle name="40% - Accent5 2 2 4 3 2 2" xfId="26673" xr:uid="{00000000-0005-0000-0000-0000E3430000}"/>
    <cellStyle name="40% - Accent5 2 2 4 3 3" xfId="23006" xr:uid="{00000000-0005-0000-0000-0000E4430000}"/>
    <cellStyle name="40% - Accent5 2 2 4 4" xfId="4390" xr:uid="{00000000-0005-0000-0000-0000E5430000}"/>
    <cellStyle name="40% - Accent5 2 2 4 4 2" xfId="15399" xr:uid="{00000000-0005-0000-0000-0000E6430000}"/>
    <cellStyle name="40% - Accent5 2 2 4 4 2 2" xfId="28948" xr:uid="{00000000-0005-0000-0000-0000E7430000}"/>
    <cellStyle name="40% - Accent5 2 2 4 4 3" xfId="24268" xr:uid="{00000000-0005-0000-0000-0000E8430000}"/>
    <cellStyle name="40% - Accent5 2 2 4 5" xfId="4391" xr:uid="{00000000-0005-0000-0000-0000E9430000}"/>
    <cellStyle name="40% - Accent5 2 2 4 5 2" xfId="17174" xr:uid="{00000000-0005-0000-0000-0000EA430000}"/>
    <cellStyle name="40% - Accent5 2 2 4 5 2 2" xfId="30533" xr:uid="{00000000-0005-0000-0000-0000EB430000}"/>
    <cellStyle name="40% - Accent5 2 2 4 5 3" xfId="23005" xr:uid="{00000000-0005-0000-0000-0000EC430000}"/>
    <cellStyle name="40% - Accent5 2 2 4 6" xfId="9453" xr:uid="{00000000-0005-0000-0000-0000ED430000}"/>
    <cellStyle name="40% - Accent5 2 2 4 6 2" xfId="23928" xr:uid="{00000000-0005-0000-0000-0000EE430000}"/>
    <cellStyle name="40% - Accent5 2 2 4 7" xfId="26852" xr:uid="{00000000-0005-0000-0000-0000EF430000}"/>
    <cellStyle name="40% - Accent5 2 2 5" xfId="4392" xr:uid="{00000000-0005-0000-0000-0000F0430000}"/>
    <cellStyle name="40% - Accent5 2 2 5 2" xfId="4393" xr:uid="{00000000-0005-0000-0000-0000F1430000}"/>
    <cellStyle name="40% - Accent5 2 2 5 2 2" xfId="15400" xr:uid="{00000000-0005-0000-0000-0000F2430000}"/>
    <cellStyle name="40% - Accent5 2 2 5 2 2 2" xfId="28949" xr:uid="{00000000-0005-0000-0000-0000F3430000}"/>
    <cellStyle name="40% - Accent5 2 2 5 2 3" xfId="23004" xr:uid="{00000000-0005-0000-0000-0000F4430000}"/>
    <cellStyle name="40% - Accent5 2 2 5 3" xfId="4394" xr:uid="{00000000-0005-0000-0000-0000F5430000}"/>
    <cellStyle name="40% - Accent5 2 2 5 3 2" xfId="17263" xr:uid="{00000000-0005-0000-0000-0000F6430000}"/>
    <cellStyle name="40% - Accent5 2 2 5 3 2 2" xfId="30622" xr:uid="{00000000-0005-0000-0000-0000F7430000}"/>
    <cellStyle name="40% - Accent5 2 2 5 3 3" xfId="23003" xr:uid="{00000000-0005-0000-0000-0000F8430000}"/>
    <cellStyle name="40% - Accent5 2 2 5 4" xfId="11173" xr:uid="{00000000-0005-0000-0000-0000F9430000}"/>
    <cellStyle name="40% - Accent5 2 2 5 4 2" xfId="25115" xr:uid="{00000000-0005-0000-0000-0000FA430000}"/>
    <cellStyle name="40% - Accent5 2 2 5 5" xfId="25282" xr:uid="{00000000-0005-0000-0000-0000FB430000}"/>
    <cellStyle name="40% - Accent5 2 2 6" xfId="4395" xr:uid="{00000000-0005-0000-0000-0000FC430000}"/>
    <cellStyle name="40% - Accent5 2 2 6 2" xfId="4396" xr:uid="{00000000-0005-0000-0000-0000FD430000}"/>
    <cellStyle name="40% - Accent5 2 2 6 2 2" xfId="16538" xr:uid="{00000000-0005-0000-0000-0000FE430000}"/>
    <cellStyle name="40% - Accent5 2 2 6 2 2 2" xfId="29945" xr:uid="{00000000-0005-0000-0000-0000FF430000}"/>
    <cellStyle name="40% - Accent5 2 2 6 2 3" xfId="23002" xr:uid="{00000000-0005-0000-0000-000000440000}"/>
    <cellStyle name="40% - Accent5 2 2 6 3" xfId="11913" xr:uid="{00000000-0005-0000-0000-000001440000}"/>
    <cellStyle name="40% - Accent5 2 2 6 3 2" xfId="25628" xr:uid="{00000000-0005-0000-0000-000002440000}"/>
    <cellStyle name="40% - Accent5 2 2 6 4" xfId="24266" xr:uid="{00000000-0005-0000-0000-000003440000}"/>
    <cellStyle name="40% - Accent5 2 2 7" xfId="4397" xr:uid="{00000000-0005-0000-0000-000004440000}"/>
    <cellStyle name="40% - Accent5 2 2 7 2" xfId="12954" xr:uid="{00000000-0005-0000-0000-000005440000}"/>
    <cellStyle name="40% - Accent5 2 2 7 2 2" xfId="26666" xr:uid="{00000000-0005-0000-0000-000006440000}"/>
    <cellStyle name="40% - Accent5 2 2 7 3" xfId="23001" xr:uid="{00000000-0005-0000-0000-000007440000}"/>
    <cellStyle name="40% - Accent5 2 2 8" xfId="4398" xr:uid="{00000000-0005-0000-0000-000008440000}"/>
    <cellStyle name="40% - Accent5 2 2 8 2" xfId="13490" xr:uid="{00000000-0005-0000-0000-000009440000}"/>
    <cellStyle name="40% - Accent5 2 2 8 2 2" xfId="27039" xr:uid="{00000000-0005-0000-0000-00000A440000}"/>
    <cellStyle name="40% - Accent5 2 2 8 3" xfId="29157" xr:uid="{00000000-0005-0000-0000-00000B440000}"/>
    <cellStyle name="40% - Accent5 2 2 9" xfId="4399" xr:uid="{00000000-0005-0000-0000-00000C440000}"/>
    <cellStyle name="40% - Accent5 2 2 9 2" xfId="14071" xr:uid="{00000000-0005-0000-0000-00000D440000}"/>
    <cellStyle name="40% - Accent5 2 2 9 2 2" xfId="27620" xr:uid="{00000000-0005-0000-0000-00000E440000}"/>
    <cellStyle name="40% - Accent5 2 2 9 3" xfId="23000" xr:uid="{00000000-0005-0000-0000-00000F440000}"/>
    <cellStyle name="40% - Accent5 2 3" xfId="4400" xr:uid="{00000000-0005-0000-0000-000010440000}"/>
    <cellStyle name="40% - Accent5 2 3 10" xfId="4401" xr:uid="{00000000-0005-0000-0000-000011440000}"/>
    <cellStyle name="40% - Accent5 2 3 10 2" xfId="16054" xr:uid="{00000000-0005-0000-0000-000012440000}"/>
    <cellStyle name="40% - Accent5 2 3 10 2 2" xfId="29461" xr:uid="{00000000-0005-0000-0000-000013440000}"/>
    <cellStyle name="40% - Accent5 2 3 10 3" xfId="26851" xr:uid="{00000000-0005-0000-0000-000014440000}"/>
    <cellStyle name="40% - Accent5 2 3 11" xfId="9454" xr:uid="{00000000-0005-0000-0000-000015440000}"/>
    <cellStyle name="40% - Accent5 2 3 11 2" xfId="23929" xr:uid="{00000000-0005-0000-0000-000016440000}"/>
    <cellStyle name="40% - Accent5 2 3 12" xfId="22999" xr:uid="{00000000-0005-0000-0000-000017440000}"/>
    <cellStyle name="40% - Accent5 2 3 2" xfId="4402" xr:uid="{00000000-0005-0000-0000-000018440000}"/>
    <cellStyle name="40% - Accent5 2 3 2 10" xfId="9455" xr:uid="{00000000-0005-0000-0000-000019440000}"/>
    <cellStyle name="40% - Accent5 2 3 2 10 2" xfId="23930" xr:uid="{00000000-0005-0000-0000-00001A440000}"/>
    <cellStyle name="40% - Accent5 2 3 2 11" xfId="22998" xr:uid="{00000000-0005-0000-0000-00001B440000}"/>
    <cellStyle name="40% - Accent5 2 3 2 2" xfId="4403" xr:uid="{00000000-0005-0000-0000-00001C440000}"/>
    <cellStyle name="40% - Accent5 2 3 2 2 2" xfId="4404" xr:uid="{00000000-0005-0000-0000-00001D440000}"/>
    <cellStyle name="40% - Accent5 2 3 2 2 2 2" xfId="11183" xr:uid="{00000000-0005-0000-0000-00001E440000}"/>
    <cellStyle name="40% - Accent5 2 3 2 2 2 2 2" xfId="25125" xr:uid="{00000000-0005-0000-0000-00001F440000}"/>
    <cellStyle name="40% - Accent5 2 3 2 2 2 3" xfId="24267" xr:uid="{00000000-0005-0000-0000-000020440000}"/>
    <cellStyle name="40% - Accent5 2 3 2 2 3" xfId="4405" xr:uid="{00000000-0005-0000-0000-000021440000}"/>
    <cellStyle name="40% - Accent5 2 3 2 2 3 2" xfId="12964" xr:uid="{00000000-0005-0000-0000-000022440000}"/>
    <cellStyle name="40% - Accent5 2 3 2 2 3 2 2" xfId="26676" xr:uid="{00000000-0005-0000-0000-000023440000}"/>
    <cellStyle name="40% - Accent5 2 3 2 2 3 3" xfId="22996" xr:uid="{00000000-0005-0000-0000-000024440000}"/>
    <cellStyle name="40% - Accent5 2 3 2 2 4" xfId="4406" xr:uid="{00000000-0005-0000-0000-000025440000}"/>
    <cellStyle name="40% - Accent5 2 3 2 2 4 2" xfId="15403" xr:uid="{00000000-0005-0000-0000-000026440000}"/>
    <cellStyle name="40% - Accent5 2 3 2 2 4 2 2" xfId="28952" xr:uid="{00000000-0005-0000-0000-000027440000}"/>
    <cellStyle name="40% - Accent5 2 3 2 2 4 3" xfId="25281" xr:uid="{00000000-0005-0000-0000-000028440000}"/>
    <cellStyle name="40% - Accent5 2 3 2 2 5" xfId="4407" xr:uid="{00000000-0005-0000-0000-000029440000}"/>
    <cellStyle name="40% - Accent5 2 3 2 2 5 2" xfId="16924" xr:uid="{00000000-0005-0000-0000-00002A440000}"/>
    <cellStyle name="40% - Accent5 2 3 2 2 5 2 2" xfId="30331" xr:uid="{00000000-0005-0000-0000-00002B440000}"/>
    <cellStyle name="40% - Accent5 2 3 2 2 5 3" xfId="22995" xr:uid="{00000000-0005-0000-0000-00002C440000}"/>
    <cellStyle name="40% - Accent5 2 3 2 2 6" xfId="9456" xr:uid="{00000000-0005-0000-0000-00002D440000}"/>
    <cellStyle name="40% - Accent5 2 3 2 2 6 2" xfId="23931" xr:uid="{00000000-0005-0000-0000-00002E440000}"/>
    <cellStyle name="40% - Accent5 2 3 2 2 7" xfId="22997" xr:uid="{00000000-0005-0000-0000-00002F440000}"/>
    <cellStyle name="40% - Accent5 2 3 2 3" xfId="4408" xr:uid="{00000000-0005-0000-0000-000030440000}"/>
    <cellStyle name="40% - Accent5 2 3 2 3 2" xfId="4409" xr:uid="{00000000-0005-0000-0000-000031440000}"/>
    <cellStyle name="40% - Accent5 2 3 2 3 2 2" xfId="15404" xr:uid="{00000000-0005-0000-0000-000032440000}"/>
    <cellStyle name="40% - Accent5 2 3 2 3 2 2 2" xfId="28953" xr:uid="{00000000-0005-0000-0000-000033440000}"/>
    <cellStyle name="40% - Accent5 2 3 2 3 2 3" xfId="22993" xr:uid="{00000000-0005-0000-0000-000034440000}"/>
    <cellStyle name="40% - Accent5 2 3 2 3 3" xfId="11182" xr:uid="{00000000-0005-0000-0000-000035440000}"/>
    <cellStyle name="40% - Accent5 2 3 2 3 3 2" xfId="25124" xr:uid="{00000000-0005-0000-0000-000036440000}"/>
    <cellStyle name="40% - Accent5 2 3 2 3 4" xfId="22994" xr:uid="{00000000-0005-0000-0000-000037440000}"/>
    <cellStyle name="40% - Accent5 2 3 2 4" xfId="4410" xr:uid="{00000000-0005-0000-0000-000038440000}"/>
    <cellStyle name="40% - Accent5 2 3 2 4 2" xfId="12312" xr:uid="{00000000-0005-0000-0000-000039440000}"/>
    <cellStyle name="40% - Accent5 2 3 2 4 2 2" xfId="26024" xr:uid="{00000000-0005-0000-0000-00003A440000}"/>
    <cellStyle name="40% - Accent5 2 3 2 4 3" xfId="22992" xr:uid="{00000000-0005-0000-0000-00003B440000}"/>
    <cellStyle name="40% - Accent5 2 3 2 5" xfId="4411" xr:uid="{00000000-0005-0000-0000-00003C440000}"/>
    <cellStyle name="40% - Accent5 2 3 2 5 2" xfId="12963" xr:uid="{00000000-0005-0000-0000-00003D440000}"/>
    <cellStyle name="40% - Accent5 2 3 2 5 2 2" xfId="26675" xr:uid="{00000000-0005-0000-0000-00003E440000}"/>
    <cellStyle name="40% - Accent5 2 3 2 5 3" xfId="24264" xr:uid="{00000000-0005-0000-0000-00003F440000}"/>
    <cellStyle name="40% - Accent5 2 3 2 6" xfId="4412" xr:uid="{00000000-0005-0000-0000-000040440000}"/>
    <cellStyle name="40% - Accent5 2 3 2 6 2" xfId="13876" xr:uid="{00000000-0005-0000-0000-000041440000}"/>
    <cellStyle name="40% - Accent5 2 3 2 6 2 2" xfId="27425" xr:uid="{00000000-0005-0000-0000-000042440000}"/>
    <cellStyle name="40% - Accent5 2 3 2 6 3" xfId="22991" xr:uid="{00000000-0005-0000-0000-000043440000}"/>
    <cellStyle name="40% - Accent5 2 3 2 7" xfId="4413" xr:uid="{00000000-0005-0000-0000-000044440000}"/>
    <cellStyle name="40% - Accent5 2 3 2 7 2" xfId="14457" xr:uid="{00000000-0005-0000-0000-000045440000}"/>
    <cellStyle name="40% - Accent5 2 3 2 7 2 2" xfId="28006" xr:uid="{00000000-0005-0000-0000-000046440000}"/>
    <cellStyle name="40% - Accent5 2 3 2 7 3" xfId="30657" xr:uid="{00000000-0005-0000-0000-000047440000}"/>
    <cellStyle name="40% - Accent5 2 3 2 8" xfId="4414" xr:uid="{00000000-0005-0000-0000-000048440000}"/>
    <cellStyle name="40% - Accent5 2 3 2 8 2" xfId="15402" xr:uid="{00000000-0005-0000-0000-000049440000}"/>
    <cellStyle name="40% - Accent5 2 3 2 8 2 2" xfId="28951" xr:uid="{00000000-0005-0000-0000-00004A440000}"/>
    <cellStyle name="40% - Accent5 2 3 2 8 3" xfId="22990" xr:uid="{00000000-0005-0000-0000-00004B440000}"/>
    <cellStyle name="40% - Accent5 2 3 2 9" xfId="4415" xr:uid="{00000000-0005-0000-0000-00004C440000}"/>
    <cellStyle name="40% - Accent5 2 3 2 9 2" xfId="16343" xr:uid="{00000000-0005-0000-0000-00004D440000}"/>
    <cellStyle name="40% - Accent5 2 3 2 9 2 2" xfId="29750" xr:uid="{00000000-0005-0000-0000-00004E440000}"/>
    <cellStyle name="40% - Accent5 2 3 2 9 3" xfId="22989" xr:uid="{00000000-0005-0000-0000-00004F440000}"/>
    <cellStyle name="40% - Accent5 2 3 3" xfId="4416" xr:uid="{00000000-0005-0000-0000-000050440000}"/>
    <cellStyle name="40% - Accent5 2 3 3 2" xfId="4417" xr:uid="{00000000-0005-0000-0000-000051440000}"/>
    <cellStyle name="40% - Accent5 2 3 3 2 2" xfId="11184" xr:uid="{00000000-0005-0000-0000-000052440000}"/>
    <cellStyle name="40% - Accent5 2 3 3 2 2 2" xfId="25126" xr:uid="{00000000-0005-0000-0000-000053440000}"/>
    <cellStyle name="40% - Accent5 2 3 3 2 3" xfId="22987" xr:uid="{00000000-0005-0000-0000-000054440000}"/>
    <cellStyle name="40% - Accent5 2 3 3 3" xfId="4418" xr:uid="{00000000-0005-0000-0000-000055440000}"/>
    <cellStyle name="40% - Accent5 2 3 3 3 2" xfId="12965" xr:uid="{00000000-0005-0000-0000-000056440000}"/>
    <cellStyle name="40% - Accent5 2 3 3 3 2 2" xfId="26677" xr:uid="{00000000-0005-0000-0000-000057440000}"/>
    <cellStyle name="40% - Accent5 2 3 3 3 3" xfId="29156" xr:uid="{00000000-0005-0000-0000-000058440000}"/>
    <cellStyle name="40% - Accent5 2 3 3 4" xfId="4419" xr:uid="{00000000-0005-0000-0000-000059440000}"/>
    <cellStyle name="40% - Accent5 2 3 3 4 2" xfId="15405" xr:uid="{00000000-0005-0000-0000-00005A440000}"/>
    <cellStyle name="40% - Accent5 2 3 3 4 2 2" xfId="28954" xr:uid="{00000000-0005-0000-0000-00005B440000}"/>
    <cellStyle name="40% - Accent5 2 3 3 4 3" xfId="22986" xr:uid="{00000000-0005-0000-0000-00005C440000}"/>
    <cellStyle name="40% - Accent5 2 3 3 5" xfId="4420" xr:uid="{00000000-0005-0000-0000-00005D440000}"/>
    <cellStyle name="40% - Accent5 2 3 3 5 2" xfId="16635" xr:uid="{00000000-0005-0000-0000-00005E440000}"/>
    <cellStyle name="40% - Accent5 2 3 3 5 2 2" xfId="30042" xr:uid="{00000000-0005-0000-0000-00005F440000}"/>
    <cellStyle name="40% - Accent5 2 3 3 5 3" xfId="22985" xr:uid="{00000000-0005-0000-0000-000060440000}"/>
    <cellStyle name="40% - Accent5 2 3 3 6" xfId="9457" xr:uid="{00000000-0005-0000-0000-000061440000}"/>
    <cellStyle name="40% - Accent5 2 3 3 6 2" xfId="23932" xr:uid="{00000000-0005-0000-0000-000062440000}"/>
    <cellStyle name="40% - Accent5 2 3 3 7" xfId="22988" xr:uid="{00000000-0005-0000-0000-000063440000}"/>
    <cellStyle name="40% - Accent5 2 3 4" xfId="4421" xr:uid="{00000000-0005-0000-0000-000064440000}"/>
    <cellStyle name="40% - Accent5 2 3 4 2" xfId="4422" xr:uid="{00000000-0005-0000-0000-000065440000}"/>
    <cellStyle name="40% - Accent5 2 3 4 2 2" xfId="15406" xr:uid="{00000000-0005-0000-0000-000066440000}"/>
    <cellStyle name="40% - Accent5 2 3 4 2 2 2" xfId="28955" xr:uid="{00000000-0005-0000-0000-000067440000}"/>
    <cellStyle name="40% - Accent5 2 3 4 2 3" xfId="22984" xr:uid="{00000000-0005-0000-0000-000068440000}"/>
    <cellStyle name="40% - Accent5 2 3 4 3" xfId="11181" xr:uid="{00000000-0005-0000-0000-000069440000}"/>
    <cellStyle name="40% - Accent5 2 3 4 3 2" xfId="25123" xr:uid="{00000000-0005-0000-0000-00006A440000}"/>
    <cellStyle name="40% - Accent5 2 3 4 4" xfId="24263" xr:uid="{00000000-0005-0000-0000-00006B440000}"/>
    <cellStyle name="40% - Accent5 2 3 5" xfId="4423" xr:uid="{00000000-0005-0000-0000-00006C440000}"/>
    <cellStyle name="40% - Accent5 2 3 5 2" xfId="12012" xr:uid="{00000000-0005-0000-0000-00006D440000}"/>
    <cellStyle name="40% - Accent5 2 3 5 2 2" xfId="25727" xr:uid="{00000000-0005-0000-0000-00006E440000}"/>
    <cellStyle name="40% - Accent5 2 3 5 3" xfId="25280" xr:uid="{00000000-0005-0000-0000-00006F440000}"/>
    <cellStyle name="40% - Accent5 2 3 6" xfId="4424" xr:uid="{00000000-0005-0000-0000-000070440000}"/>
    <cellStyle name="40% - Accent5 2 3 6 2" xfId="12962" xr:uid="{00000000-0005-0000-0000-000071440000}"/>
    <cellStyle name="40% - Accent5 2 3 6 2 2" xfId="26674" xr:uid="{00000000-0005-0000-0000-000072440000}"/>
    <cellStyle name="40% - Accent5 2 3 6 3" xfId="22983" xr:uid="{00000000-0005-0000-0000-000073440000}"/>
    <cellStyle name="40% - Accent5 2 3 7" xfId="4425" xr:uid="{00000000-0005-0000-0000-000074440000}"/>
    <cellStyle name="40% - Accent5 2 3 7 2" xfId="13587" xr:uid="{00000000-0005-0000-0000-000075440000}"/>
    <cellStyle name="40% - Accent5 2 3 7 2 2" xfId="27136" xr:uid="{00000000-0005-0000-0000-000076440000}"/>
    <cellStyle name="40% - Accent5 2 3 7 3" xfId="22982" xr:uid="{00000000-0005-0000-0000-000077440000}"/>
    <cellStyle name="40% - Accent5 2 3 8" xfId="4426" xr:uid="{00000000-0005-0000-0000-000078440000}"/>
    <cellStyle name="40% - Accent5 2 3 8 2" xfId="14168" xr:uid="{00000000-0005-0000-0000-000079440000}"/>
    <cellStyle name="40% - Accent5 2 3 8 2 2" xfId="27717" xr:uid="{00000000-0005-0000-0000-00007A440000}"/>
    <cellStyle name="40% - Accent5 2 3 8 3" xfId="24262" xr:uid="{00000000-0005-0000-0000-00007B440000}"/>
    <cellStyle name="40% - Accent5 2 3 9" xfId="4427" xr:uid="{00000000-0005-0000-0000-00007C440000}"/>
    <cellStyle name="40% - Accent5 2 3 9 2" xfId="15401" xr:uid="{00000000-0005-0000-0000-00007D440000}"/>
    <cellStyle name="40% - Accent5 2 3 9 2 2" xfId="28950" xr:uid="{00000000-0005-0000-0000-00007E440000}"/>
    <cellStyle name="40% - Accent5 2 3 9 3" xfId="22981" xr:uid="{00000000-0005-0000-0000-00007F440000}"/>
    <cellStyle name="40% - Accent5 2 4" xfId="4428" xr:uid="{00000000-0005-0000-0000-000080440000}"/>
    <cellStyle name="40% - Accent5 2 4 10" xfId="9458" xr:uid="{00000000-0005-0000-0000-000081440000}"/>
    <cellStyle name="40% - Accent5 2 4 10 2" xfId="23933" xr:uid="{00000000-0005-0000-0000-000082440000}"/>
    <cellStyle name="40% - Accent5 2 4 11" xfId="26850" xr:uid="{00000000-0005-0000-0000-000083440000}"/>
    <cellStyle name="40% - Accent5 2 4 2" xfId="4429" xr:uid="{00000000-0005-0000-0000-000084440000}"/>
    <cellStyle name="40% - Accent5 2 4 2 2" xfId="4430" xr:uid="{00000000-0005-0000-0000-000085440000}"/>
    <cellStyle name="40% - Accent5 2 4 2 2 2" xfId="11186" xr:uid="{00000000-0005-0000-0000-000086440000}"/>
    <cellStyle name="40% - Accent5 2 4 2 2 2 2" xfId="25128" xr:uid="{00000000-0005-0000-0000-000087440000}"/>
    <cellStyle name="40% - Accent5 2 4 2 2 3" xfId="22979" xr:uid="{00000000-0005-0000-0000-000088440000}"/>
    <cellStyle name="40% - Accent5 2 4 2 3" xfId="4431" xr:uid="{00000000-0005-0000-0000-000089440000}"/>
    <cellStyle name="40% - Accent5 2 4 2 3 2" xfId="12967" xr:uid="{00000000-0005-0000-0000-00008A440000}"/>
    <cellStyle name="40% - Accent5 2 4 2 3 2 2" xfId="26679" xr:uid="{00000000-0005-0000-0000-00008B440000}"/>
    <cellStyle name="40% - Accent5 2 4 2 3 3" xfId="24260" xr:uid="{00000000-0005-0000-0000-00008C440000}"/>
    <cellStyle name="40% - Accent5 2 4 2 4" xfId="4432" xr:uid="{00000000-0005-0000-0000-00008D440000}"/>
    <cellStyle name="40% - Accent5 2 4 2 4 2" xfId="15408" xr:uid="{00000000-0005-0000-0000-00008E440000}"/>
    <cellStyle name="40% - Accent5 2 4 2 4 2 2" xfId="28957" xr:uid="{00000000-0005-0000-0000-00008F440000}"/>
    <cellStyle name="40% - Accent5 2 4 2 4 3" xfId="22978" xr:uid="{00000000-0005-0000-0000-000090440000}"/>
    <cellStyle name="40% - Accent5 2 4 2 5" xfId="4433" xr:uid="{00000000-0005-0000-0000-000091440000}"/>
    <cellStyle name="40% - Accent5 2 4 2 5 2" xfId="16781" xr:uid="{00000000-0005-0000-0000-000092440000}"/>
    <cellStyle name="40% - Accent5 2 4 2 5 2 2" xfId="30188" xr:uid="{00000000-0005-0000-0000-000093440000}"/>
    <cellStyle name="40% - Accent5 2 4 2 5 3" xfId="22977" xr:uid="{00000000-0005-0000-0000-000094440000}"/>
    <cellStyle name="40% - Accent5 2 4 2 6" xfId="9459" xr:uid="{00000000-0005-0000-0000-000095440000}"/>
    <cellStyle name="40% - Accent5 2 4 2 6 2" xfId="23934" xr:uid="{00000000-0005-0000-0000-000096440000}"/>
    <cellStyle name="40% - Accent5 2 4 2 7" xfId="22980" xr:uid="{00000000-0005-0000-0000-000097440000}"/>
    <cellStyle name="40% - Accent5 2 4 3" xfId="4434" xr:uid="{00000000-0005-0000-0000-000098440000}"/>
    <cellStyle name="40% - Accent5 2 4 3 2" xfId="4435" xr:uid="{00000000-0005-0000-0000-000099440000}"/>
    <cellStyle name="40% - Accent5 2 4 3 2 2" xfId="15409" xr:uid="{00000000-0005-0000-0000-00009A440000}"/>
    <cellStyle name="40% - Accent5 2 4 3 2 2 2" xfId="28958" xr:uid="{00000000-0005-0000-0000-00009B440000}"/>
    <cellStyle name="40% - Accent5 2 4 3 2 3" xfId="22976" xr:uid="{00000000-0005-0000-0000-00009C440000}"/>
    <cellStyle name="40% - Accent5 2 4 3 3" xfId="11185" xr:uid="{00000000-0005-0000-0000-00009D440000}"/>
    <cellStyle name="40% - Accent5 2 4 3 3 2" xfId="25127" xr:uid="{00000000-0005-0000-0000-00009E440000}"/>
    <cellStyle name="40% - Accent5 2 4 3 4" xfId="29155" xr:uid="{00000000-0005-0000-0000-00009F440000}"/>
    <cellStyle name="40% - Accent5 2 4 4" xfId="4436" xr:uid="{00000000-0005-0000-0000-0000A0440000}"/>
    <cellStyle name="40% - Accent5 2 4 4 2" xfId="12169" xr:uid="{00000000-0005-0000-0000-0000A1440000}"/>
    <cellStyle name="40% - Accent5 2 4 4 2 2" xfId="25881" xr:uid="{00000000-0005-0000-0000-0000A2440000}"/>
    <cellStyle name="40% - Accent5 2 4 4 3" xfId="22975" xr:uid="{00000000-0005-0000-0000-0000A3440000}"/>
    <cellStyle name="40% - Accent5 2 4 5" xfId="4437" xr:uid="{00000000-0005-0000-0000-0000A4440000}"/>
    <cellStyle name="40% - Accent5 2 4 5 2" xfId="12966" xr:uid="{00000000-0005-0000-0000-0000A5440000}"/>
    <cellStyle name="40% - Accent5 2 4 5 2 2" xfId="26678" xr:uid="{00000000-0005-0000-0000-0000A6440000}"/>
    <cellStyle name="40% - Accent5 2 4 5 3" xfId="26849" xr:uid="{00000000-0005-0000-0000-0000A7440000}"/>
    <cellStyle name="40% - Accent5 2 4 6" xfId="4438" xr:uid="{00000000-0005-0000-0000-0000A8440000}"/>
    <cellStyle name="40% - Accent5 2 4 6 2" xfId="13733" xr:uid="{00000000-0005-0000-0000-0000A9440000}"/>
    <cellStyle name="40% - Accent5 2 4 6 2 2" xfId="27282" xr:uid="{00000000-0005-0000-0000-0000AA440000}"/>
    <cellStyle name="40% - Accent5 2 4 6 3" xfId="22974" xr:uid="{00000000-0005-0000-0000-0000AB440000}"/>
    <cellStyle name="40% - Accent5 2 4 7" xfId="4439" xr:uid="{00000000-0005-0000-0000-0000AC440000}"/>
    <cellStyle name="40% - Accent5 2 4 7 2" xfId="14314" xr:uid="{00000000-0005-0000-0000-0000AD440000}"/>
    <cellStyle name="40% - Accent5 2 4 7 2 2" xfId="27863" xr:uid="{00000000-0005-0000-0000-0000AE440000}"/>
    <cellStyle name="40% - Accent5 2 4 7 3" xfId="22973" xr:uid="{00000000-0005-0000-0000-0000AF440000}"/>
    <cellStyle name="40% - Accent5 2 4 8" xfId="4440" xr:uid="{00000000-0005-0000-0000-0000B0440000}"/>
    <cellStyle name="40% - Accent5 2 4 8 2" xfId="15407" xr:uid="{00000000-0005-0000-0000-0000B1440000}"/>
    <cellStyle name="40% - Accent5 2 4 8 2 2" xfId="28956" xr:uid="{00000000-0005-0000-0000-0000B2440000}"/>
    <cellStyle name="40% - Accent5 2 4 8 3" xfId="24261" xr:uid="{00000000-0005-0000-0000-0000B3440000}"/>
    <cellStyle name="40% - Accent5 2 4 9" xfId="4441" xr:uid="{00000000-0005-0000-0000-0000B4440000}"/>
    <cellStyle name="40% - Accent5 2 4 9 2" xfId="16200" xr:uid="{00000000-0005-0000-0000-0000B5440000}"/>
    <cellStyle name="40% - Accent5 2 4 9 2 2" xfId="29607" xr:uid="{00000000-0005-0000-0000-0000B6440000}"/>
    <cellStyle name="40% - Accent5 2 4 9 3" xfId="22972" xr:uid="{00000000-0005-0000-0000-0000B7440000}"/>
    <cellStyle name="40% - Accent5 2 5" xfId="4442" xr:uid="{00000000-0005-0000-0000-0000B8440000}"/>
    <cellStyle name="40% - Accent5 2 5 2" xfId="4443" xr:uid="{00000000-0005-0000-0000-0000B9440000}"/>
    <cellStyle name="40% - Accent5 2 5 2 2" xfId="4444" xr:uid="{00000000-0005-0000-0000-0000BA440000}"/>
    <cellStyle name="40% - Accent5 2 5 2 2 2" xfId="11188" xr:uid="{00000000-0005-0000-0000-0000BB440000}"/>
    <cellStyle name="40% - Accent5 2 5 2 2 2 2" xfId="25130" xr:uid="{00000000-0005-0000-0000-0000BC440000}"/>
    <cellStyle name="40% - Accent5 2 5 2 2 3" xfId="22970" xr:uid="{00000000-0005-0000-0000-0000BD440000}"/>
    <cellStyle name="40% - Accent5 2 5 2 3" xfId="4445" xr:uid="{00000000-0005-0000-0000-0000BE440000}"/>
    <cellStyle name="40% - Accent5 2 5 2 3 2" xfId="12969" xr:uid="{00000000-0005-0000-0000-0000BF440000}"/>
    <cellStyle name="40% - Accent5 2 5 2 3 2 2" xfId="26681" xr:uid="{00000000-0005-0000-0000-0000C0440000}"/>
    <cellStyle name="40% - Accent5 2 5 2 3 3" xfId="22969" xr:uid="{00000000-0005-0000-0000-0000C1440000}"/>
    <cellStyle name="40% - Accent5 2 5 2 4" xfId="4446" xr:uid="{00000000-0005-0000-0000-0000C2440000}"/>
    <cellStyle name="40% - Accent5 2 5 2 4 2" xfId="15411" xr:uid="{00000000-0005-0000-0000-0000C3440000}"/>
    <cellStyle name="40% - Accent5 2 5 2 4 2 2" xfId="28960" xr:uid="{00000000-0005-0000-0000-0000C4440000}"/>
    <cellStyle name="40% - Accent5 2 5 2 4 3" xfId="24256" xr:uid="{00000000-0005-0000-0000-0000C5440000}"/>
    <cellStyle name="40% - Accent5 2 5 2 5" xfId="9461" xr:uid="{00000000-0005-0000-0000-0000C6440000}"/>
    <cellStyle name="40% - Accent5 2 5 2 5 2" xfId="23936" xr:uid="{00000000-0005-0000-0000-0000C7440000}"/>
    <cellStyle name="40% - Accent5 2 5 2 6" xfId="22971" xr:uid="{00000000-0005-0000-0000-0000C8440000}"/>
    <cellStyle name="40% - Accent5 2 5 3" xfId="4447" xr:uid="{00000000-0005-0000-0000-0000C9440000}"/>
    <cellStyle name="40% - Accent5 2 5 3 2" xfId="11187" xr:uid="{00000000-0005-0000-0000-0000CA440000}"/>
    <cellStyle name="40% - Accent5 2 5 3 2 2" xfId="25129" xr:uid="{00000000-0005-0000-0000-0000CB440000}"/>
    <cellStyle name="40% - Accent5 2 5 3 3" xfId="22968" xr:uid="{00000000-0005-0000-0000-0000CC440000}"/>
    <cellStyle name="40% - Accent5 2 5 4" xfId="4448" xr:uid="{00000000-0005-0000-0000-0000CD440000}"/>
    <cellStyle name="40% - Accent5 2 5 4 2" xfId="12968" xr:uid="{00000000-0005-0000-0000-0000CE440000}"/>
    <cellStyle name="40% - Accent5 2 5 4 2 2" xfId="26680" xr:uid="{00000000-0005-0000-0000-0000CF440000}"/>
    <cellStyle name="40% - Accent5 2 5 4 3" xfId="22967" xr:uid="{00000000-0005-0000-0000-0000D0440000}"/>
    <cellStyle name="40% - Accent5 2 5 5" xfId="4449" xr:uid="{00000000-0005-0000-0000-0000D1440000}"/>
    <cellStyle name="40% - Accent5 2 5 5 2" xfId="15410" xr:uid="{00000000-0005-0000-0000-0000D2440000}"/>
    <cellStyle name="40% - Accent5 2 5 5 2 2" xfId="28959" xr:uid="{00000000-0005-0000-0000-0000D3440000}"/>
    <cellStyle name="40% - Accent5 2 5 5 3" xfId="29154" xr:uid="{00000000-0005-0000-0000-0000D4440000}"/>
    <cellStyle name="40% - Accent5 2 5 6" xfId="4450" xr:uid="{00000000-0005-0000-0000-0000D5440000}"/>
    <cellStyle name="40% - Accent5 2 5 6 2" xfId="17017" xr:uid="{00000000-0005-0000-0000-0000D6440000}"/>
    <cellStyle name="40% - Accent5 2 5 6 2 2" xfId="30424" xr:uid="{00000000-0005-0000-0000-0000D7440000}"/>
    <cellStyle name="40% - Accent5 2 5 6 3" xfId="22966" xr:uid="{00000000-0005-0000-0000-0000D8440000}"/>
    <cellStyle name="40% - Accent5 2 5 7" xfId="9460" xr:uid="{00000000-0005-0000-0000-0000D9440000}"/>
    <cellStyle name="40% - Accent5 2 5 7 2" xfId="23935" xr:uid="{00000000-0005-0000-0000-0000DA440000}"/>
    <cellStyle name="40% - Accent5 2 5 8" xfId="25279" xr:uid="{00000000-0005-0000-0000-0000DB440000}"/>
    <cellStyle name="40% - Accent5 2 6" xfId="4451" xr:uid="{00000000-0005-0000-0000-0000DC440000}"/>
    <cellStyle name="40% - Accent5 2 6 2" xfId="4452" xr:uid="{00000000-0005-0000-0000-0000DD440000}"/>
    <cellStyle name="40% - Accent5 2 6 2 2" xfId="11189" xr:uid="{00000000-0005-0000-0000-0000DE440000}"/>
    <cellStyle name="40% - Accent5 2 6 2 2 2" xfId="25131" xr:uid="{00000000-0005-0000-0000-0000DF440000}"/>
    <cellStyle name="40% - Accent5 2 6 2 3" xfId="26848" xr:uid="{00000000-0005-0000-0000-0000E0440000}"/>
    <cellStyle name="40% - Accent5 2 6 3" xfId="4453" xr:uid="{00000000-0005-0000-0000-0000E1440000}"/>
    <cellStyle name="40% - Accent5 2 6 3 2" xfId="12970" xr:uid="{00000000-0005-0000-0000-0000E2440000}"/>
    <cellStyle name="40% - Accent5 2 6 3 2 2" xfId="26682" xr:uid="{00000000-0005-0000-0000-0000E3440000}"/>
    <cellStyle name="40% - Accent5 2 6 3 3" xfId="22964" xr:uid="{00000000-0005-0000-0000-0000E4440000}"/>
    <cellStyle name="40% - Accent5 2 6 4" xfId="4454" xr:uid="{00000000-0005-0000-0000-0000E5440000}"/>
    <cellStyle name="40% - Accent5 2 6 4 2" xfId="15412" xr:uid="{00000000-0005-0000-0000-0000E6440000}"/>
    <cellStyle name="40% - Accent5 2 6 4 2 2" xfId="28961" xr:uid="{00000000-0005-0000-0000-0000E7440000}"/>
    <cellStyle name="40% - Accent5 2 6 4 3" xfId="22963" xr:uid="{00000000-0005-0000-0000-0000E8440000}"/>
    <cellStyle name="40% - Accent5 2 6 5" xfId="4455" xr:uid="{00000000-0005-0000-0000-0000E9440000}"/>
    <cellStyle name="40% - Accent5 2 6 5 2" xfId="17128" xr:uid="{00000000-0005-0000-0000-0000EA440000}"/>
    <cellStyle name="40% - Accent5 2 6 5 2 2" xfId="30487" xr:uid="{00000000-0005-0000-0000-0000EB440000}"/>
    <cellStyle name="40% - Accent5 2 6 5 3" xfId="24259" xr:uid="{00000000-0005-0000-0000-0000EC440000}"/>
    <cellStyle name="40% - Accent5 2 6 6" xfId="9462" xr:uid="{00000000-0005-0000-0000-0000ED440000}"/>
    <cellStyle name="40% - Accent5 2 6 6 2" xfId="23937" xr:uid="{00000000-0005-0000-0000-0000EE440000}"/>
    <cellStyle name="40% - Accent5 2 6 7" xfId="22965" xr:uid="{00000000-0005-0000-0000-0000EF440000}"/>
    <cellStyle name="40% - Accent5 2 7" xfId="4456" xr:uid="{00000000-0005-0000-0000-0000F0440000}"/>
    <cellStyle name="40% - Accent5 2 7 2" xfId="4457" xr:uid="{00000000-0005-0000-0000-0000F1440000}"/>
    <cellStyle name="40% - Accent5 2 7 2 2" xfId="11190" xr:uid="{00000000-0005-0000-0000-0000F2440000}"/>
    <cellStyle name="40% - Accent5 2 7 2 2 2" xfId="25132" xr:uid="{00000000-0005-0000-0000-0000F3440000}"/>
    <cellStyle name="40% - Accent5 2 7 2 3" xfId="25278" xr:uid="{00000000-0005-0000-0000-0000F4440000}"/>
    <cellStyle name="40% - Accent5 2 7 3" xfId="4458" xr:uid="{00000000-0005-0000-0000-0000F5440000}"/>
    <cellStyle name="40% - Accent5 2 7 3 2" xfId="12971" xr:uid="{00000000-0005-0000-0000-0000F6440000}"/>
    <cellStyle name="40% - Accent5 2 7 3 2 2" xfId="26683" xr:uid="{00000000-0005-0000-0000-0000F7440000}"/>
    <cellStyle name="40% - Accent5 2 7 3 3" xfId="22961" xr:uid="{00000000-0005-0000-0000-0000F8440000}"/>
    <cellStyle name="40% - Accent5 2 7 4" xfId="4459" xr:uid="{00000000-0005-0000-0000-0000F9440000}"/>
    <cellStyle name="40% - Accent5 2 7 4 2" xfId="15413" xr:uid="{00000000-0005-0000-0000-0000FA440000}"/>
    <cellStyle name="40% - Accent5 2 7 4 2 2" xfId="28962" xr:uid="{00000000-0005-0000-0000-0000FB440000}"/>
    <cellStyle name="40% - Accent5 2 7 4 3" xfId="22960" xr:uid="{00000000-0005-0000-0000-0000FC440000}"/>
    <cellStyle name="40% - Accent5 2 7 5" xfId="4460" xr:uid="{00000000-0005-0000-0000-0000FD440000}"/>
    <cellStyle name="40% - Accent5 2 7 5 2" xfId="17217" xr:uid="{00000000-0005-0000-0000-0000FE440000}"/>
    <cellStyle name="40% - Accent5 2 7 5 2 2" xfId="30576" xr:uid="{00000000-0005-0000-0000-0000FF440000}"/>
    <cellStyle name="40% - Accent5 2 7 5 3" xfId="24257" xr:uid="{00000000-0005-0000-0000-000000450000}"/>
    <cellStyle name="40% - Accent5 2 7 6" xfId="9463" xr:uid="{00000000-0005-0000-0000-000001450000}"/>
    <cellStyle name="40% - Accent5 2 7 6 2" xfId="23938" xr:uid="{00000000-0005-0000-0000-000002450000}"/>
    <cellStyle name="40% - Accent5 2 7 7" xfId="22962" xr:uid="{00000000-0005-0000-0000-000003450000}"/>
    <cellStyle name="40% - Accent5 2 8" xfId="4461" xr:uid="{00000000-0005-0000-0000-000004450000}"/>
    <cellStyle name="40% - Accent5 2 8 2" xfId="4462" xr:uid="{00000000-0005-0000-0000-000005450000}"/>
    <cellStyle name="40% - Accent5 2 8 2 2" xfId="12972" xr:uid="{00000000-0005-0000-0000-000006450000}"/>
    <cellStyle name="40% - Accent5 2 8 2 2 2" xfId="26684" xr:uid="{00000000-0005-0000-0000-000007450000}"/>
    <cellStyle name="40% - Accent5 2 8 2 3" xfId="22958" xr:uid="{00000000-0005-0000-0000-000008450000}"/>
    <cellStyle name="40% - Accent5 2 8 3" xfId="4463" xr:uid="{00000000-0005-0000-0000-000009450000}"/>
    <cellStyle name="40% - Accent5 2 8 3 2" xfId="15414" xr:uid="{00000000-0005-0000-0000-00000A450000}"/>
    <cellStyle name="40% - Accent5 2 8 3 2 2" xfId="28963" xr:uid="{00000000-0005-0000-0000-00000B450000}"/>
    <cellStyle name="40% - Accent5 2 8 3 3" xfId="29153" xr:uid="{00000000-0005-0000-0000-00000C450000}"/>
    <cellStyle name="40% - Accent5 2 8 4" xfId="4464" xr:uid="{00000000-0005-0000-0000-00000D450000}"/>
    <cellStyle name="40% - Accent5 2 8 4 2" xfId="16492" xr:uid="{00000000-0005-0000-0000-00000E450000}"/>
    <cellStyle name="40% - Accent5 2 8 4 2 2" xfId="29899" xr:uid="{00000000-0005-0000-0000-00000F450000}"/>
    <cellStyle name="40% - Accent5 2 8 4 3" xfId="22957" xr:uid="{00000000-0005-0000-0000-000010450000}"/>
    <cellStyle name="40% - Accent5 2 8 5" xfId="10538" xr:uid="{00000000-0005-0000-0000-000011450000}"/>
    <cellStyle name="40% - Accent5 2 8 5 2" xfId="24480" xr:uid="{00000000-0005-0000-0000-000012450000}"/>
    <cellStyle name="40% - Accent5 2 8 6" xfId="22959" xr:uid="{00000000-0005-0000-0000-000013450000}"/>
    <cellStyle name="40% - Accent5 2 9" xfId="4465" xr:uid="{00000000-0005-0000-0000-000014450000}"/>
    <cellStyle name="40% - Accent5 2 9 2" xfId="4466" xr:uid="{00000000-0005-0000-0000-000015450000}"/>
    <cellStyle name="40% - Accent5 2 9 2 2" xfId="12973" xr:uid="{00000000-0005-0000-0000-000016450000}"/>
    <cellStyle name="40% - Accent5 2 9 2 2 2" xfId="26685" xr:uid="{00000000-0005-0000-0000-000017450000}"/>
    <cellStyle name="40% - Accent5 2 9 2 3" xfId="26847" xr:uid="{00000000-0005-0000-0000-000018450000}"/>
    <cellStyle name="40% - Accent5 2 9 3" xfId="4467" xr:uid="{00000000-0005-0000-0000-000019450000}"/>
    <cellStyle name="40% - Accent5 2 9 3 2" xfId="15415" xr:uid="{00000000-0005-0000-0000-00001A450000}"/>
    <cellStyle name="40% - Accent5 2 9 3 2 2" xfId="28964" xr:uid="{00000000-0005-0000-0000-00001B450000}"/>
    <cellStyle name="40% - Accent5 2 9 3 3" xfId="22955" xr:uid="{00000000-0005-0000-0000-00001C450000}"/>
    <cellStyle name="40% - Accent5 2 9 4" xfId="11172" xr:uid="{00000000-0005-0000-0000-00001D450000}"/>
    <cellStyle name="40% - Accent5 2 9 4 2" xfId="25114" xr:uid="{00000000-0005-0000-0000-00001E450000}"/>
    <cellStyle name="40% - Accent5 2 9 5" xfId="22956" xr:uid="{00000000-0005-0000-0000-00001F450000}"/>
    <cellStyle name="40% - Accent5 20" xfId="4468" xr:uid="{00000000-0005-0000-0000-000020450000}"/>
    <cellStyle name="40% - Accent5 20 2" xfId="4469" xr:uid="{00000000-0005-0000-0000-000021450000}"/>
    <cellStyle name="40% - Accent5 20 2 2" xfId="12974" xr:uid="{00000000-0005-0000-0000-000022450000}"/>
    <cellStyle name="40% - Accent5 20 2 2 2" xfId="26686" xr:uid="{00000000-0005-0000-0000-000023450000}"/>
    <cellStyle name="40% - Accent5 20 2 3" xfId="24258" xr:uid="{00000000-0005-0000-0000-000024450000}"/>
    <cellStyle name="40% - Accent5 20 3" xfId="4470" xr:uid="{00000000-0005-0000-0000-000025450000}"/>
    <cellStyle name="40% - Accent5 20 3 2" xfId="15416" xr:uid="{00000000-0005-0000-0000-000026450000}"/>
    <cellStyle name="40% - Accent5 20 3 2 2" xfId="28965" xr:uid="{00000000-0005-0000-0000-000027450000}"/>
    <cellStyle name="40% - Accent5 20 3 3" xfId="22953" xr:uid="{00000000-0005-0000-0000-000028450000}"/>
    <cellStyle name="40% - Accent5 20 4" xfId="10513" xr:uid="{00000000-0005-0000-0000-000029450000}"/>
    <cellStyle name="40% - Accent5 20 4 2" xfId="24461" xr:uid="{00000000-0005-0000-0000-00002A450000}"/>
    <cellStyle name="40% - Accent5 20 5" xfId="22954" xr:uid="{00000000-0005-0000-0000-00002B450000}"/>
    <cellStyle name="40% - Accent5 21" xfId="4471" xr:uid="{00000000-0005-0000-0000-00002C450000}"/>
    <cellStyle name="40% - Accent5 21 2" xfId="4472" xr:uid="{00000000-0005-0000-0000-00002D450000}"/>
    <cellStyle name="40% - Accent5 21 2 2" xfId="12975" xr:uid="{00000000-0005-0000-0000-00002E450000}"/>
    <cellStyle name="40% - Accent5 21 2 2 2" xfId="26687" xr:uid="{00000000-0005-0000-0000-00002F450000}"/>
    <cellStyle name="40% - Accent5 21 2 3" xfId="22952" xr:uid="{00000000-0005-0000-0000-000030450000}"/>
    <cellStyle name="40% - Accent5 21 3" xfId="4473" xr:uid="{00000000-0005-0000-0000-000031450000}"/>
    <cellStyle name="40% - Accent5 21 3 2" xfId="15417" xr:uid="{00000000-0005-0000-0000-000032450000}"/>
    <cellStyle name="40% - Accent5 21 3 2 2" xfId="28966" xr:uid="{00000000-0005-0000-0000-000033450000}"/>
    <cellStyle name="40% - Accent5 21 3 3" xfId="22951" xr:uid="{00000000-0005-0000-0000-000034450000}"/>
    <cellStyle name="40% - Accent5 21 4" xfId="11161" xr:uid="{00000000-0005-0000-0000-000035450000}"/>
    <cellStyle name="40% - Accent5 21 4 2" xfId="25103" xr:uid="{00000000-0005-0000-0000-000036450000}"/>
    <cellStyle name="40% - Accent5 21 5" xfId="25277" xr:uid="{00000000-0005-0000-0000-000037450000}"/>
    <cellStyle name="40% - Accent5 22" xfId="4474" xr:uid="{00000000-0005-0000-0000-000038450000}"/>
    <cellStyle name="40% - Accent5 22 2" xfId="11749" xr:uid="{00000000-0005-0000-0000-000039450000}"/>
    <cellStyle name="40% - Accent5 22 2 2" xfId="25464" xr:uid="{00000000-0005-0000-0000-00003A450000}"/>
    <cellStyle name="40% - Accent5 22 3" xfId="22950" xr:uid="{00000000-0005-0000-0000-00003B450000}"/>
    <cellStyle name="40% - Accent5 23" xfId="4475" xr:uid="{00000000-0005-0000-0000-00003C450000}"/>
    <cellStyle name="40% - Accent5 23 2" xfId="12940" xr:uid="{00000000-0005-0000-0000-00003D450000}"/>
    <cellStyle name="40% - Accent5 23 2 2" xfId="26652" xr:uid="{00000000-0005-0000-0000-00003E450000}"/>
    <cellStyle name="40% - Accent5 23 3" xfId="22949" xr:uid="{00000000-0005-0000-0000-00003F450000}"/>
    <cellStyle name="40% - Accent5 24" xfId="4476" xr:uid="{00000000-0005-0000-0000-000040450000}"/>
    <cellStyle name="40% - Accent5 24 2" xfId="13388" xr:uid="{00000000-0005-0000-0000-000041450000}"/>
    <cellStyle name="40% - Accent5 24 2 2" xfId="26937" xr:uid="{00000000-0005-0000-0000-000042450000}"/>
    <cellStyle name="40% - Accent5 24 3" xfId="24255" xr:uid="{00000000-0005-0000-0000-000043450000}"/>
    <cellStyle name="40% - Accent5 25" xfId="4477" xr:uid="{00000000-0005-0000-0000-000044450000}"/>
    <cellStyle name="40% - Accent5 25 2" xfId="13969" xr:uid="{00000000-0005-0000-0000-000045450000}"/>
    <cellStyle name="40% - Accent5 25 2 2" xfId="27518" xr:uid="{00000000-0005-0000-0000-000046450000}"/>
    <cellStyle name="40% - Accent5 25 3" xfId="23241" xr:uid="{00000000-0005-0000-0000-000047450000}"/>
    <cellStyle name="40% - Accent5 26" xfId="4478" xr:uid="{00000000-0005-0000-0000-000048450000}"/>
    <cellStyle name="40% - Accent5 26 2" xfId="15374" xr:uid="{00000000-0005-0000-0000-000049450000}"/>
    <cellStyle name="40% - Accent5 26 2 2" xfId="28923" xr:uid="{00000000-0005-0000-0000-00004A450000}"/>
    <cellStyle name="40% - Accent5 26 3" xfId="30682" xr:uid="{00000000-0005-0000-0000-00004B450000}"/>
    <cellStyle name="40% - Accent5 27" xfId="4479" xr:uid="{00000000-0005-0000-0000-00004C450000}"/>
    <cellStyle name="40% - Accent5 27 2" xfId="15831" xr:uid="{00000000-0005-0000-0000-00004D450000}"/>
    <cellStyle name="40% - Accent5 27 2 2" xfId="29238" xr:uid="{00000000-0005-0000-0000-00004E450000}"/>
    <cellStyle name="40% - Accent5 27 3" xfId="22948" xr:uid="{00000000-0005-0000-0000-00004F450000}"/>
    <cellStyle name="40% - Accent5 28" xfId="4480" xr:uid="{00000000-0005-0000-0000-000050450000}"/>
    <cellStyle name="40% - Accent5 28 2" xfId="15855" xr:uid="{00000000-0005-0000-0000-000051450000}"/>
    <cellStyle name="40% - Accent5 28 2 2" xfId="29262" xr:uid="{00000000-0005-0000-0000-000052450000}"/>
    <cellStyle name="40% - Accent5 28 3" xfId="22947" xr:uid="{00000000-0005-0000-0000-000053450000}"/>
    <cellStyle name="40% - Accent5 29" xfId="4481" xr:uid="{00000000-0005-0000-0000-000054450000}"/>
    <cellStyle name="40% - Accent5 29 2" xfId="9434" xr:uid="{00000000-0005-0000-0000-000055450000}"/>
    <cellStyle name="40% - Accent5 29 2 2" xfId="23909" xr:uid="{00000000-0005-0000-0000-000056450000}"/>
    <cellStyle name="40% - Accent5 29 3" xfId="24221" xr:uid="{00000000-0005-0000-0000-000057450000}"/>
    <cellStyle name="40% - Accent5 3" xfId="4482" xr:uid="{00000000-0005-0000-0000-000058450000}"/>
    <cellStyle name="40% - Accent5 3 10" xfId="4483" xr:uid="{00000000-0005-0000-0000-000059450000}"/>
    <cellStyle name="40% - Accent5 3 10 2" xfId="14048" xr:uid="{00000000-0005-0000-0000-00005A450000}"/>
    <cellStyle name="40% - Accent5 3 10 2 2" xfId="27597" xr:uid="{00000000-0005-0000-0000-00005B450000}"/>
    <cellStyle name="40% - Accent5 3 10 3" xfId="22946" xr:uid="{00000000-0005-0000-0000-00005C450000}"/>
    <cellStyle name="40% - Accent5 3 11" xfId="4484" xr:uid="{00000000-0005-0000-0000-00005D450000}"/>
    <cellStyle name="40% - Accent5 3 11 2" xfId="15418" xr:uid="{00000000-0005-0000-0000-00005E450000}"/>
    <cellStyle name="40% - Accent5 3 11 2 2" xfId="28967" xr:uid="{00000000-0005-0000-0000-00005F450000}"/>
    <cellStyle name="40% - Accent5 3 11 3" xfId="22945" xr:uid="{00000000-0005-0000-0000-000060450000}"/>
    <cellStyle name="40% - Accent5 3 12" xfId="4485" xr:uid="{00000000-0005-0000-0000-000061450000}"/>
    <cellStyle name="40% - Accent5 3 12 2" xfId="15934" xr:uid="{00000000-0005-0000-0000-000062450000}"/>
    <cellStyle name="40% - Accent5 3 12 2 2" xfId="29341" xr:uid="{00000000-0005-0000-0000-000063450000}"/>
    <cellStyle name="40% - Accent5 3 12 3" xfId="22944" xr:uid="{00000000-0005-0000-0000-000064450000}"/>
    <cellStyle name="40% - Accent5 3 13" xfId="9464" xr:uid="{00000000-0005-0000-0000-000065450000}"/>
    <cellStyle name="40% - Accent5 3 13 2" xfId="23939" xr:uid="{00000000-0005-0000-0000-000066450000}"/>
    <cellStyle name="40% - Accent5 3 14" xfId="23204" xr:uid="{00000000-0005-0000-0000-000067450000}"/>
    <cellStyle name="40% - Accent5 3 2" xfId="4486" xr:uid="{00000000-0005-0000-0000-000068450000}"/>
    <cellStyle name="40% - Accent5 3 2 10" xfId="4487" xr:uid="{00000000-0005-0000-0000-000069450000}"/>
    <cellStyle name="40% - Accent5 3 2 10 2" xfId="16077" xr:uid="{00000000-0005-0000-0000-00006A450000}"/>
    <cellStyle name="40% - Accent5 3 2 10 2 2" xfId="29484" xr:uid="{00000000-0005-0000-0000-00006B450000}"/>
    <cellStyle name="40% - Accent5 3 2 10 3" xfId="22942" xr:uid="{00000000-0005-0000-0000-00006C450000}"/>
    <cellStyle name="40% - Accent5 3 2 11" xfId="9465" xr:uid="{00000000-0005-0000-0000-00006D450000}"/>
    <cellStyle name="40% - Accent5 3 2 11 2" xfId="23940" xr:uid="{00000000-0005-0000-0000-00006E450000}"/>
    <cellStyle name="40% - Accent5 3 2 12" xfId="22943" xr:uid="{00000000-0005-0000-0000-00006F450000}"/>
    <cellStyle name="40% - Accent5 3 2 2" xfId="4488" xr:uid="{00000000-0005-0000-0000-000070450000}"/>
    <cellStyle name="40% - Accent5 3 2 2 10" xfId="9466" xr:uid="{00000000-0005-0000-0000-000071450000}"/>
    <cellStyle name="40% - Accent5 3 2 2 10 2" xfId="23941" xr:uid="{00000000-0005-0000-0000-000072450000}"/>
    <cellStyle name="40% - Accent5 3 2 2 11" xfId="25256" xr:uid="{00000000-0005-0000-0000-000073450000}"/>
    <cellStyle name="40% - Accent5 3 2 2 2" xfId="4489" xr:uid="{00000000-0005-0000-0000-000074450000}"/>
    <cellStyle name="40% - Accent5 3 2 2 2 2" xfId="4490" xr:uid="{00000000-0005-0000-0000-000075450000}"/>
    <cellStyle name="40% - Accent5 3 2 2 2 2 2" xfId="11194" xr:uid="{00000000-0005-0000-0000-000076450000}"/>
    <cellStyle name="40% - Accent5 3 2 2 2 2 2 2" xfId="25136" xr:uid="{00000000-0005-0000-0000-000077450000}"/>
    <cellStyle name="40% - Accent5 3 2 2 2 2 3" xfId="29152" xr:uid="{00000000-0005-0000-0000-000078450000}"/>
    <cellStyle name="40% - Accent5 3 2 2 2 3" xfId="4491" xr:uid="{00000000-0005-0000-0000-000079450000}"/>
    <cellStyle name="40% - Accent5 3 2 2 2 3 2" xfId="12979" xr:uid="{00000000-0005-0000-0000-00007A450000}"/>
    <cellStyle name="40% - Accent5 3 2 2 2 3 2 2" xfId="26691" xr:uid="{00000000-0005-0000-0000-00007B450000}"/>
    <cellStyle name="40% - Accent5 3 2 2 2 3 3" xfId="22940" xr:uid="{00000000-0005-0000-0000-00007C450000}"/>
    <cellStyle name="40% - Accent5 3 2 2 2 4" xfId="4492" xr:uid="{00000000-0005-0000-0000-00007D450000}"/>
    <cellStyle name="40% - Accent5 3 2 2 2 4 2" xfId="15421" xr:uid="{00000000-0005-0000-0000-00007E450000}"/>
    <cellStyle name="40% - Accent5 3 2 2 2 4 2 2" xfId="28970" xr:uid="{00000000-0005-0000-0000-00007F450000}"/>
    <cellStyle name="40% - Accent5 3 2 2 2 4 3" xfId="22939" xr:uid="{00000000-0005-0000-0000-000080450000}"/>
    <cellStyle name="40% - Accent5 3 2 2 2 5" xfId="4493" xr:uid="{00000000-0005-0000-0000-000081450000}"/>
    <cellStyle name="40% - Accent5 3 2 2 2 5 2" xfId="16947" xr:uid="{00000000-0005-0000-0000-000082450000}"/>
    <cellStyle name="40% - Accent5 3 2 2 2 5 2 2" xfId="30354" xr:uid="{00000000-0005-0000-0000-000083450000}"/>
    <cellStyle name="40% - Accent5 3 2 2 2 5 3" xfId="22938" xr:uid="{00000000-0005-0000-0000-000084450000}"/>
    <cellStyle name="40% - Accent5 3 2 2 2 6" xfId="9467" xr:uid="{00000000-0005-0000-0000-000085450000}"/>
    <cellStyle name="40% - Accent5 3 2 2 2 6 2" xfId="23942" xr:uid="{00000000-0005-0000-0000-000086450000}"/>
    <cellStyle name="40% - Accent5 3 2 2 2 7" xfId="22941" xr:uid="{00000000-0005-0000-0000-000087450000}"/>
    <cellStyle name="40% - Accent5 3 2 2 3" xfId="4494" xr:uid="{00000000-0005-0000-0000-000088450000}"/>
    <cellStyle name="40% - Accent5 3 2 2 3 2" xfId="4495" xr:uid="{00000000-0005-0000-0000-000089450000}"/>
    <cellStyle name="40% - Accent5 3 2 2 3 2 2" xfId="15422" xr:uid="{00000000-0005-0000-0000-00008A450000}"/>
    <cellStyle name="40% - Accent5 3 2 2 3 2 2 2" xfId="28971" xr:uid="{00000000-0005-0000-0000-00008B450000}"/>
    <cellStyle name="40% - Accent5 3 2 2 3 2 3" xfId="22937" xr:uid="{00000000-0005-0000-0000-00008C450000}"/>
    <cellStyle name="40% - Accent5 3 2 2 3 3" xfId="11193" xr:uid="{00000000-0005-0000-0000-00008D450000}"/>
    <cellStyle name="40% - Accent5 3 2 2 3 3 2" xfId="25135" xr:uid="{00000000-0005-0000-0000-00008E450000}"/>
    <cellStyle name="40% - Accent5 3 2 2 3 4" xfId="29151" xr:uid="{00000000-0005-0000-0000-00008F450000}"/>
    <cellStyle name="40% - Accent5 3 2 2 4" xfId="4496" xr:uid="{00000000-0005-0000-0000-000090450000}"/>
    <cellStyle name="40% - Accent5 3 2 2 4 2" xfId="12335" xr:uid="{00000000-0005-0000-0000-000091450000}"/>
    <cellStyle name="40% - Accent5 3 2 2 4 2 2" xfId="26047" xr:uid="{00000000-0005-0000-0000-000092450000}"/>
    <cellStyle name="40% - Accent5 3 2 2 4 3" xfId="22936" xr:uid="{00000000-0005-0000-0000-000093450000}"/>
    <cellStyle name="40% - Accent5 3 2 2 5" xfId="4497" xr:uid="{00000000-0005-0000-0000-000094450000}"/>
    <cellStyle name="40% - Accent5 3 2 2 5 2" xfId="12978" xr:uid="{00000000-0005-0000-0000-000095450000}"/>
    <cellStyle name="40% - Accent5 3 2 2 5 2 2" xfId="26690" xr:uid="{00000000-0005-0000-0000-000096450000}"/>
    <cellStyle name="40% - Accent5 3 2 2 5 3" xfId="22935" xr:uid="{00000000-0005-0000-0000-000097450000}"/>
    <cellStyle name="40% - Accent5 3 2 2 6" xfId="4498" xr:uid="{00000000-0005-0000-0000-000098450000}"/>
    <cellStyle name="40% - Accent5 3 2 2 6 2" xfId="13899" xr:uid="{00000000-0005-0000-0000-000099450000}"/>
    <cellStyle name="40% - Accent5 3 2 2 6 2 2" xfId="27448" xr:uid="{00000000-0005-0000-0000-00009A450000}"/>
    <cellStyle name="40% - Accent5 3 2 2 6 3" xfId="22934" xr:uid="{00000000-0005-0000-0000-00009B450000}"/>
    <cellStyle name="40% - Accent5 3 2 2 7" xfId="4499" xr:uid="{00000000-0005-0000-0000-00009C450000}"/>
    <cellStyle name="40% - Accent5 3 2 2 7 2" xfId="14480" xr:uid="{00000000-0005-0000-0000-00009D450000}"/>
    <cellStyle name="40% - Accent5 3 2 2 7 2 2" xfId="28029" xr:uid="{00000000-0005-0000-0000-00009E450000}"/>
    <cellStyle name="40% - Accent5 3 2 2 7 3" xfId="24254" xr:uid="{00000000-0005-0000-0000-00009F450000}"/>
    <cellStyle name="40% - Accent5 3 2 2 8" xfId="4500" xr:uid="{00000000-0005-0000-0000-0000A0450000}"/>
    <cellStyle name="40% - Accent5 3 2 2 8 2" xfId="15420" xr:uid="{00000000-0005-0000-0000-0000A1450000}"/>
    <cellStyle name="40% - Accent5 3 2 2 8 2 2" xfId="28969" xr:uid="{00000000-0005-0000-0000-0000A2450000}"/>
    <cellStyle name="40% - Accent5 3 2 2 8 3" xfId="25276" xr:uid="{00000000-0005-0000-0000-0000A3450000}"/>
    <cellStyle name="40% - Accent5 3 2 2 9" xfId="4501" xr:uid="{00000000-0005-0000-0000-0000A4450000}"/>
    <cellStyle name="40% - Accent5 3 2 2 9 2" xfId="16366" xr:uid="{00000000-0005-0000-0000-0000A5450000}"/>
    <cellStyle name="40% - Accent5 3 2 2 9 2 2" xfId="29773" xr:uid="{00000000-0005-0000-0000-0000A6450000}"/>
    <cellStyle name="40% - Accent5 3 2 2 9 3" xfId="22933" xr:uid="{00000000-0005-0000-0000-0000A7450000}"/>
    <cellStyle name="40% - Accent5 3 2 3" xfId="4502" xr:uid="{00000000-0005-0000-0000-0000A8450000}"/>
    <cellStyle name="40% - Accent5 3 2 3 2" xfId="4503" xr:uid="{00000000-0005-0000-0000-0000A9450000}"/>
    <cellStyle name="40% - Accent5 3 2 3 2 2" xfId="11195" xr:uid="{00000000-0005-0000-0000-0000AA450000}"/>
    <cellStyle name="40% - Accent5 3 2 3 2 2 2" xfId="25137" xr:uid="{00000000-0005-0000-0000-0000AB450000}"/>
    <cellStyle name="40% - Accent5 3 2 3 2 3" xfId="29150" xr:uid="{00000000-0005-0000-0000-0000AC450000}"/>
    <cellStyle name="40% - Accent5 3 2 3 3" xfId="4504" xr:uid="{00000000-0005-0000-0000-0000AD450000}"/>
    <cellStyle name="40% - Accent5 3 2 3 3 2" xfId="12980" xr:uid="{00000000-0005-0000-0000-0000AE450000}"/>
    <cellStyle name="40% - Accent5 3 2 3 3 2 2" xfId="26692" xr:uid="{00000000-0005-0000-0000-0000AF450000}"/>
    <cellStyle name="40% - Accent5 3 2 3 3 3" xfId="22931" xr:uid="{00000000-0005-0000-0000-0000B0450000}"/>
    <cellStyle name="40% - Accent5 3 2 3 4" xfId="4505" xr:uid="{00000000-0005-0000-0000-0000B1450000}"/>
    <cellStyle name="40% - Accent5 3 2 3 4 2" xfId="15423" xr:uid="{00000000-0005-0000-0000-0000B2450000}"/>
    <cellStyle name="40% - Accent5 3 2 3 4 2 2" xfId="28972" xr:uid="{00000000-0005-0000-0000-0000B3450000}"/>
    <cellStyle name="40% - Accent5 3 2 3 4 3" xfId="22930" xr:uid="{00000000-0005-0000-0000-0000B4450000}"/>
    <cellStyle name="40% - Accent5 3 2 3 5" xfId="4506" xr:uid="{00000000-0005-0000-0000-0000B5450000}"/>
    <cellStyle name="40% - Accent5 3 2 3 5 2" xfId="16658" xr:uid="{00000000-0005-0000-0000-0000B6450000}"/>
    <cellStyle name="40% - Accent5 3 2 3 5 2 2" xfId="30065" xr:uid="{00000000-0005-0000-0000-0000B7450000}"/>
    <cellStyle name="40% - Accent5 3 2 3 5 3" xfId="22929" xr:uid="{00000000-0005-0000-0000-0000B8450000}"/>
    <cellStyle name="40% - Accent5 3 2 3 6" xfId="9468" xr:uid="{00000000-0005-0000-0000-0000B9450000}"/>
    <cellStyle name="40% - Accent5 3 2 3 6 2" xfId="23943" xr:uid="{00000000-0005-0000-0000-0000BA450000}"/>
    <cellStyle name="40% - Accent5 3 2 3 7" xfId="22932" xr:uid="{00000000-0005-0000-0000-0000BB450000}"/>
    <cellStyle name="40% - Accent5 3 2 4" xfId="4507" xr:uid="{00000000-0005-0000-0000-0000BC450000}"/>
    <cellStyle name="40% - Accent5 3 2 4 2" xfId="4508" xr:uid="{00000000-0005-0000-0000-0000BD450000}"/>
    <cellStyle name="40% - Accent5 3 2 4 2 2" xfId="15424" xr:uid="{00000000-0005-0000-0000-0000BE450000}"/>
    <cellStyle name="40% - Accent5 3 2 4 2 2 2" xfId="28973" xr:uid="{00000000-0005-0000-0000-0000BF450000}"/>
    <cellStyle name="40% - Accent5 3 2 4 2 3" xfId="22928" xr:uid="{00000000-0005-0000-0000-0000C0450000}"/>
    <cellStyle name="40% - Accent5 3 2 4 3" xfId="11192" xr:uid="{00000000-0005-0000-0000-0000C1450000}"/>
    <cellStyle name="40% - Accent5 3 2 4 3 2" xfId="25134" xr:uid="{00000000-0005-0000-0000-0000C2450000}"/>
    <cellStyle name="40% - Accent5 3 2 4 4" xfId="24253" xr:uid="{00000000-0005-0000-0000-0000C3450000}"/>
    <cellStyle name="40% - Accent5 3 2 5" xfId="4509" xr:uid="{00000000-0005-0000-0000-0000C4450000}"/>
    <cellStyle name="40% - Accent5 3 2 5 2" xfId="12035" xr:uid="{00000000-0005-0000-0000-0000C5450000}"/>
    <cellStyle name="40% - Accent5 3 2 5 2 2" xfId="25750" xr:uid="{00000000-0005-0000-0000-0000C6450000}"/>
    <cellStyle name="40% - Accent5 3 2 5 3" xfId="25275" xr:uid="{00000000-0005-0000-0000-0000C7450000}"/>
    <cellStyle name="40% - Accent5 3 2 6" xfId="4510" xr:uid="{00000000-0005-0000-0000-0000C8450000}"/>
    <cellStyle name="40% - Accent5 3 2 6 2" xfId="12977" xr:uid="{00000000-0005-0000-0000-0000C9450000}"/>
    <cellStyle name="40% - Accent5 3 2 6 2 2" xfId="26689" xr:uid="{00000000-0005-0000-0000-0000CA450000}"/>
    <cellStyle name="40% - Accent5 3 2 6 3" xfId="22927" xr:uid="{00000000-0005-0000-0000-0000CB450000}"/>
    <cellStyle name="40% - Accent5 3 2 7" xfId="4511" xr:uid="{00000000-0005-0000-0000-0000CC450000}"/>
    <cellStyle name="40% - Accent5 3 2 7 2" xfId="13610" xr:uid="{00000000-0005-0000-0000-0000CD450000}"/>
    <cellStyle name="40% - Accent5 3 2 7 2 2" xfId="27159" xr:uid="{00000000-0005-0000-0000-0000CE450000}"/>
    <cellStyle name="40% - Accent5 3 2 7 3" xfId="22926" xr:uid="{00000000-0005-0000-0000-0000CF450000}"/>
    <cellStyle name="40% - Accent5 3 2 8" xfId="4512" xr:uid="{00000000-0005-0000-0000-0000D0450000}"/>
    <cellStyle name="40% - Accent5 3 2 8 2" xfId="14191" xr:uid="{00000000-0005-0000-0000-0000D1450000}"/>
    <cellStyle name="40% - Accent5 3 2 8 2 2" xfId="27740" xr:uid="{00000000-0005-0000-0000-0000D2450000}"/>
    <cellStyle name="40% - Accent5 3 2 8 3" xfId="24252" xr:uid="{00000000-0005-0000-0000-0000D3450000}"/>
    <cellStyle name="40% - Accent5 3 2 9" xfId="4513" xr:uid="{00000000-0005-0000-0000-0000D4450000}"/>
    <cellStyle name="40% - Accent5 3 2 9 2" xfId="15419" xr:uid="{00000000-0005-0000-0000-0000D5450000}"/>
    <cellStyle name="40% - Accent5 3 2 9 2 2" xfId="28968" xr:uid="{00000000-0005-0000-0000-0000D6450000}"/>
    <cellStyle name="40% - Accent5 3 2 9 3" xfId="22925" xr:uid="{00000000-0005-0000-0000-0000D7450000}"/>
    <cellStyle name="40% - Accent5 3 3" xfId="4514" xr:uid="{00000000-0005-0000-0000-0000D8450000}"/>
    <cellStyle name="40% - Accent5 3 3 10" xfId="9469" xr:uid="{00000000-0005-0000-0000-0000D9450000}"/>
    <cellStyle name="40% - Accent5 3 3 10 2" xfId="23944" xr:uid="{00000000-0005-0000-0000-0000DA450000}"/>
    <cellStyle name="40% - Accent5 3 3 11" xfId="25274" xr:uid="{00000000-0005-0000-0000-0000DB450000}"/>
    <cellStyle name="40% - Accent5 3 3 2" xfId="4515" xr:uid="{00000000-0005-0000-0000-0000DC450000}"/>
    <cellStyle name="40% - Accent5 3 3 2 2" xfId="4516" xr:uid="{00000000-0005-0000-0000-0000DD450000}"/>
    <cellStyle name="40% - Accent5 3 3 2 2 2" xfId="11197" xr:uid="{00000000-0005-0000-0000-0000DE450000}"/>
    <cellStyle name="40% - Accent5 3 3 2 2 2 2" xfId="25139" xr:uid="{00000000-0005-0000-0000-0000DF450000}"/>
    <cellStyle name="40% - Accent5 3 3 2 2 3" xfId="22923" xr:uid="{00000000-0005-0000-0000-0000E0450000}"/>
    <cellStyle name="40% - Accent5 3 3 2 3" xfId="4517" xr:uid="{00000000-0005-0000-0000-0000E1450000}"/>
    <cellStyle name="40% - Accent5 3 3 2 3 2" xfId="12982" xr:uid="{00000000-0005-0000-0000-0000E2450000}"/>
    <cellStyle name="40% - Accent5 3 3 2 3 2 2" xfId="26694" xr:uid="{00000000-0005-0000-0000-0000E3450000}"/>
    <cellStyle name="40% - Accent5 3 3 2 3 3" xfId="24251" xr:uid="{00000000-0005-0000-0000-0000E4450000}"/>
    <cellStyle name="40% - Accent5 3 3 2 4" xfId="4518" xr:uid="{00000000-0005-0000-0000-0000E5450000}"/>
    <cellStyle name="40% - Accent5 3 3 2 4 2" xfId="15426" xr:uid="{00000000-0005-0000-0000-0000E6450000}"/>
    <cellStyle name="40% - Accent5 3 3 2 4 2 2" xfId="28975" xr:uid="{00000000-0005-0000-0000-0000E7450000}"/>
    <cellStyle name="40% - Accent5 3 3 2 4 3" xfId="22922" xr:uid="{00000000-0005-0000-0000-0000E8450000}"/>
    <cellStyle name="40% - Accent5 3 3 2 5" xfId="4519" xr:uid="{00000000-0005-0000-0000-0000E9450000}"/>
    <cellStyle name="40% - Accent5 3 3 2 5 2" xfId="16804" xr:uid="{00000000-0005-0000-0000-0000EA450000}"/>
    <cellStyle name="40% - Accent5 3 3 2 5 2 2" xfId="30211" xr:uid="{00000000-0005-0000-0000-0000EB450000}"/>
    <cellStyle name="40% - Accent5 3 3 2 5 3" xfId="22921" xr:uid="{00000000-0005-0000-0000-0000EC450000}"/>
    <cellStyle name="40% - Accent5 3 3 2 6" xfId="9470" xr:uid="{00000000-0005-0000-0000-0000ED450000}"/>
    <cellStyle name="40% - Accent5 3 3 2 6 2" xfId="23945" xr:uid="{00000000-0005-0000-0000-0000EE450000}"/>
    <cellStyle name="40% - Accent5 3 3 2 7" xfId="22924" xr:uid="{00000000-0005-0000-0000-0000EF450000}"/>
    <cellStyle name="40% - Accent5 3 3 3" xfId="4520" xr:uid="{00000000-0005-0000-0000-0000F0450000}"/>
    <cellStyle name="40% - Accent5 3 3 3 2" xfId="4521" xr:uid="{00000000-0005-0000-0000-0000F1450000}"/>
    <cellStyle name="40% - Accent5 3 3 3 2 2" xfId="15427" xr:uid="{00000000-0005-0000-0000-0000F2450000}"/>
    <cellStyle name="40% - Accent5 3 3 3 2 2 2" xfId="28976" xr:uid="{00000000-0005-0000-0000-0000F3450000}"/>
    <cellStyle name="40% - Accent5 3 3 3 2 3" xfId="22920" xr:uid="{00000000-0005-0000-0000-0000F4450000}"/>
    <cellStyle name="40% - Accent5 3 3 3 3" xfId="11196" xr:uid="{00000000-0005-0000-0000-0000F5450000}"/>
    <cellStyle name="40% - Accent5 3 3 3 3 2" xfId="25138" xr:uid="{00000000-0005-0000-0000-0000F6450000}"/>
    <cellStyle name="40% - Accent5 3 3 3 4" xfId="24249" xr:uid="{00000000-0005-0000-0000-0000F7450000}"/>
    <cellStyle name="40% - Accent5 3 3 4" xfId="4522" xr:uid="{00000000-0005-0000-0000-0000F8450000}"/>
    <cellStyle name="40% - Accent5 3 3 4 2" xfId="12192" xr:uid="{00000000-0005-0000-0000-0000F9450000}"/>
    <cellStyle name="40% - Accent5 3 3 4 2 2" xfId="25904" xr:uid="{00000000-0005-0000-0000-0000FA450000}"/>
    <cellStyle name="40% - Accent5 3 3 4 3" xfId="25272" xr:uid="{00000000-0005-0000-0000-0000FB450000}"/>
    <cellStyle name="40% - Accent5 3 3 5" xfId="4523" xr:uid="{00000000-0005-0000-0000-0000FC450000}"/>
    <cellStyle name="40% - Accent5 3 3 5 2" xfId="12981" xr:uid="{00000000-0005-0000-0000-0000FD450000}"/>
    <cellStyle name="40% - Accent5 3 3 5 2 2" xfId="26693" xr:uid="{00000000-0005-0000-0000-0000FE450000}"/>
    <cellStyle name="40% - Accent5 3 3 5 3" xfId="22919" xr:uid="{00000000-0005-0000-0000-0000FF450000}"/>
    <cellStyle name="40% - Accent5 3 3 6" xfId="4524" xr:uid="{00000000-0005-0000-0000-000000460000}"/>
    <cellStyle name="40% - Accent5 3 3 6 2" xfId="13756" xr:uid="{00000000-0005-0000-0000-000001460000}"/>
    <cellStyle name="40% - Accent5 3 3 6 2 2" xfId="27305" xr:uid="{00000000-0005-0000-0000-000002460000}"/>
    <cellStyle name="40% - Accent5 3 3 6 3" xfId="24250" xr:uid="{00000000-0005-0000-0000-000003460000}"/>
    <cellStyle name="40% - Accent5 3 3 7" xfId="4525" xr:uid="{00000000-0005-0000-0000-000004460000}"/>
    <cellStyle name="40% - Accent5 3 3 7 2" xfId="14337" xr:uid="{00000000-0005-0000-0000-000005460000}"/>
    <cellStyle name="40% - Accent5 3 3 7 2 2" xfId="27886" xr:uid="{00000000-0005-0000-0000-000006460000}"/>
    <cellStyle name="40% - Accent5 3 3 7 3" xfId="25273" xr:uid="{00000000-0005-0000-0000-000007460000}"/>
    <cellStyle name="40% - Accent5 3 3 8" xfId="4526" xr:uid="{00000000-0005-0000-0000-000008460000}"/>
    <cellStyle name="40% - Accent5 3 3 8 2" xfId="15425" xr:uid="{00000000-0005-0000-0000-000009460000}"/>
    <cellStyle name="40% - Accent5 3 3 8 2 2" xfId="28974" xr:uid="{00000000-0005-0000-0000-00000A460000}"/>
    <cellStyle name="40% - Accent5 3 3 8 3" xfId="22918" xr:uid="{00000000-0005-0000-0000-00000B460000}"/>
    <cellStyle name="40% - Accent5 3 3 9" xfId="4527" xr:uid="{00000000-0005-0000-0000-00000C460000}"/>
    <cellStyle name="40% - Accent5 3 3 9 2" xfId="16223" xr:uid="{00000000-0005-0000-0000-00000D460000}"/>
    <cellStyle name="40% - Accent5 3 3 9 2 2" xfId="29630" xr:uid="{00000000-0005-0000-0000-00000E460000}"/>
    <cellStyle name="40% - Accent5 3 3 9 3" xfId="22917" xr:uid="{00000000-0005-0000-0000-00000F460000}"/>
    <cellStyle name="40% - Accent5 3 4" xfId="4528" xr:uid="{00000000-0005-0000-0000-000010460000}"/>
    <cellStyle name="40% - Accent5 3 4 2" xfId="4529" xr:uid="{00000000-0005-0000-0000-000011460000}"/>
    <cellStyle name="40% - Accent5 3 4 2 2" xfId="11198" xr:uid="{00000000-0005-0000-0000-000012460000}"/>
    <cellStyle name="40% - Accent5 3 4 2 2 2" xfId="25140" xr:uid="{00000000-0005-0000-0000-000013460000}"/>
    <cellStyle name="40% - Accent5 3 4 2 3" xfId="24247" xr:uid="{00000000-0005-0000-0000-000014460000}"/>
    <cellStyle name="40% - Accent5 3 4 3" xfId="4530" xr:uid="{00000000-0005-0000-0000-000015460000}"/>
    <cellStyle name="40% - Accent5 3 4 3 2" xfId="12983" xr:uid="{00000000-0005-0000-0000-000016460000}"/>
    <cellStyle name="40% - Accent5 3 4 3 2 2" xfId="26695" xr:uid="{00000000-0005-0000-0000-000017460000}"/>
    <cellStyle name="40% - Accent5 3 4 3 3" xfId="22915" xr:uid="{00000000-0005-0000-0000-000018460000}"/>
    <cellStyle name="40% - Accent5 3 4 4" xfId="4531" xr:uid="{00000000-0005-0000-0000-000019460000}"/>
    <cellStyle name="40% - Accent5 3 4 4 2" xfId="15428" xr:uid="{00000000-0005-0000-0000-00001A460000}"/>
    <cellStyle name="40% - Accent5 3 4 4 2 2" xfId="28977" xr:uid="{00000000-0005-0000-0000-00001B460000}"/>
    <cellStyle name="40% - Accent5 3 4 4 3" xfId="22914" xr:uid="{00000000-0005-0000-0000-00001C460000}"/>
    <cellStyle name="40% - Accent5 3 4 5" xfId="4532" xr:uid="{00000000-0005-0000-0000-00001D460000}"/>
    <cellStyle name="40% - Accent5 3 4 5 2" xfId="17151" xr:uid="{00000000-0005-0000-0000-00001E460000}"/>
    <cellStyle name="40% - Accent5 3 4 5 2 2" xfId="30510" xr:uid="{00000000-0005-0000-0000-00001F460000}"/>
    <cellStyle name="40% - Accent5 3 4 5 3" xfId="29149" xr:uid="{00000000-0005-0000-0000-000020460000}"/>
    <cellStyle name="40% - Accent5 3 4 6" xfId="9471" xr:uid="{00000000-0005-0000-0000-000021460000}"/>
    <cellStyle name="40% - Accent5 3 4 6 2" xfId="23946" xr:uid="{00000000-0005-0000-0000-000022460000}"/>
    <cellStyle name="40% - Accent5 3 4 7" xfId="22916" xr:uid="{00000000-0005-0000-0000-000023460000}"/>
    <cellStyle name="40% - Accent5 3 5" xfId="4533" xr:uid="{00000000-0005-0000-0000-000024460000}"/>
    <cellStyle name="40% - Accent5 3 5 2" xfId="4534" xr:uid="{00000000-0005-0000-0000-000025460000}"/>
    <cellStyle name="40% - Accent5 3 5 2 2" xfId="11199" xr:uid="{00000000-0005-0000-0000-000026460000}"/>
    <cellStyle name="40% - Accent5 3 5 2 2 2" xfId="25141" xr:uid="{00000000-0005-0000-0000-000027460000}"/>
    <cellStyle name="40% - Accent5 3 5 2 3" xfId="22912" xr:uid="{00000000-0005-0000-0000-000028460000}"/>
    <cellStyle name="40% - Accent5 3 5 3" xfId="4535" xr:uid="{00000000-0005-0000-0000-000029460000}"/>
    <cellStyle name="40% - Accent5 3 5 3 2" xfId="12984" xr:uid="{00000000-0005-0000-0000-00002A460000}"/>
    <cellStyle name="40% - Accent5 3 5 3 2 2" xfId="26696" xr:uid="{00000000-0005-0000-0000-00002B460000}"/>
    <cellStyle name="40% - Accent5 3 5 3 3" xfId="26843" xr:uid="{00000000-0005-0000-0000-00002C460000}"/>
    <cellStyle name="40% - Accent5 3 5 4" xfId="4536" xr:uid="{00000000-0005-0000-0000-00002D460000}"/>
    <cellStyle name="40% - Accent5 3 5 4 2" xfId="15429" xr:uid="{00000000-0005-0000-0000-00002E460000}"/>
    <cellStyle name="40% - Accent5 3 5 4 2 2" xfId="28978" xr:uid="{00000000-0005-0000-0000-00002F460000}"/>
    <cellStyle name="40% - Accent5 3 5 4 3" xfId="22911" xr:uid="{00000000-0005-0000-0000-000030460000}"/>
    <cellStyle name="40% - Accent5 3 5 5" xfId="4537" xr:uid="{00000000-0005-0000-0000-000031460000}"/>
    <cellStyle name="40% - Accent5 3 5 5 2" xfId="17240" xr:uid="{00000000-0005-0000-0000-000032460000}"/>
    <cellStyle name="40% - Accent5 3 5 5 2 2" xfId="30599" xr:uid="{00000000-0005-0000-0000-000033460000}"/>
    <cellStyle name="40% - Accent5 3 5 5 3" xfId="22910" xr:uid="{00000000-0005-0000-0000-000034460000}"/>
    <cellStyle name="40% - Accent5 3 5 6" xfId="9472" xr:uid="{00000000-0005-0000-0000-000035460000}"/>
    <cellStyle name="40% - Accent5 3 5 6 2" xfId="23947" xr:uid="{00000000-0005-0000-0000-000036460000}"/>
    <cellStyle name="40% - Accent5 3 5 7" xfId="22913" xr:uid="{00000000-0005-0000-0000-000037460000}"/>
    <cellStyle name="40% - Accent5 3 6" xfId="4538" xr:uid="{00000000-0005-0000-0000-000038460000}"/>
    <cellStyle name="40% - Accent5 3 6 2" xfId="4539" xr:uid="{00000000-0005-0000-0000-000039460000}"/>
    <cellStyle name="40% - Accent5 3 6 2 2" xfId="15430" xr:uid="{00000000-0005-0000-0000-00003A460000}"/>
    <cellStyle name="40% - Accent5 3 6 2 2 2" xfId="28979" xr:uid="{00000000-0005-0000-0000-00003B460000}"/>
    <cellStyle name="40% - Accent5 3 6 2 3" xfId="22909" xr:uid="{00000000-0005-0000-0000-00003C460000}"/>
    <cellStyle name="40% - Accent5 3 6 3" xfId="4540" xr:uid="{00000000-0005-0000-0000-00003D460000}"/>
    <cellStyle name="40% - Accent5 3 6 3 2" xfId="16515" xr:uid="{00000000-0005-0000-0000-00003E460000}"/>
    <cellStyle name="40% - Accent5 3 6 3 2 2" xfId="29922" xr:uid="{00000000-0005-0000-0000-00003F460000}"/>
    <cellStyle name="40% - Accent5 3 6 3 3" xfId="25271" xr:uid="{00000000-0005-0000-0000-000040460000}"/>
    <cellStyle name="40% - Accent5 3 6 4" xfId="11191" xr:uid="{00000000-0005-0000-0000-000041460000}"/>
    <cellStyle name="40% - Accent5 3 6 4 2" xfId="25133" xr:uid="{00000000-0005-0000-0000-000042460000}"/>
    <cellStyle name="40% - Accent5 3 6 5" xfId="24248" xr:uid="{00000000-0005-0000-0000-000043460000}"/>
    <cellStyle name="40% - Accent5 3 7" xfId="4541" xr:uid="{00000000-0005-0000-0000-000044460000}"/>
    <cellStyle name="40% - Accent5 3 7 2" xfId="11887" xr:uid="{00000000-0005-0000-0000-000045460000}"/>
    <cellStyle name="40% - Accent5 3 7 2 2" xfId="25602" xr:uid="{00000000-0005-0000-0000-000046460000}"/>
    <cellStyle name="40% - Accent5 3 7 3" xfId="22908" xr:uid="{00000000-0005-0000-0000-000047460000}"/>
    <cellStyle name="40% - Accent5 3 8" xfId="4542" xr:uid="{00000000-0005-0000-0000-000048460000}"/>
    <cellStyle name="40% - Accent5 3 8 2" xfId="12976" xr:uid="{00000000-0005-0000-0000-000049460000}"/>
    <cellStyle name="40% - Accent5 3 8 2 2" xfId="26688" xr:uid="{00000000-0005-0000-0000-00004A460000}"/>
    <cellStyle name="40% - Accent5 3 8 3" xfId="22907" xr:uid="{00000000-0005-0000-0000-00004B460000}"/>
    <cellStyle name="40% - Accent5 3 9" xfId="4543" xr:uid="{00000000-0005-0000-0000-00004C460000}"/>
    <cellStyle name="40% - Accent5 3 9 2" xfId="13467" xr:uid="{00000000-0005-0000-0000-00004D460000}"/>
    <cellStyle name="40% - Accent5 3 9 2 2" xfId="27016" xr:uid="{00000000-0005-0000-0000-00004E460000}"/>
    <cellStyle name="40% - Accent5 3 9 3" xfId="22906" xr:uid="{00000000-0005-0000-0000-00004F460000}"/>
    <cellStyle name="40% - Accent5 30" xfId="23260" xr:uid="{00000000-0005-0000-0000-000050460000}"/>
    <cellStyle name="40% - Accent5 4" xfId="4544" xr:uid="{00000000-0005-0000-0000-000051460000}"/>
    <cellStyle name="40% - Accent5 4 10" xfId="4545" xr:uid="{00000000-0005-0000-0000-000052460000}"/>
    <cellStyle name="40% - Accent5 4 10 2" xfId="15431" xr:uid="{00000000-0005-0000-0000-000053460000}"/>
    <cellStyle name="40% - Accent5 4 10 2 2" xfId="28980" xr:uid="{00000000-0005-0000-0000-000054460000}"/>
    <cellStyle name="40% - Accent5 4 10 3" xfId="22905" xr:uid="{00000000-0005-0000-0000-000055460000}"/>
    <cellStyle name="40% - Accent5 4 11" xfId="4546" xr:uid="{00000000-0005-0000-0000-000056460000}"/>
    <cellStyle name="40% - Accent5 4 11 2" xfId="15889" xr:uid="{00000000-0005-0000-0000-000057460000}"/>
    <cellStyle name="40% - Accent5 4 11 2 2" xfId="29296" xr:uid="{00000000-0005-0000-0000-000058460000}"/>
    <cellStyle name="40% - Accent5 4 11 3" xfId="22904" xr:uid="{00000000-0005-0000-0000-000059460000}"/>
    <cellStyle name="40% - Accent5 4 12" xfId="9473" xr:uid="{00000000-0005-0000-0000-00005A460000}"/>
    <cellStyle name="40% - Accent5 4 12 2" xfId="23948" xr:uid="{00000000-0005-0000-0000-00005B460000}"/>
    <cellStyle name="40% - Accent5 4 13" xfId="24243" xr:uid="{00000000-0005-0000-0000-00005C460000}"/>
    <cellStyle name="40% - Accent5 4 2" xfId="4547" xr:uid="{00000000-0005-0000-0000-00005D460000}"/>
    <cellStyle name="40% - Accent5 4 2 10" xfId="4548" xr:uid="{00000000-0005-0000-0000-00005E460000}"/>
    <cellStyle name="40% - Accent5 4 2 10 2" xfId="16032" xr:uid="{00000000-0005-0000-0000-00005F460000}"/>
    <cellStyle name="40% - Accent5 4 2 10 2 2" xfId="29439" xr:uid="{00000000-0005-0000-0000-000060460000}"/>
    <cellStyle name="40% - Accent5 4 2 10 3" xfId="22903" xr:uid="{00000000-0005-0000-0000-000061460000}"/>
    <cellStyle name="40% - Accent5 4 2 11" xfId="9474" xr:uid="{00000000-0005-0000-0000-000062460000}"/>
    <cellStyle name="40% - Accent5 4 2 11 2" xfId="23949" xr:uid="{00000000-0005-0000-0000-000063460000}"/>
    <cellStyle name="40% - Accent5 4 2 12" xfId="29148" xr:uid="{00000000-0005-0000-0000-000064460000}"/>
    <cellStyle name="40% - Accent5 4 2 2" xfId="4549" xr:uid="{00000000-0005-0000-0000-000065460000}"/>
    <cellStyle name="40% - Accent5 4 2 2 10" xfId="9475" xr:uid="{00000000-0005-0000-0000-000066460000}"/>
    <cellStyle name="40% - Accent5 4 2 2 10 2" xfId="23950" xr:uid="{00000000-0005-0000-0000-000067460000}"/>
    <cellStyle name="40% - Accent5 4 2 2 11" xfId="22902" xr:uid="{00000000-0005-0000-0000-000068460000}"/>
    <cellStyle name="40% - Accent5 4 2 2 2" xfId="4550" xr:uid="{00000000-0005-0000-0000-000069460000}"/>
    <cellStyle name="40% - Accent5 4 2 2 2 2" xfId="4551" xr:uid="{00000000-0005-0000-0000-00006A460000}"/>
    <cellStyle name="40% - Accent5 4 2 2 2 2 2" xfId="11203" xr:uid="{00000000-0005-0000-0000-00006B460000}"/>
    <cellStyle name="40% - Accent5 4 2 2 2 2 2 2" xfId="25145" xr:uid="{00000000-0005-0000-0000-00006C460000}"/>
    <cellStyle name="40% - Accent5 4 2 2 2 2 3" xfId="22901" xr:uid="{00000000-0005-0000-0000-00006D460000}"/>
    <cellStyle name="40% - Accent5 4 2 2 2 3" xfId="4552" xr:uid="{00000000-0005-0000-0000-00006E460000}"/>
    <cellStyle name="40% - Accent5 4 2 2 2 3 2" xfId="12988" xr:uid="{00000000-0005-0000-0000-00006F460000}"/>
    <cellStyle name="40% - Accent5 4 2 2 2 3 2 2" xfId="26700" xr:uid="{00000000-0005-0000-0000-000070460000}"/>
    <cellStyle name="40% - Accent5 4 2 2 2 3 3" xfId="22900" xr:uid="{00000000-0005-0000-0000-000071460000}"/>
    <cellStyle name="40% - Accent5 4 2 2 2 4" xfId="4553" xr:uid="{00000000-0005-0000-0000-000072460000}"/>
    <cellStyle name="40% - Accent5 4 2 2 2 4 2" xfId="15434" xr:uid="{00000000-0005-0000-0000-000073460000}"/>
    <cellStyle name="40% - Accent5 4 2 2 2 4 2 2" xfId="28983" xr:uid="{00000000-0005-0000-0000-000074460000}"/>
    <cellStyle name="40% - Accent5 4 2 2 2 4 3" xfId="24246" xr:uid="{00000000-0005-0000-0000-000075460000}"/>
    <cellStyle name="40% - Accent5 4 2 2 2 5" xfId="4554" xr:uid="{00000000-0005-0000-0000-000076460000}"/>
    <cellStyle name="40% - Accent5 4 2 2 2 5 2" xfId="16902" xr:uid="{00000000-0005-0000-0000-000077460000}"/>
    <cellStyle name="40% - Accent5 4 2 2 2 5 2 2" xfId="30309" xr:uid="{00000000-0005-0000-0000-000078460000}"/>
    <cellStyle name="40% - Accent5 4 2 2 2 5 3" xfId="22899" xr:uid="{00000000-0005-0000-0000-000079460000}"/>
    <cellStyle name="40% - Accent5 4 2 2 2 6" xfId="9476" xr:uid="{00000000-0005-0000-0000-00007A460000}"/>
    <cellStyle name="40% - Accent5 4 2 2 2 6 2" xfId="23951" xr:uid="{00000000-0005-0000-0000-00007B460000}"/>
    <cellStyle name="40% - Accent5 4 2 2 2 7" xfId="26842" xr:uid="{00000000-0005-0000-0000-00007C460000}"/>
    <cellStyle name="40% - Accent5 4 2 2 3" xfId="4555" xr:uid="{00000000-0005-0000-0000-00007D460000}"/>
    <cellStyle name="40% - Accent5 4 2 2 3 2" xfId="4556" xr:uid="{00000000-0005-0000-0000-00007E460000}"/>
    <cellStyle name="40% - Accent5 4 2 2 3 2 2" xfId="15435" xr:uid="{00000000-0005-0000-0000-00007F460000}"/>
    <cellStyle name="40% - Accent5 4 2 2 3 2 2 2" xfId="28984" xr:uid="{00000000-0005-0000-0000-000080460000}"/>
    <cellStyle name="40% - Accent5 4 2 2 3 2 3" xfId="22898" xr:uid="{00000000-0005-0000-0000-000081460000}"/>
    <cellStyle name="40% - Accent5 4 2 2 3 3" xfId="11202" xr:uid="{00000000-0005-0000-0000-000082460000}"/>
    <cellStyle name="40% - Accent5 4 2 2 3 3 2" xfId="25144" xr:uid="{00000000-0005-0000-0000-000083460000}"/>
    <cellStyle name="40% - Accent5 4 2 2 3 4" xfId="25270" xr:uid="{00000000-0005-0000-0000-000084460000}"/>
    <cellStyle name="40% - Accent5 4 2 2 4" xfId="4557" xr:uid="{00000000-0005-0000-0000-000085460000}"/>
    <cellStyle name="40% - Accent5 4 2 2 4 2" xfId="12290" xr:uid="{00000000-0005-0000-0000-000086460000}"/>
    <cellStyle name="40% - Accent5 4 2 2 4 2 2" xfId="26002" xr:uid="{00000000-0005-0000-0000-000087460000}"/>
    <cellStyle name="40% - Accent5 4 2 2 4 3" xfId="22897" xr:uid="{00000000-0005-0000-0000-000088460000}"/>
    <cellStyle name="40% - Accent5 4 2 2 5" xfId="4558" xr:uid="{00000000-0005-0000-0000-000089460000}"/>
    <cellStyle name="40% - Accent5 4 2 2 5 2" xfId="12987" xr:uid="{00000000-0005-0000-0000-00008A460000}"/>
    <cellStyle name="40% - Accent5 4 2 2 5 2 2" xfId="26699" xr:uid="{00000000-0005-0000-0000-00008B460000}"/>
    <cellStyle name="40% - Accent5 4 2 2 5 3" xfId="24244" xr:uid="{00000000-0005-0000-0000-00008C460000}"/>
    <cellStyle name="40% - Accent5 4 2 2 6" xfId="4559" xr:uid="{00000000-0005-0000-0000-00008D460000}"/>
    <cellStyle name="40% - Accent5 4 2 2 6 2" xfId="13854" xr:uid="{00000000-0005-0000-0000-00008E460000}"/>
    <cellStyle name="40% - Accent5 4 2 2 6 2 2" xfId="27403" xr:uid="{00000000-0005-0000-0000-00008F460000}"/>
    <cellStyle name="40% - Accent5 4 2 2 6 3" xfId="22896" xr:uid="{00000000-0005-0000-0000-000090460000}"/>
    <cellStyle name="40% - Accent5 4 2 2 7" xfId="4560" xr:uid="{00000000-0005-0000-0000-000091460000}"/>
    <cellStyle name="40% - Accent5 4 2 2 7 2" xfId="14435" xr:uid="{00000000-0005-0000-0000-000092460000}"/>
    <cellStyle name="40% - Accent5 4 2 2 7 2 2" xfId="27984" xr:uid="{00000000-0005-0000-0000-000093460000}"/>
    <cellStyle name="40% - Accent5 4 2 2 7 3" xfId="22895" xr:uid="{00000000-0005-0000-0000-000094460000}"/>
    <cellStyle name="40% - Accent5 4 2 2 8" xfId="4561" xr:uid="{00000000-0005-0000-0000-000095460000}"/>
    <cellStyle name="40% - Accent5 4 2 2 8 2" xfId="15433" xr:uid="{00000000-0005-0000-0000-000096460000}"/>
    <cellStyle name="40% - Accent5 4 2 2 8 2 2" xfId="28982" xr:uid="{00000000-0005-0000-0000-000097460000}"/>
    <cellStyle name="40% - Accent5 4 2 2 8 3" xfId="29147" xr:uid="{00000000-0005-0000-0000-000098460000}"/>
    <cellStyle name="40% - Accent5 4 2 2 9" xfId="4562" xr:uid="{00000000-0005-0000-0000-000099460000}"/>
    <cellStyle name="40% - Accent5 4 2 2 9 2" xfId="16321" xr:uid="{00000000-0005-0000-0000-00009A460000}"/>
    <cellStyle name="40% - Accent5 4 2 2 9 2 2" xfId="29728" xr:uid="{00000000-0005-0000-0000-00009B460000}"/>
    <cellStyle name="40% - Accent5 4 2 2 9 3" xfId="22894" xr:uid="{00000000-0005-0000-0000-00009C460000}"/>
    <cellStyle name="40% - Accent5 4 2 3" xfId="4563" xr:uid="{00000000-0005-0000-0000-00009D460000}"/>
    <cellStyle name="40% - Accent5 4 2 3 2" xfId="4564" xr:uid="{00000000-0005-0000-0000-00009E460000}"/>
    <cellStyle name="40% - Accent5 4 2 3 2 2" xfId="11204" xr:uid="{00000000-0005-0000-0000-00009F460000}"/>
    <cellStyle name="40% - Accent5 4 2 3 2 2 2" xfId="25146" xr:uid="{00000000-0005-0000-0000-0000A0460000}"/>
    <cellStyle name="40% - Accent5 4 2 3 2 3" xfId="26841" xr:uid="{00000000-0005-0000-0000-0000A1460000}"/>
    <cellStyle name="40% - Accent5 4 2 3 3" xfId="4565" xr:uid="{00000000-0005-0000-0000-0000A2460000}"/>
    <cellStyle name="40% - Accent5 4 2 3 3 2" xfId="12989" xr:uid="{00000000-0005-0000-0000-0000A3460000}"/>
    <cellStyle name="40% - Accent5 4 2 3 3 2 2" xfId="26701" xr:uid="{00000000-0005-0000-0000-0000A4460000}"/>
    <cellStyle name="40% - Accent5 4 2 3 3 3" xfId="22892" xr:uid="{00000000-0005-0000-0000-0000A5460000}"/>
    <cellStyle name="40% - Accent5 4 2 3 4" xfId="4566" xr:uid="{00000000-0005-0000-0000-0000A6460000}"/>
    <cellStyle name="40% - Accent5 4 2 3 4 2" xfId="15436" xr:uid="{00000000-0005-0000-0000-0000A7460000}"/>
    <cellStyle name="40% - Accent5 4 2 3 4 2 2" xfId="28985" xr:uid="{00000000-0005-0000-0000-0000A8460000}"/>
    <cellStyle name="40% - Accent5 4 2 3 4 3" xfId="22891" xr:uid="{00000000-0005-0000-0000-0000A9460000}"/>
    <cellStyle name="40% - Accent5 4 2 3 5" xfId="4567" xr:uid="{00000000-0005-0000-0000-0000AA460000}"/>
    <cellStyle name="40% - Accent5 4 2 3 5 2" xfId="16613" xr:uid="{00000000-0005-0000-0000-0000AB460000}"/>
    <cellStyle name="40% - Accent5 4 2 3 5 2 2" xfId="30020" xr:uid="{00000000-0005-0000-0000-0000AC460000}"/>
    <cellStyle name="40% - Accent5 4 2 3 5 3" xfId="24245" xr:uid="{00000000-0005-0000-0000-0000AD460000}"/>
    <cellStyle name="40% - Accent5 4 2 3 6" xfId="9477" xr:uid="{00000000-0005-0000-0000-0000AE460000}"/>
    <cellStyle name="40% - Accent5 4 2 3 6 2" xfId="23952" xr:uid="{00000000-0005-0000-0000-0000AF460000}"/>
    <cellStyle name="40% - Accent5 4 2 3 7" xfId="22893" xr:uid="{00000000-0005-0000-0000-0000B0460000}"/>
    <cellStyle name="40% - Accent5 4 2 4" xfId="4568" xr:uid="{00000000-0005-0000-0000-0000B1460000}"/>
    <cellStyle name="40% - Accent5 4 2 4 2" xfId="4569" xr:uid="{00000000-0005-0000-0000-0000B2460000}"/>
    <cellStyle name="40% - Accent5 4 2 4 2 2" xfId="15437" xr:uid="{00000000-0005-0000-0000-0000B3460000}"/>
    <cellStyle name="40% - Accent5 4 2 4 2 2 2" xfId="28986" xr:uid="{00000000-0005-0000-0000-0000B4460000}"/>
    <cellStyle name="40% - Accent5 4 2 4 2 3" xfId="25269" xr:uid="{00000000-0005-0000-0000-0000B5460000}"/>
    <cellStyle name="40% - Accent5 4 2 4 3" xfId="11201" xr:uid="{00000000-0005-0000-0000-0000B6460000}"/>
    <cellStyle name="40% - Accent5 4 2 4 3 2" xfId="25143" xr:uid="{00000000-0005-0000-0000-0000B7460000}"/>
    <cellStyle name="40% - Accent5 4 2 4 4" xfId="22890" xr:uid="{00000000-0005-0000-0000-0000B8460000}"/>
    <cellStyle name="40% - Accent5 4 2 5" xfId="4570" xr:uid="{00000000-0005-0000-0000-0000B9460000}"/>
    <cellStyle name="40% - Accent5 4 2 5 2" xfId="11990" xr:uid="{00000000-0005-0000-0000-0000BA460000}"/>
    <cellStyle name="40% - Accent5 4 2 5 2 2" xfId="25705" xr:uid="{00000000-0005-0000-0000-0000BB460000}"/>
    <cellStyle name="40% - Accent5 4 2 5 3" xfId="22889" xr:uid="{00000000-0005-0000-0000-0000BC460000}"/>
    <cellStyle name="40% - Accent5 4 2 6" xfId="4571" xr:uid="{00000000-0005-0000-0000-0000BD460000}"/>
    <cellStyle name="40% - Accent5 4 2 6 2" xfId="12986" xr:uid="{00000000-0005-0000-0000-0000BE460000}"/>
    <cellStyle name="40% - Accent5 4 2 6 2 2" xfId="26698" xr:uid="{00000000-0005-0000-0000-0000BF460000}"/>
    <cellStyle name="40% - Accent5 4 2 6 3" xfId="22888" xr:uid="{00000000-0005-0000-0000-0000C0460000}"/>
    <cellStyle name="40% - Accent5 4 2 7" xfId="4572" xr:uid="{00000000-0005-0000-0000-0000C1460000}"/>
    <cellStyle name="40% - Accent5 4 2 7 2" xfId="13565" xr:uid="{00000000-0005-0000-0000-0000C2460000}"/>
    <cellStyle name="40% - Accent5 4 2 7 2 2" xfId="27114" xr:uid="{00000000-0005-0000-0000-0000C3460000}"/>
    <cellStyle name="40% - Accent5 4 2 7 3" xfId="22887" xr:uid="{00000000-0005-0000-0000-0000C4460000}"/>
    <cellStyle name="40% - Accent5 4 2 8" xfId="4573" xr:uid="{00000000-0005-0000-0000-0000C5460000}"/>
    <cellStyle name="40% - Accent5 4 2 8 2" xfId="14146" xr:uid="{00000000-0005-0000-0000-0000C6460000}"/>
    <cellStyle name="40% - Accent5 4 2 8 2 2" xfId="27695" xr:uid="{00000000-0005-0000-0000-0000C7460000}"/>
    <cellStyle name="40% - Accent5 4 2 8 3" xfId="22886" xr:uid="{00000000-0005-0000-0000-0000C8460000}"/>
    <cellStyle name="40% - Accent5 4 2 9" xfId="4574" xr:uid="{00000000-0005-0000-0000-0000C9460000}"/>
    <cellStyle name="40% - Accent5 4 2 9 2" xfId="15432" xr:uid="{00000000-0005-0000-0000-0000CA460000}"/>
    <cellStyle name="40% - Accent5 4 2 9 2 2" xfId="28981" xr:uid="{00000000-0005-0000-0000-0000CB460000}"/>
    <cellStyle name="40% - Accent5 4 2 9 3" xfId="22885" xr:uid="{00000000-0005-0000-0000-0000CC460000}"/>
    <cellStyle name="40% - Accent5 4 3" xfId="4575" xr:uid="{00000000-0005-0000-0000-0000CD460000}"/>
    <cellStyle name="40% - Accent5 4 3 10" xfId="9478" xr:uid="{00000000-0005-0000-0000-0000CE460000}"/>
    <cellStyle name="40% - Accent5 4 3 10 2" xfId="23953" xr:uid="{00000000-0005-0000-0000-0000CF460000}"/>
    <cellStyle name="40% - Accent5 4 3 11" xfId="22884" xr:uid="{00000000-0005-0000-0000-0000D0460000}"/>
    <cellStyle name="40% - Accent5 4 3 2" xfId="4576" xr:uid="{00000000-0005-0000-0000-0000D1460000}"/>
    <cellStyle name="40% - Accent5 4 3 2 2" xfId="4577" xr:uid="{00000000-0005-0000-0000-0000D2460000}"/>
    <cellStyle name="40% - Accent5 4 3 2 2 2" xfId="11206" xr:uid="{00000000-0005-0000-0000-0000D3460000}"/>
    <cellStyle name="40% - Accent5 4 3 2 2 2 2" xfId="25148" xr:uid="{00000000-0005-0000-0000-0000D4460000}"/>
    <cellStyle name="40% - Accent5 4 3 2 2 3" xfId="22883" xr:uid="{00000000-0005-0000-0000-0000D5460000}"/>
    <cellStyle name="40% - Accent5 4 3 2 3" xfId="4578" xr:uid="{00000000-0005-0000-0000-0000D6460000}"/>
    <cellStyle name="40% - Accent5 4 3 2 3 2" xfId="12991" xr:uid="{00000000-0005-0000-0000-0000D7460000}"/>
    <cellStyle name="40% - Accent5 4 3 2 3 2 2" xfId="26703" xr:uid="{00000000-0005-0000-0000-0000D8460000}"/>
    <cellStyle name="40% - Accent5 4 3 2 3 3" xfId="22882" xr:uid="{00000000-0005-0000-0000-0000D9460000}"/>
    <cellStyle name="40% - Accent5 4 3 2 4" xfId="4579" xr:uid="{00000000-0005-0000-0000-0000DA460000}"/>
    <cellStyle name="40% - Accent5 4 3 2 4 2" xfId="15439" xr:uid="{00000000-0005-0000-0000-0000DB460000}"/>
    <cellStyle name="40% - Accent5 4 3 2 4 2 2" xfId="28988" xr:uid="{00000000-0005-0000-0000-0000DC460000}"/>
    <cellStyle name="40% - Accent5 4 3 2 4 3" xfId="22881" xr:uid="{00000000-0005-0000-0000-0000DD460000}"/>
    <cellStyle name="40% - Accent5 4 3 2 5" xfId="4580" xr:uid="{00000000-0005-0000-0000-0000DE460000}"/>
    <cellStyle name="40% - Accent5 4 3 2 5 2" xfId="16762" xr:uid="{00000000-0005-0000-0000-0000DF460000}"/>
    <cellStyle name="40% - Accent5 4 3 2 5 2 2" xfId="30169" xr:uid="{00000000-0005-0000-0000-0000E0460000}"/>
    <cellStyle name="40% - Accent5 4 3 2 5 3" xfId="26840" xr:uid="{00000000-0005-0000-0000-0000E1460000}"/>
    <cellStyle name="40% - Accent5 4 3 2 6" xfId="9479" xr:uid="{00000000-0005-0000-0000-0000E2460000}"/>
    <cellStyle name="40% - Accent5 4 3 2 6 2" xfId="23954" xr:uid="{00000000-0005-0000-0000-0000E3460000}"/>
    <cellStyle name="40% - Accent5 4 3 2 7" xfId="29146" xr:uid="{00000000-0005-0000-0000-0000E4460000}"/>
    <cellStyle name="40% - Accent5 4 3 3" xfId="4581" xr:uid="{00000000-0005-0000-0000-0000E5460000}"/>
    <cellStyle name="40% - Accent5 4 3 3 2" xfId="4582" xr:uid="{00000000-0005-0000-0000-0000E6460000}"/>
    <cellStyle name="40% - Accent5 4 3 3 2 2" xfId="15440" xr:uid="{00000000-0005-0000-0000-0000E7460000}"/>
    <cellStyle name="40% - Accent5 4 3 3 2 2 2" xfId="28989" xr:uid="{00000000-0005-0000-0000-0000E8460000}"/>
    <cellStyle name="40% - Accent5 4 3 3 2 3" xfId="22879" xr:uid="{00000000-0005-0000-0000-0000E9460000}"/>
    <cellStyle name="40% - Accent5 4 3 3 3" xfId="11205" xr:uid="{00000000-0005-0000-0000-0000EA460000}"/>
    <cellStyle name="40% - Accent5 4 3 3 3 2" xfId="25147" xr:uid="{00000000-0005-0000-0000-0000EB460000}"/>
    <cellStyle name="40% - Accent5 4 3 3 4" xfId="22880" xr:uid="{00000000-0005-0000-0000-0000EC460000}"/>
    <cellStyle name="40% - Accent5 4 3 4" xfId="4583" xr:uid="{00000000-0005-0000-0000-0000ED460000}"/>
    <cellStyle name="40% - Accent5 4 3 4 2" xfId="12150" xr:uid="{00000000-0005-0000-0000-0000EE460000}"/>
    <cellStyle name="40% - Accent5 4 3 4 2 2" xfId="25862" xr:uid="{00000000-0005-0000-0000-0000EF460000}"/>
    <cellStyle name="40% - Accent5 4 3 4 3" xfId="24242" xr:uid="{00000000-0005-0000-0000-0000F0460000}"/>
    <cellStyle name="40% - Accent5 4 3 5" xfId="4584" xr:uid="{00000000-0005-0000-0000-0000F1460000}"/>
    <cellStyle name="40% - Accent5 4 3 5 2" xfId="12990" xr:uid="{00000000-0005-0000-0000-0000F2460000}"/>
    <cellStyle name="40% - Accent5 4 3 5 2 2" xfId="26702" xr:uid="{00000000-0005-0000-0000-0000F3460000}"/>
    <cellStyle name="40% - Accent5 4 3 5 3" xfId="22878" xr:uid="{00000000-0005-0000-0000-0000F4460000}"/>
    <cellStyle name="40% - Accent5 4 3 6" xfId="4585" xr:uid="{00000000-0005-0000-0000-0000F5460000}"/>
    <cellStyle name="40% - Accent5 4 3 6 2" xfId="13714" xr:uid="{00000000-0005-0000-0000-0000F6460000}"/>
    <cellStyle name="40% - Accent5 4 3 6 2 2" xfId="27263" xr:uid="{00000000-0005-0000-0000-0000F7460000}"/>
    <cellStyle name="40% - Accent5 4 3 6 3" xfId="25268" xr:uid="{00000000-0005-0000-0000-0000F8460000}"/>
    <cellStyle name="40% - Accent5 4 3 7" xfId="4586" xr:uid="{00000000-0005-0000-0000-0000F9460000}"/>
    <cellStyle name="40% - Accent5 4 3 7 2" xfId="14295" xr:uid="{00000000-0005-0000-0000-0000FA460000}"/>
    <cellStyle name="40% - Accent5 4 3 7 2 2" xfId="27844" xr:uid="{00000000-0005-0000-0000-0000FB460000}"/>
    <cellStyle name="40% - Accent5 4 3 7 3" xfId="22877" xr:uid="{00000000-0005-0000-0000-0000FC460000}"/>
    <cellStyle name="40% - Accent5 4 3 8" xfId="4587" xr:uid="{00000000-0005-0000-0000-0000FD460000}"/>
    <cellStyle name="40% - Accent5 4 3 8 2" xfId="15438" xr:uid="{00000000-0005-0000-0000-0000FE460000}"/>
    <cellStyle name="40% - Accent5 4 3 8 2 2" xfId="28987" xr:uid="{00000000-0005-0000-0000-0000FF460000}"/>
    <cellStyle name="40% - Accent5 4 3 8 3" xfId="22876" xr:uid="{00000000-0005-0000-0000-000000470000}"/>
    <cellStyle name="40% - Accent5 4 3 9" xfId="4588" xr:uid="{00000000-0005-0000-0000-000001470000}"/>
    <cellStyle name="40% - Accent5 4 3 9 2" xfId="16181" xr:uid="{00000000-0005-0000-0000-000002470000}"/>
    <cellStyle name="40% - Accent5 4 3 9 2 2" xfId="29588" xr:uid="{00000000-0005-0000-0000-000003470000}"/>
    <cellStyle name="40% - Accent5 4 3 9 3" xfId="24241" xr:uid="{00000000-0005-0000-0000-000004470000}"/>
    <cellStyle name="40% - Accent5 4 4" xfId="4589" xr:uid="{00000000-0005-0000-0000-000005470000}"/>
    <cellStyle name="40% - Accent5 4 4 2" xfId="4590" xr:uid="{00000000-0005-0000-0000-000006470000}"/>
    <cellStyle name="40% - Accent5 4 4 2 2" xfId="11207" xr:uid="{00000000-0005-0000-0000-000007470000}"/>
    <cellStyle name="40% - Accent5 4 4 2 2 2" xfId="25149" xr:uid="{00000000-0005-0000-0000-000008470000}"/>
    <cellStyle name="40% - Accent5 4 4 2 3" xfId="22874" xr:uid="{00000000-0005-0000-0000-000009470000}"/>
    <cellStyle name="40% - Accent5 4 4 3" xfId="4591" xr:uid="{00000000-0005-0000-0000-00000A470000}"/>
    <cellStyle name="40% - Accent5 4 4 3 2" xfId="12992" xr:uid="{00000000-0005-0000-0000-00000B470000}"/>
    <cellStyle name="40% - Accent5 4 4 3 2 2" xfId="26704" xr:uid="{00000000-0005-0000-0000-00000C470000}"/>
    <cellStyle name="40% - Accent5 4 4 3 3" xfId="24239" xr:uid="{00000000-0005-0000-0000-00000D470000}"/>
    <cellStyle name="40% - Accent5 4 4 4" xfId="4592" xr:uid="{00000000-0005-0000-0000-00000E470000}"/>
    <cellStyle name="40% - Accent5 4 4 4 2" xfId="15441" xr:uid="{00000000-0005-0000-0000-00000F470000}"/>
    <cellStyle name="40% - Accent5 4 4 4 2 2" xfId="28990" xr:uid="{00000000-0005-0000-0000-000010470000}"/>
    <cellStyle name="40% - Accent5 4 4 4 3" xfId="22873" xr:uid="{00000000-0005-0000-0000-000011470000}"/>
    <cellStyle name="40% - Accent5 4 4 5" xfId="4593" xr:uid="{00000000-0005-0000-0000-000012470000}"/>
    <cellStyle name="40% - Accent5 4 4 5 2" xfId="16470" xr:uid="{00000000-0005-0000-0000-000013470000}"/>
    <cellStyle name="40% - Accent5 4 4 5 2 2" xfId="29877" xr:uid="{00000000-0005-0000-0000-000014470000}"/>
    <cellStyle name="40% - Accent5 4 4 5 3" xfId="22872" xr:uid="{00000000-0005-0000-0000-000015470000}"/>
    <cellStyle name="40% - Accent5 4 4 6" xfId="9480" xr:uid="{00000000-0005-0000-0000-000016470000}"/>
    <cellStyle name="40% - Accent5 4 4 6 2" xfId="23955" xr:uid="{00000000-0005-0000-0000-000017470000}"/>
    <cellStyle name="40% - Accent5 4 4 7" xfId="22875" xr:uid="{00000000-0005-0000-0000-000018470000}"/>
    <cellStyle name="40% - Accent5 4 5" xfId="4594" xr:uid="{00000000-0005-0000-0000-000019470000}"/>
    <cellStyle name="40% - Accent5 4 5 2" xfId="4595" xr:uid="{00000000-0005-0000-0000-00001A470000}"/>
    <cellStyle name="40% - Accent5 4 5 2 2" xfId="15442" xr:uid="{00000000-0005-0000-0000-00001B470000}"/>
    <cellStyle name="40% - Accent5 4 5 2 2 2" xfId="28991" xr:uid="{00000000-0005-0000-0000-00001C470000}"/>
    <cellStyle name="40% - Accent5 4 5 2 3" xfId="22871" xr:uid="{00000000-0005-0000-0000-00001D470000}"/>
    <cellStyle name="40% - Accent5 4 5 3" xfId="11200" xr:uid="{00000000-0005-0000-0000-00001E470000}"/>
    <cellStyle name="40% - Accent5 4 5 3 2" xfId="25142" xr:uid="{00000000-0005-0000-0000-00001F470000}"/>
    <cellStyle name="40% - Accent5 4 5 4" xfId="29145" xr:uid="{00000000-0005-0000-0000-000020470000}"/>
    <cellStyle name="40% - Accent5 4 6" xfId="4596" xr:uid="{00000000-0005-0000-0000-000021470000}"/>
    <cellStyle name="40% - Accent5 4 6 2" xfId="11821" xr:uid="{00000000-0005-0000-0000-000022470000}"/>
    <cellStyle name="40% - Accent5 4 6 2 2" xfId="25536" xr:uid="{00000000-0005-0000-0000-000023470000}"/>
    <cellStyle name="40% - Accent5 4 6 3" xfId="22870" xr:uid="{00000000-0005-0000-0000-000024470000}"/>
    <cellStyle name="40% - Accent5 4 7" xfId="4597" xr:uid="{00000000-0005-0000-0000-000025470000}"/>
    <cellStyle name="40% - Accent5 4 7 2" xfId="12985" xr:uid="{00000000-0005-0000-0000-000026470000}"/>
    <cellStyle name="40% - Accent5 4 7 2 2" xfId="26697" xr:uid="{00000000-0005-0000-0000-000027470000}"/>
    <cellStyle name="40% - Accent5 4 7 3" xfId="26839" xr:uid="{00000000-0005-0000-0000-000028470000}"/>
    <cellStyle name="40% - Accent5 4 8" xfId="4598" xr:uid="{00000000-0005-0000-0000-000029470000}"/>
    <cellStyle name="40% - Accent5 4 8 2" xfId="13422" xr:uid="{00000000-0005-0000-0000-00002A470000}"/>
    <cellStyle name="40% - Accent5 4 8 2 2" xfId="26971" xr:uid="{00000000-0005-0000-0000-00002B470000}"/>
    <cellStyle name="40% - Accent5 4 8 3" xfId="22869" xr:uid="{00000000-0005-0000-0000-00002C470000}"/>
    <cellStyle name="40% - Accent5 4 9" xfId="4599" xr:uid="{00000000-0005-0000-0000-00002D470000}"/>
    <cellStyle name="40% - Accent5 4 9 2" xfId="14003" xr:uid="{00000000-0005-0000-0000-00002E470000}"/>
    <cellStyle name="40% - Accent5 4 9 2 2" xfId="27552" xr:uid="{00000000-0005-0000-0000-00002F470000}"/>
    <cellStyle name="40% - Accent5 4 9 3" xfId="22868" xr:uid="{00000000-0005-0000-0000-000030470000}"/>
    <cellStyle name="40% - Accent5 5" xfId="4600" xr:uid="{00000000-0005-0000-0000-000031470000}"/>
    <cellStyle name="40% - Accent5 5 10" xfId="4601" xr:uid="{00000000-0005-0000-0000-000032470000}"/>
    <cellStyle name="40% - Accent5 5 10 2" xfId="15443" xr:uid="{00000000-0005-0000-0000-000033470000}"/>
    <cellStyle name="40% - Accent5 5 10 2 2" xfId="28992" xr:uid="{00000000-0005-0000-0000-000034470000}"/>
    <cellStyle name="40% - Accent5 5 10 3" xfId="22867" xr:uid="{00000000-0005-0000-0000-000035470000}"/>
    <cellStyle name="40% - Accent5 5 11" xfId="4602" xr:uid="{00000000-0005-0000-0000-000036470000}"/>
    <cellStyle name="40% - Accent5 5 11 2" xfId="15872" xr:uid="{00000000-0005-0000-0000-000037470000}"/>
    <cellStyle name="40% - Accent5 5 11 2 2" xfId="29279" xr:uid="{00000000-0005-0000-0000-000038470000}"/>
    <cellStyle name="40% - Accent5 5 11 3" xfId="25267" xr:uid="{00000000-0005-0000-0000-000039470000}"/>
    <cellStyle name="40% - Accent5 5 12" xfId="9481" xr:uid="{00000000-0005-0000-0000-00003A470000}"/>
    <cellStyle name="40% - Accent5 5 12 2" xfId="23956" xr:uid="{00000000-0005-0000-0000-00003B470000}"/>
    <cellStyle name="40% - Accent5 5 13" xfId="24240" xr:uid="{00000000-0005-0000-0000-00003C470000}"/>
    <cellStyle name="40% - Accent5 5 2" xfId="4603" xr:uid="{00000000-0005-0000-0000-00003D470000}"/>
    <cellStyle name="40% - Accent5 5 2 10" xfId="4604" xr:uid="{00000000-0005-0000-0000-00003E470000}"/>
    <cellStyle name="40% - Accent5 5 2 10 2" xfId="16015" xr:uid="{00000000-0005-0000-0000-00003F470000}"/>
    <cellStyle name="40% - Accent5 5 2 10 2 2" xfId="29422" xr:uid="{00000000-0005-0000-0000-000040470000}"/>
    <cellStyle name="40% - Accent5 5 2 10 3" xfId="22865" xr:uid="{00000000-0005-0000-0000-000041470000}"/>
    <cellStyle name="40% - Accent5 5 2 11" xfId="9482" xr:uid="{00000000-0005-0000-0000-000042470000}"/>
    <cellStyle name="40% - Accent5 5 2 11 2" xfId="23957" xr:uid="{00000000-0005-0000-0000-000043470000}"/>
    <cellStyle name="40% - Accent5 5 2 12" xfId="22866" xr:uid="{00000000-0005-0000-0000-000044470000}"/>
    <cellStyle name="40% - Accent5 5 2 2" xfId="4605" xr:uid="{00000000-0005-0000-0000-000045470000}"/>
    <cellStyle name="40% - Accent5 5 2 2 10" xfId="9483" xr:uid="{00000000-0005-0000-0000-000046470000}"/>
    <cellStyle name="40% - Accent5 5 2 2 10 2" xfId="23958" xr:uid="{00000000-0005-0000-0000-000047470000}"/>
    <cellStyle name="40% - Accent5 5 2 2 11" xfId="22864" xr:uid="{00000000-0005-0000-0000-000048470000}"/>
    <cellStyle name="40% - Accent5 5 2 2 2" xfId="4606" xr:uid="{00000000-0005-0000-0000-000049470000}"/>
    <cellStyle name="40% - Accent5 5 2 2 2 2" xfId="4607" xr:uid="{00000000-0005-0000-0000-00004A470000}"/>
    <cellStyle name="40% - Accent5 5 2 2 2 2 2" xfId="11211" xr:uid="{00000000-0005-0000-0000-00004B470000}"/>
    <cellStyle name="40% - Accent5 5 2 2 2 2 2 2" xfId="25153" xr:uid="{00000000-0005-0000-0000-00004C470000}"/>
    <cellStyle name="40% - Accent5 5 2 2 2 2 3" xfId="22863" xr:uid="{00000000-0005-0000-0000-00004D470000}"/>
    <cellStyle name="40% - Accent5 5 2 2 2 3" xfId="4608" xr:uid="{00000000-0005-0000-0000-00004E470000}"/>
    <cellStyle name="40% - Accent5 5 2 2 2 3 2" xfId="12996" xr:uid="{00000000-0005-0000-0000-00004F470000}"/>
    <cellStyle name="40% - Accent5 5 2 2 2 3 2 2" xfId="26708" xr:uid="{00000000-0005-0000-0000-000050470000}"/>
    <cellStyle name="40% - Accent5 5 2 2 2 3 3" xfId="22862" xr:uid="{00000000-0005-0000-0000-000051470000}"/>
    <cellStyle name="40% - Accent5 5 2 2 2 4" xfId="4609" xr:uid="{00000000-0005-0000-0000-000052470000}"/>
    <cellStyle name="40% - Accent5 5 2 2 2 4 2" xfId="15446" xr:uid="{00000000-0005-0000-0000-000053470000}"/>
    <cellStyle name="40% - Accent5 5 2 2 2 4 2 2" xfId="28995" xr:uid="{00000000-0005-0000-0000-000054470000}"/>
    <cellStyle name="40% - Accent5 5 2 2 2 4 3" xfId="29144" xr:uid="{00000000-0005-0000-0000-000055470000}"/>
    <cellStyle name="40% - Accent5 5 2 2 2 5" xfId="4610" xr:uid="{00000000-0005-0000-0000-000056470000}"/>
    <cellStyle name="40% - Accent5 5 2 2 2 5 2" xfId="16885" xr:uid="{00000000-0005-0000-0000-000057470000}"/>
    <cellStyle name="40% - Accent5 5 2 2 2 5 2 2" xfId="30292" xr:uid="{00000000-0005-0000-0000-000058470000}"/>
    <cellStyle name="40% - Accent5 5 2 2 2 5 3" xfId="22861" xr:uid="{00000000-0005-0000-0000-000059470000}"/>
    <cellStyle name="40% - Accent5 5 2 2 2 6" xfId="9484" xr:uid="{00000000-0005-0000-0000-00005A470000}"/>
    <cellStyle name="40% - Accent5 5 2 2 2 6 2" xfId="23959" xr:uid="{00000000-0005-0000-0000-00005B470000}"/>
    <cellStyle name="40% - Accent5 5 2 2 2 7" xfId="24235" xr:uid="{00000000-0005-0000-0000-00005C470000}"/>
    <cellStyle name="40% - Accent5 5 2 2 3" xfId="4611" xr:uid="{00000000-0005-0000-0000-00005D470000}"/>
    <cellStyle name="40% - Accent5 5 2 2 3 2" xfId="4612" xr:uid="{00000000-0005-0000-0000-00005E470000}"/>
    <cellStyle name="40% - Accent5 5 2 2 3 2 2" xfId="15447" xr:uid="{00000000-0005-0000-0000-00005F470000}"/>
    <cellStyle name="40% - Accent5 5 2 2 3 2 2 2" xfId="28996" xr:uid="{00000000-0005-0000-0000-000060470000}"/>
    <cellStyle name="40% - Accent5 5 2 2 3 2 3" xfId="26838" xr:uid="{00000000-0005-0000-0000-000061470000}"/>
    <cellStyle name="40% - Accent5 5 2 2 3 3" xfId="11210" xr:uid="{00000000-0005-0000-0000-000062470000}"/>
    <cellStyle name="40% - Accent5 5 2 2 3 3 2" xfId="25152" xr:uid="{00000000-0005-0000-0000-000063470000}"/>
    <cellStyle name="40% - Accent5 5 2 2 3 4" xfId="22860" xr:uid="{00000000-0005-0000-0000-000064470000}"/>
    <cellStyle name="40% - Accent5 5 2 2 4" xfId="4613" xr:uid="{00000000-0005-0000-0000-000065470000}"/>
    <cellStyle name="40% - Accent5 5 2 2 4 2" xfId="12273" xr:uid="{00000000-0005-0000-0000-000066470000}"/>
    <cellStyle name="40% - Accent5 5 2 2 4 2 2" xfId="25985" xr:uid="{00000000-0005-0000-0000-000067470000}"/>
    <cellStyle name="40% - Accent5 5 2 2 4 3" xfId="22859" xr:uid="{00000000-0005-0000-0000-000068470000}"/>
    <cellStyle name="40% - Accent5 5 2 2 5" xfId="4614" xr:uid="{00000000-0005-0000-0000-000069470000}"/>
    <cellStyle name="40% - Accent5 5 2 2 5 2" xfId="12995" xr:uid="{00000000-0005-0000-0000-00006A470000}"/>
    <cellStyle name="40% - Accent5 5 2 2 5 2 2" xfId="26707" xr:uid="{00000000-0005-0000-0000-00006B470000}"/>
    <cellStyle name="40% - Accent5 5 2 2 5 3" xfId="22858" xr:uid="{00000000-0005-0000-0000-00006C470000}"/>
    <cellStyle name="40% - Accent5 5 2 2 6" xfId="4615" xr:uid="{00000000-0005-0000-0000-00006D470000}"/>
    <cellStyle name="40% - Accent5 5 2 2 6 2" xfId="13837" xr:uid="{00000000-0005-0000-0000-00006E470000}"/>
    <cellStyle name="40% - Accent5 5 2 2 6 2 2" xfId="27386" xr:uid="{00000000-0005-0000-0000-00006F470000}"/>
    <cellStyle name="40% - Accent5 5 2 2 6 3" xfId="24238" xr:uid="{00000000-0005-0000-0000-000070470000}"/>
    <cellStyle name="40% - Accent5 5 2 2 7" xfId="4616" xr:uid="{00000000-0005-0000-0000-000071470000}"/>
    <cellStyle name="40% - Accent5 5 2 2 7 2" xfId="14418" xr:uid="{00000000-0005-0000-0000-000072470000}"/>
    <cellStyle name="40% - Accent5 5 2 2 7 2 2" xfId="27967" xr:uid="{00000000-0005-0000-0000-000073470000}"/>
    <cellStyle name="40% - Accent5 5 2 2 7 3" xfId="22857" xr:uid="{00000000-0005-0000-0000-000074470000}"/>
    <cellStyle name="40% - Accent5 5 2 2 8" xfId="4617" xr:uid="{00000000-0005-0000-0000-000075470000}"/>
    <cellStyle name="40% - Accent5 5 2 2 8 2" xfId="15445" xr:uid="{00000000-0005-0000-0000-000076470000}"/>
    <cellStyle name="40% - Accent5 5 2 2 8 2 2" xfId="28994" xr:uid="{00000000-0005-0000-0000-000077470000}"/>
    <cellStyle name="40% - Accent5 5 2 2 8 3" xfId="25266" xr:uid="{00000000-0005-0000-0000-000078470000}"/>
    <cellStyle name="40% - Accent5 5 2 2 9" xfId="4618" xr:uid="{00000000-0005-0000-0000-000079470000}"/>
    <cellStyle name="40% - Accent5 5 2 2 9 2" xfId="16304" xr:uid="{00000000-0005-0000-0000-00007A470000}"/>
    <cellStyle name="40% - Accent5 5 2 2 9 2 2" xfId="29711" xr:uid="{00000000-0005-0000-0000-00007B470000}"/>
    <cellStyle name="40% - Accent5 5 2 2 9 3" xfId="22856" xr:uid="{00000000-0005-0000-0000-00007C470000}"/>
    <cellStyle name="40% - Accent5 5 2 3" xfId="4619" xr:uid="{00000000-0005-0000-0000-00007D470000}"/>
    <cellStyle name="40% - Accent5 5 2 3 2" xfId="4620" xr:uid="{00000000-0005-0000-0000-00007E470000}"/>
    <cellStyle name="40% - Accent5 5 2 3 2 2" xfId="11212" xr:uid="{00000000-0005-0000-0000-00007F470000}"/>
    <cellStyle name="40% - Accent5 5 2 3 2 2 2" xfId="25154" xr:uid="{00000000-0005-0000-0000-000080470000}"/>
    <cellStyle name="40% - Accent5 5 2 3 2 3" xfId="24236" xr:uid="{00000000-0005-0000-0000-000081470000}"/>
    <cellStyle name="40% - Accent5 5 2 3 3" xfId="4621" xr:uid="{00000000-0005-0000-0000-000082470000}"/>
    <cellStyle name="40% - Accent5 5 2 3 3 2" xfId="12997" xr:uid="{00000000-0005-0000-0000-000083470000}"/>
    <cellStyle name="40% - Accent5 5 2 3 3 2 2" xfId="26709" xr:uid="{00000000-0005-0000-0000-000084470000}"/>
    <cellStyle name="40% - Accent5 5 2 3 3 3" xfId="22854" xr:uid="{00000000-0005-0000-0000-000085470000}"/>
    <cellStyle name="40% - Accent5 5 2 3 4" xfId="4622" xr:uid="{00000000-0005-0000-0000-000086470000}"/>
    <cellStyle name="40% - Accent5 5 2 3 4 2" xfId="15448" xr:uid="{00000000-0005-0000-0000-000087470000}"/>
    <cellStyle name="40% - Accent5 5 2 3 4 2 2" xfId="28997" xr:uid="{00000000-0005-0000-0000-000088470000}"/>
    <cellStyle name="40% - Accent5 5 2 3 4 3" xfId="22853" xr:uid="{00000000-0005-0000-0000-000089470000}"/>
    <cellStyle name="40% - Accent5 5 2 3 5" xfId="4623" xr:uid="{00000000-0005-0000-0000-00008A470000}"/>
    <cellStyle name="40% - Accent5 5 2 3 5 2" xfId="16596" xr:uid="{00000000-0005-0000-0000-00008B470000}"/>
    <cellStyle name="40% - Accent5 5 2 3 5 2 2" xfId="30003" xr:uid="{00000000-0005-0000-0000-00008C470000}"/>
    <cellStyle name="40% - Accent5 5 2 3 5 3" xfId="29143" xr:uid="{00000000-0005-0000-0000-00008D470000}"/>
    <cellStyle name="40% - Accent5 5 2 3 6" xfId="9485" xr:uid="{00000000-0005-0000-0000-00008E470000}"/>
    <cellStyle name="40% - Accent5 5 2 3 6 2" xfId="23960" xr:uid="{00000000-0005-0000-0000-00008F470000}"/>
    <cellStyle name="40% - Accent5 5 2 3 7" xfId="22855" xr:uid="{00000000-0005-0000-0000-000090470000}"/>
    <cellStyle name="40% - Accent5 5 2 4" xfId="4624" xr:uid="{00000000-0005-0000-0000-000091470000}"/>
    <cellStyle name="40% - Accent5 5 2 4 2" xfId="4625" xr:uid="{00000000-0005-0000-0000-000092470000}"/>
    <cellStyle name="40% - Accent5 5 2 4 2 2" xfId="15449" xr:uid="{00000000-0005-0000-0000-000093470000}"/>
    <cellStyle name="40% - Accent5 5 2 4 2 2 2" xfId="28998" xr:uid="{00000000-0005-0000-0000-000094470000}"/>
    <cellStyle name="40% - Accent5 5 2 4 2 3" xfId="22851" xr:uid="{00000000-0005-0000-0000-000095470000}"/>
    <cellStyle name="40% - Accent5 5 2 4 3" xfId="11209" xr:uid="{00000000-0005-0000-0000-000096470000}"/>
    <cellStyle name="40% - Accent5 5 2 4 3 2" xfId="25151" xr:uid="{00000000-0005-0000-0000-000097470000}"/>
    <cellStyle name="40% - Accent5 5 2 4 4" xfId="22852" xr:uid="{00000000-0005-0000-0000-000098470000}"/>
    <cellStyle name="40% - Accent5 5 2 5" xfId="4626" xr:uid="{00000000-0005-0000-0000-000099470000}"/>
    <cellStyle name="40% - Accent5 5 2 5 2" xfId="11973" xr:uid="{00000000-0005-0000-0000-00009A470000}"/>
    <cellStyle name="40% - Accent5 5 2 5 2 2" xfId="25688" xr:uid="{00000000-0005-0000-0000-00009B470000}"/>
    <cellStyle name="40% - Accent5 5 2 5 3" xfId="26837" xr:uid="{00000000-0005-0000-0000-00009C470000}"/>
    <cellStyle name="40% - Accent5 5 2 6" xfId="4627" xr:uid="{00000000-0005-0000-0000-00009D470000}"/>
    <cellStyle name="40% - Accent5 5 2 6 2" xfId="12994" xr:uid="{00000000-0005-0000-0000-00009E470000}"/>
    <cellStyle name="40% - Accent5 5 2 6 2 2" xfId="26706" xr:uid="{00000000-0005-0000-0000-00009F470000}"/>
    <cellStyle name="40% - Accent5 5 2 6 3" xfId="22850" xr:uid="{00000000-0005-0000-0000-0000A0470000}"/>
    <cellStyle name="40% - Accent5 5 2 7" xfId="4628" xr:uid="{00000000-0005-0000-0000-0000A1470000}"/>
    <cellStyle name="40% - Accent5 5 2 7 2" xfId="13548" xr:uid="{00000000-0005-0000-0000-0000A2470000}"/>
    <cellStyle name="40% - Accent5 5 2 7 2 2" xfId="27097" xr:uid="{00000000-0005-0000-0000-0000A3470000}"/>
    <cellStyle name="40% - Accent5 5 2 7 3" xfId="22849" xr:uid="{00000000-0005-0000-0000-0000A4470000}"/>
    <cellStyle name="40% - Accent5 5 2 8" xfId="4629" xr:uid="{00000000-0005-0000-0000-0000A5470000}"/>
    <cellStyle name="40% - Accent5 5 2 8 2" xfId="14129" xr:uid="{00000000-0005-0000-0000-0000A6470000}"/>
    <cellStyle name="40% - Accent5 5 2 8 2 2" xfId="27678" xr:uid="{00000000-0005-0000-0000-0000A7470000}"/>
    <cellStyle name="40% - Accent5 5 2 8 3" xfId="24237" xr:uid="{00000000-0005-0000-0000-0000A8470000}"/>
    <cellStyle name="40% - Accent5 5 2 9" xfId="4630" xr:uid="{00000000-0005-0000-0000-0000A9470000}"/>
    <cellStyle name="40% - Accent5 5 2 9 2" xfId="15444" xr:uid="{00000000-0005-0000-0000-0000AA470000}"/>
    <cellStyle name="40% - Accent5 5 2 9 2 2" xfId="28993" xr:uid="{00000000-0005-0000-0000-0000AB470000}"/>
    <cellStyle name="40% - Accent5 5 2 9 3" xfId="22848" xr:uid="{00000000-0005-0000-0000-0000AC470000}"/>
    <cellStyle name="40% - Accent5 5 3" xfId="4631" xr:uid="{00000000-0005-0000-0000-0000AD470000}"/>
    <cellStyle name="40% - Accent5 5 3 10" xfId="9486" xr:uid="{00000000-0005-0000-0000-0000AE470000}"/>
    <cellStyle name="40% - Accent5 5 3 10 2" xfId="23961" xr:uid="{00000000-0005-0000-0000-0000AF470000}"/>
    <cellStyle name="40% - Accent5 5 3 11" xfId="25265" xr:uid="{00000000-0005-0000-0000-0000B0470000}"/>
    <cellStyle name="40% - Accent5 5 3 2" xfId="4632" xr:uid="{00000000-0005-0000-0000-0000B1470000}"/>
    <cellStyle name="40% - Accent5 5 3 2 2" xfId="4633" xr:uid="{00000000-0005-0000-0000-0000B2470000}"/>
    <cellStyle name="40% - Accent5 5 3 2 2 2" xfId="11214" xr:uid="{00000000-0005-0000-0000-0000B3470000}"/>
    <cellStyle name="40% - Accent5 5 3 2 2 2 2" xfId="25156" xr:uid="{00000000-0005-0000-0000-0000B4470000}"/>
    <cellStyle name="40% - Accent5 5 3 2 2 3" xfId="22846" xr:uid="{00000000-0005-0000-0000-0000B5470000}"/>
    <cellStyle name="40% - Accent5 5 3 2 3" xfId="4634" xr:uid="{00000000-0005-0000-0000-0000B6470000}"/>
    <cellStyle name="40% - Accent5 5 3 2 3 2" xfId="12999" xr:uid="{00000000-0005-0000-0000-0000B7470000}"/>
    <cellStyle name="40% - Accent5 5 3 2 3 2 2" xfId="26711" xr:uid="{00000000-0005-0000-0000-0000B8470000}"/>
    <cellStyle name="40% - Accent5 5 3 2 3 3" xfId="22845" xr:uid="{00000000-0005-0000-0000-0000B9470000}"/>
    <cellStyle name="40% - Accent5 5 3 2 4" xfId="4635" xr:uid="{00000000-0005-0000-0000-0000BA470000}"/>
    <cellStyle name="40% - Accent5 5 3 2 4 2" xfId="15451" xr:uid="{00000000-0005-0000-0000-0000BB470000}"/>
    <cellStyle name="40% - Accent5 5 3 2 4 2 2" xfId="29000" xr:uid="{00000000-0005-0000-0000-0000BC470000}"/>
    <cellStyle name="40% - Accent5 5 3 2 4 3" xfId="22844" xr:uid="{00000000-0005-0000-0000-0000BD470000}"/>
    <cellStyle name="40% - Accent5 5 3 2 5" xfId="4636" xr:uid="{00000000-0005-0000-0000-0000BE470000}"/>
    <cellStyle name="40% - Accent5 5 3 2 5 2" xfId="16745" xr:uid="{00000000-0005-0000-0000-0000BF470000}"/>
    <cellStyle name="40% - Accent5 5 3 2 5 2 2" xfId="30152" xr:uid="{00000000-0005-0000-0000-0000C0470000}"/>
    <cellStyle name="40% - Accent5 5 3 2 5 3" xfId="24234" xr:uid="{00000000-0005-0000-0000-0000C1470000}"/>
    <cellStyle name="40% - Accent5 5 3 2 6" xfId="9487" xr:uid="{00000000-0005-0000-0000-0000C2470000}"/>
    <cellStyle name="40% - Accent5 5 3 2 6 2" xfId="23962" xr:uid="{00000000-0005-0000-0000-0000C3470000}"/>
    <cellStyle name="40% - Accent5 5 3 2 7" xfId="22847" xr:uid="{00000000-0005-0000-0000-0000C4470000}"/>
    <cellStyle name="40% - Accent5 5 3 3" xfId="4637" xr:uid="{00000000-0005-0000-0000-0000C5470000}"/>
    <cellStyle name="40% - Accent5 5 3 3 2" xfId="4638" xr:uid="{00000000-0005-0000-0000-0000C6470000}"/>
    <cellStyle name="40% - Accent5 5 3 3 2 2" xfId="15452" xr:uid="{00000000-0005-0000-0000-0000C7470000}"/>
    <cellStyle name="40% - Accent5 5 3 3 2 2 2" xfId="29001" xr:uid="{00000000-0005-0000-0000-0000C8470000}"/>
    <cellStyle name="40% - Accent5 5 3 3 2 3" xfId="23231" xr:uid="{00000000-0005-0000-0000-0000C9470000}"/>
    <cellStyle name="40% - Accent5 5 3 3 3" xfId="11213" xr:uid="{00000000-0005-0000-0000-0000CA470000}"/>
    <cellStyle name="40% - Accent5 5 3 3 3 2" xfId="25155" xr:uid="{00000000-0005-0000-0000-0000CB470000}"/>
    <cellStyle name="40% - Accent5 5 3 3 4" xfId="22843" xr:uid="{00000000-0005-0000-0000-0000CC470000}"/>
    <cellStyle name="40% - Accent5 5 3 4" xfId="4639" xr:uid="{00000000-0005-0000-0000-0000CD470000}"/>
    <cellStyle name="40% - Accent5 5 3 4 2" xfId="12133" xr:uid="{00000000-0005-0000-0000-0000CE470000}"/>
    <cellStyle name="40% - Accent5 5 3 4 2 2" xfId="25845" xr:uid="{00000000-0005-0000-0000-0000CF470000}"/>
    <cellStyle name="40% - Accent5 5 3 4 3" xfId="24233" xr:uid="{00000000-0005-0000-0000-0000D0470000}"/>
    <cellStyle name="40% - Accent5 5 3 5" xfId="4640" xr:uid="{00000000-0005-0000-0000-0000D1470000}"/>
    <cellStyle name="40% - Accent5 5 3 5 2" xfId="12998" xr:uid="{00000000-0005-0000-0000-0000D2470000}"/>
    <cellStyle name="40% - Accent5 5 3 5 2 2" xfId="26710" xr:uid="{00000000-0005-0000-0000-0000D3470000}"/>
    <cellStyle name="40% - Accent5 5 3 5 3" xfId="22842" xr:uid="{00000000-0005-0000-0000-0000D4470000}"/>
    <cellStyle name="40% - Accent5 5 3 6" xfId="4641" xr:uid="{00000000-0005-0000-0000-0000D5470000}"/>
    <cellStyle name="40% - Accent5 5 3 6 2" xfId="13697" xr:uid="{00000000-0005-0000-0000-0000D6470000}"/>
    <cellStyle name="40% - Accent5 5 3 6 2 2" xfId="27246" xr:uid="{00000000-0005-0000-0000-0000D7470000}"/>
    <cellStyle name="40% - Accent5 5 3 6 3" xfId="22841" xr:uid="{00000000-0005-0000-0000-0000D8470000}"/>
    <cellStyle name="40% - Accent5 5 3 7" xfId="4642" xr:uid="{00000000-0005-0000-0000-0000D9470000}"/>
    <cellStyle name="40% - Accent5 5 3 7 2" xfId="14278" xr:uid="{00000000-0005-0000-0000-0000DA470000}"/>
    <cellStyle name="40% - Accent5 5 3 7 2 2" xfId="27827" xr:uid="{00000000-0005-0000-0000-0000DB470000}"/>
    <cellStyle name="40% - Accent5 5 3 7 3" xfId="22840" xr:uid="{00000000-0005-0000-0000-0000DC470000}"/>
    <cellStyle name="40% - Accent5 5 3 8" xfId="4643" xr:uid="{00000000-0005-0000-0000-0000DD470000}"/>
    <cellStyle name="40% - Accent5 5 3 8 2" xfId="15450" xr:uid="{00000000-0005-0000-0000-0000DE470000}"/>
    <cellStyle name="40% - Accent5 5 3 8 2 2" xfId="28999" xr:uid="{00000000-0005-0000-0000-0000DF470000}"/>
    <cellStyle name="40% - Accent5 5 3 8 3" xfId="22839" xr:uid="{00000000-0005-0000-0000-0000E0470000}"/>
    <cellStyle name="40% - Accent5 5 3 9" xfId="4644" xr:uid="{00000000-0005-0000-0000-0000E1470000}"/>
    <cellStyle name="40% - Accent5 5 3 9 2" xfId="16164" xr:uid="{00000000-0005-0000-0000-0000E2470000}"/>
    <cellStyle name="40% - Accent5 5 3 9 2 2" xfId="29571" xr:uid="{00000000-0005-0000-0000-0000E3470000}"/>
    <cellStyle name="40% - Accent5 5 3 9 3" xfId="22838" xr:uid="{00000000-0005-0000-0000-0000E4470000}"/>
    <cellStyle name="40% - Accent5 5 4" xfId="4645" xr:uid="{00000000-0005-0000-0000-0000E5470000}"/>
    <cellStyle name="40% - Accent5 5 4 2" xfId="4646" xr:uid="{00000000-0005-0000-0000-0000E6470000}"/>
    <cellStyle name="40% - Accent5 5 4 2 2" xfId="11215" xr:uid="{00000000-0005-0000-0000-0000E7470000}"/>
    <cellStyle name="40% - Accent5 5 4 2 2 2" xfId="25157" xr:uid="{00000000-0005-0000-0000-0000E8470000}"/>
    <cellStyle name="40% - Accent5 5 4 2 3" xfId="29142" xr:uid="{00000000-0005-0000-0000-0000E9470000}"/>
    <cellStyle name="40% - Accent5 5 4 3" xfId="4647" xr:uid="{00000000-0005-0000-0000-0000EA470000}"/>
    <cellStyle name="40% - Accent5 5 4 3 2" xfId="13000" xr:uid="{00000000-0005-0000-0000-0000EB470000}"/>
    <cellStyle name="40% - Accent5 5 4 3 2 2" xfId="26712" xr:uid="{00000000-0005-0000-0000-0000EC470000}"/>
    <cellStyle name="40% - Accent5 5 4 3 3" xfId="22837" xr:uid="{00000000-0005-0000-0000-0000ED470000}"/>
    <cellStyle name="40% - Accent5 5 4 4" xfId="4648" xr:uid="{00000000-0005-0000-0000-0000EE470000}"/>
    <cellStyle name="40% - Accent5 5 4 4 2" xfId="15453" xr:uid="{00000000-0005-0000-0000-0000EF470000}"/>
    <cellStyle name="40% - Accent5 5 4 4 2 2" xfId="29002" xr:uid="{00000000-0005-0000-0000-0000F0470000}"/>
    <cellStyle name="40% - Accent5 5 4 4 3" xfId="22836" xr:uid="{00000000-0005-0000-0000-0000F1470000}"/>
    <cellStyle name="40% - Accent5 5 4 5" xfId="4649" xr:uid="{00000000-0005-0000-0000-0000F2470000}"/>
    <cellStyle name="40% - Accent5 5 4 5 2" xfId="16453" xr:uid="{00000000-0005-0000-0000-0000F3470000}"/>
    <cellStyle name="40% - Accent5 5 4 5 2 2" xfId="29860" xr:uid="{00000000-0005-0000-0000-0000F4470000}"/>
    <cellStyle name="40% - Accent5 5 4 5 3" xfId="22835" xr:uid="{00000000-0005-0000-0000-0000F5470000}"/>
    <cellStyle name="40% - Accent5 5 4 6" xfId="9488" xr:uid="{00000000-0005-0000-0000-0000F6470000}"/>
    <cellStyle name="40% - Accent5 5 4 6 2" xfId="23963" xr:uid="{00000000-0005-0000-0000-0000F7470000}"/>
    <cellStyle name="40% - Accent5 5 4 7" xfId="25451" xr:uid="{00000000-0005-0000-0000-0000F8470000}"/>
    <cellStyle name="40% - Accent5 5 5" xfId="4650" xr:uid="{00000000-0005-0000-0000-0000F9470000}"/>
    <cellStyle name="40% - Accent5 5 5 2" xfId="4651" xr:uid="{00000000-0005-0000-0000-0000FA470000}"/>
    <cellStyle name="40% - Accent5 5 5 2 2" xfId="15454" xr:uid="{00000000-0005-0000-0000-0000FB470000}"/>
    <cellStyle name="40% - Accent5 5 5 2 2 2" xfId="29003" xr:uid="{00000000-0005-0000-0000-0000FC470000}"/>
    <cellStyle name="40% - Accent5 5 5 2 3" xfId="22834" xr:uid="{00000000-0005-0000-0000-0000FD470000}"/>
    <cellStyle name="40% - Accent5 5 5 3" xfId="11208" xr:uid="{00000000-0005-0000-0000-0000FE470000}"/>
    <cellStyle name="40% - Accent5 5 5 3 2" xfId="25150" xr:uid="{00000000-0005-0000-0000-0000FF470000}"/>
    <cellStyle name="40% - Accent5 5 5 4" xfId="25264" xr:uid="{00000000-0005-0000-0000-000000480000}"/>
    <cellStyle name="40% - Accent5 5 6" xfId="4652" xr:uid="{00000000-0005-0000-0000-000001480000}"/>
    <cellStyle name="40% - Accent5 5 6 2" xfId="11804" xr:uid="{00000000-0005-0000-0000-000002480000}"/>
    <cellStyle name="40% - Accent5 5 6 2 2" xfId="25519" xr:uid="{00000000-0005-0000-0000-000003480000}"/>
    <cellStyle name="40% - Accent5 5 6 3" xfId="22833" xr:uid="{00000000-0005-0000-0000-000004480000}"/>
    <cellStyle name="40% - Accent5 5 7" xfId="4653" xr:uid="{00000000-0005-0000-0000-000005480000}"/>
    <cellStyle name="40% - Accent5 5 7 2" xfId="12993" xr:uid="{00000000-0005-0000-0000-000006480000}"/>
    <cellStyle name="40% - Accent5 5 7 2 2" xfId="26705" xr:uid="{00000000-0005-0000-0000-000007480000}"/>
    <cellStyle name="40% - Accent5 5 7 3" xfId="24232" xr:uid="{00000000-0005-0000-0000-000008480000}"/>
    <cellStyle name="40% - Accent5 5 8" xfId="4654" xr:uid="{00000000-0005-0000-0000-000009480000}"/>
    <cellStyle name="40% - Accent5 5 8 2" xfId="13405" xr:uid="{00000000-0005-0000-0000-00000A480000}"/>
    <cellStyle name="40% - Accent5 5 8 2 2" xfId="26954" xr:uid="{00000000-0005-0000-0000-00000B480000}"/>
    <cellStyle name="40% - Accent5 5 8 3" xfId="25263" xr:uid="{00000000-0005-0000-0000-00000C480000}"/>
    <cellStyle name="40% - Accent5 5 9" xfId="4655" xr:uid="{00000000-0005-0000-0000-00000D480000}"/>
    <cellStyle name="40% - Accent5 5 9 2" xfId="13986" xr:uid="{00000000-0005-0000-0000-00000E480000}"/>
    <cellStyle name="40% - Accent5 5 9 2 2" xfId="27535" xr:uid="{00000000-0005-0000-0000-00000F480000}"/>
    <cellStyle name="40% - Accent5 5 9 3" xfId="22832" xr:uid="{00000000-0005-0000-0000-000010480000}"/>
    <cellStyle name="40% - Accent5 6" xfId="4656" xr:uid="{00000000-0005-0000-0000-000011480000}"/>
    <cellStyle name="40% - Accent5 6 10" xfId="4657" xr:uid="{00000000-0005-0000-0000-000012480000}"/>
    <cellStyle name="40% - Accent5 6 10 2" xfId="15455" xr:uid="{00000000-0005-0000-0000-000013480000}"/>
    <cellStyle name="40% - Accent5 6 10 2 2" xfId="29004" xr:uid="{00000000-0005-0000-0000-000014480000}"/>
    <cellStyle name="40% - Accent5 6 10 3" xfId="24231" xr:uid="{00000000-0005-0000-0000-000015480000}"/>
    <cellStyle name="40% - Accent5 6 11" xfId="4658" xr:uid="{00000000-0005-0000-0000-000016480000}"/>
    <cellStyle name="40% - Accent5 6 11 2" xfId="15978" xr:uid="{00000000-0005-0000-0000-000017480000}"/>
    <cellStyle name="40% - Accent5 6 11 2 2" xfId="29385" xr:uid="{00000000-0005-0000-0000-000018480000}"/>
    <cellStyle name="40% - Accent5 6 11 3" xfId="25262" xr:uid="{00000000-0005-0000-0000-000019480000}"/>
    <cellStyle name="40% - Accent5 6 12" xfId="9489" xr:uid="{00000000-0005-0000-0000-00001A480000}"/>
    <cellStyle name="40% - Accent5 6 12 2" xfId="23964" xr:uid="{00000000-0005-0000-0000-00001B480000}"/>
    <cellStyle name="40% - Accent5 6 13" xfId="22831" xr:uid="{00000000-0005-0000-0000-00001C480000}"/>
    <cellStyle name="40% - Accent5 6 2" xfId="4659" xr:uid="{00000000-0005-0000-0000-00001D480000}"/>
    <cellStyle name="40% - Accent5 6 2 10" xfId="4660" xr:uid="{00000000-0005-0000-0000-00001E480000}"/>
    <cellStyle name="40% - Accent5 6 2 10 2" xfId="16121" xr:uid="{00000000-0005-0000-0000-00001F480000}"/>
    <cellStyle name="40% - Accent5 6 2 10 2 2" xfId="29528" xr:uid="{00000000-0005-0000-0000-000020480000}"/>
    <cellStyle name="40% - Accent5 6 2 10 3" xfId="22829" xr:uid="{00000000-0005-0000-0000-000021480000}"/>
    <cellStyle name="40% - Accent5 6 2 11" xfId="9490" xr:uid="{00000000-0005-0000-0000-000022480000}"/>
    <cellStyle name="40% - Accent5 6 2 11 2" xfId="23965" xr:uid="{00000000-0005-0000-0000-000023480000}"/>
    <cellStyle name="40% - Accent5 6 2 12" xfId="22830" xr:uid="{00000000-0005-0000-0000-000024480000}"/>
    <cellStyle name="40% - Accent5 6 2 2" xfId="4661" xr:uid="{00000000-0005-0000-0000-000025480000}"/>
    <cellStyle name="40% - Accent5 6 2 2 10" xfId="9491" xr:uid="{00000000-0005-0000-0000-000026480000}"/>
    <cellStyle name="40% - Accent5 6 2 2 10 2" xfId="23966" xr:uid="{00000000-0005-0000-0000-000027480000}"/>
    <cellStyle name="40% - Accent5 6 2 2 11" xfId="24230" xr:uid="{00000000-0005-0000-0000-000028480000}"/>
    <cellStyle name="40% - Accent5 6 2 2 2" xfId="4662" xr:uid="{00000000-0005-0000-0000-000029480000}"/>
    <cellStyle name="40% - Accent5 6 2 2 2 2" xfId="4663" xr:uid="{00000000-0005-0000-0000-00002A480000}"/>
    <cellStyle name="40% - Accent5 6 2 2 2 2 2" xfId="11219" xr:uid="{00000000-0005-0000-0000-00002B480000}"/>
    <cellStyle name="40% - Accent5 6 2 2 2 2 2 2" xfId="25161" xr:uid="{00000000-0005-0000-0000-00002C480000}"/>
    <cellStyle name="40% - Accent5 6 2 2 2 2 3" xfId="22828" xr:uid="{00000000-0005-0000-0000-00002D480000}"/>
    <cellStyle name="40% - Accent5 6 2 2 2 3" xfId="4664" xr:uid="{00000000-0005-0000-0000-00002E480000}"/>
    <cellStyle name="40% - Accent5 6 2 2 2 3 2" xfId="13004" xr:uid="{00000000-0005-0000-0000-00002F480000}"/>
    <cellStyle name="40% - Accent5 6 2 2 2 3 2 2" xfId="26716" xr:uid="{00000000-0005-0000-0000-000030480000}"/>
    <cellStyle name="40% - Accent5 6 2 2 2 3 3" xfId="22827" xr:uid="{00000000-0005-0000-0000-000031480000}"/>
    <cellStyle name="40% - Accent5 6 2 2 2 4" xfId="4665" xr:uid="{00000000-0005-0000-0000-000032480000}"/>
    <cellStyle name="40% - Accent5 6 2 2 2 4 2" xfId="15458" xr:uid="{00000000-0005-0000-0000-000033480000}"/>
    <cellStyle name="40% - Accent5 6 2 2 2 4 2 2" xfId="29007" xr:uid="{00000000-0005-0000-0000-000034480000}"/>
    <cellStyle name="40% - Accent5 6 2 2 2 4 3" xfId="24229" xr:uid="{00000000-0005-0000-0000-000035480000}"/>
    <cellStyle name="40% - Accent5 6 2 2 2 5" xfId="4666" xr:uid="{00000000-0005-0000-0000-000036480000}"/>
    <cellStyle name="40% - Accent5 6 2 2 2 5 2" xfId="16991" xr:uid="{00000000-0005-0000-0000-000037480000}"/>
    <cellStyle name="40% - Accent5 6 2 2 2 5 2 2" xfId="30398" xr:uid="{00000000-0005-0000-0000-000038480000}"/>
    <cellStyle name="40% - Accent5 6 2 2 2 5 3" xfId="25260" xr:uid="{00000000-0005-0000-0000-000039480000}"/>
    <cellStyle name="40% - Accent5 6 2 2 2 6" xfId="9492" xr:uid="{00000000-0005-0000-0000-00003A480000}"/>
    <cellStyle name="40% - Accent5 6 2 2 2 6 2" xfId="23967" xr:uid="{00000000-0005-0000-0000-00003B480000}"/>
    <cellStyle name="40% - Accent5 6 2 2 2 7" xfId="25261" xr:uid="{00000000-0005-0000-0000-00003C480000}"/>
    <cellStyle name="40% - Accent5 6 2 2 3" xfId="4667" xr:uid="{00000000-0005-0000-0000-00003D480000}"/>
    <cellStyle name="40% - Accent5 6 2 2 3 2" xfId="4668" xr:uid="{00000000-0005-0000-0000-00003E480000}"/>
    <cellStyle name="40% - Accent5 6 2 2 3 2 2" xfId="15459" xr:uid="{00000000-0005-0000-0000-00003F480000}"/>
    <cellStyle name="40% - Accent5 6 2 2 3 2 2 2" xfId="29008" xr:uid="{00000000-0005-0000-0000-000040480000}"/>
    <cellStyle name="40% - Accent5 6 2 2 3 2 3" xfId="22825" xr:uid="{00000000-0005-0000-0000-000041480000}"/>
    <cellStyle name="40% - Accent5 6 2 2 3 3" xfId="11218" xr:uid="{00000000-0005-0000-0000-000042480000}"/>
    <cellStyle name="40% - Accent5 6 2 2 3 3 2" xfId="25160" xr:uid="{00000000-0005-0000-0000-000043480000}"/>
    <cellStyle name="40% - Accent5 6 2 2 3 4" xfId="22826" xr:uid="{00000000-0005-0000-0000-000044480000}"/>
    <cellStyle name="40% - Accent5 6 2 2 4" xfId="4669" xr:uid="{00000000-0005-0000-0000-000045480000}"/>
    <cellStyle name="40% - Accent5 6 2 2 4 2" xfId="12379" xr:uid="{00000000-0005-0000-0000-000046480000}"/>
    <cellStyle name="40% - Accent5 6 2 2 4 2 2" xfId="26091" xr:uid="{00000000-0005-0000-0000-000047480000}"/>
    <cellStyle name="40% - Accent5 6 2 2 4 3" xfId="24228" xr:uid="{00000000-0005-0000-0000-000048480000}"/>
    <cellStyle name="40% - Accent5 6 2 2 5" xfId="4670" xr:uid="{00000000-0005-0000-0000-000049480000}"/>
    <cellStyle name="40% - Accent5 6 2 2 5 2" xfId="13003" xr:uid="{00000000-0005-0000-0000-00004A480000}"/>
    <cellStyle name="40% - Accent5 6 2 2 5 2 2" xfId="26715" xr:uid="{00000000-0005-0000-0000-00004B480000}"/>
    <cellStyle name="40% - Accent5 6 2 2 5 3" xfId="22824" xr:uid="{00000000-0005-0000-0000-00004C480000}"/>
    <cellStyle name="40% - Accent5 6 2 2 6" xfId="4671" xr:uid="{00000000-0005-0000-0000-00004D480000}"/>
    <cellStyle name="40% - Accent5 6 2 2 6 2" xfId="13943" xr:uid="{00000000-0005-0000-0000-00004E480000}"/>
    <cellStyle name="40% - Accent5 6 2 2 6 2 2" xfId="27492" xr:uid="{00000000-0005-0000-0000-00004F480000}"/>
    <cellStyle name="40% - Accent5 6 2 2 6 3" xfId="25259" xr:uid="{00000000-0005-0000-0000-000050480000}"/>
    <cellStyle name="40% - Accent5 6 2 2 7" xfId="4672" xr:uid="{00000000-0005-0000-0000-000051480000}"/>
    <cellStyle name="40% - Accent5 6 2 2 7 2" xfId="14524" xr:uid="{00000000-0005-0000-0000-000052480000}"/>
    <cellStyle name="40% - Accent5 6 2 2 7 2 2" xfId="28073" xr:uid="{00000000-0005-0000-0000-000053480000}"/>
    <cellStyle name="40% - Accent5 6 2 2 7 3" xfId="22823" xr:uid="{00000000-0005-0000-0000-000054480000}"/>
    <cellStyle name="40% - Accent5 6 2 2 8" xfId="4673" xr:uid="{00000000-0005-0000-0000-000055480000}"/>
    <cellStyle name="40% - Accent5 6 2 2 8 2" xfId="15457" xr:uid="{00000000-0005-0000-0000-000056480000}"/>
    <cellStyle name="40% - Accent5 6 2 2 8 2 2" xfId="29006" xr:uid="{00000000-0005-0000-0000-000057480000}"/>
    <cellStyle name="40% - Accent5 6 2 2 8 3" xfId="22822" xr:uid="{00000000-0005-0000-0000-000058480000}"/>
    <cellStyle name="40% - Accent5 6 2 2 9" xfId="4674" xr:uid="{00000000-0005-0000-0000-000059480000}"/>
    <cellStyle name="40% - Accent5 6 2 2 9 2" xfId="16410" xr:uid="{00000000-0005-0000-0000-00005A480000}"/>
    <cellStyle name="40% - Accent5 6 2 2 9 2 2" xfId="29817" xr:uid="{00000000-0005-0000-0000-00005B480000}"/>
    <cellStyle name="40% - Accent5 6 2 2 9 3" xfId="24226" xr:uid="{00000000-0005-0000-0000-00005C480000}"/>
    <cellStyle name="40% - Accent5 6 2 3" xfId="4675" xr:uid="{00000000-0005-0000-0000-00005D480000}"/>
    <cellStyle name="40% - Accent5 6 2 3 2" xfId="4676" xr:uid="{00000000-0005-0000-0000-00005E480000}"/>
    <cellStyle name="40% - Accent5 6 2 3 2 2" xfId="11220" xr:uid="{00000000-0005-0000-0000-00005F480000}"/>
    <cellStyle name="40% - Accent5 6 2 3 2 2 2" xfId="25162" xr:uid="{00000000-0005-0000-0000-000060480000}"/>
    <cellStyle name="40% - Accent5 6 2 3 2 3" xfId="25257" xr:uid="{00000000-0005-0000-0000-000061480000}"/>
    <cellStyle name="40% - Accent5 6 2 3 3" xfId="4677" xr:uid="{00000000-0005-0000-0000-000062480000}"/>
    <cellStyle name="40% - Accent5 6 2 3 3 2" xfId="13005" xr:uid="{00000000-0005-0000-0000-000063480000}"/>
    <cellStyle name="40% - Accent5 6 2 3 3 2 2" xfId="26717" xr:uid="{00000000-0005-0000-0000-000064480000}"/>
    <cellStyle name="40% - Accent5 6 2 3 3 3" xfId="22820" xr:uid="{00000000-0005-0000-0000-000065480000}"/>
    <cellStyle name="40% - Accent5 6 2 3 4" xfId="4678" xr:uid="{00000000-0005-0000-0000-000066480000}"/>
    <cellStyle name="40% - Accent5 6 2 3 4 2" xfId="15460" xr:uid="{00000000-0005-0000-0000-000067480000}"/>
    <cellStyle name="40% - Accent5 6 2 3 4 2 2" xfId="29009" xr:uid="{00000000-0005-0000-0000-000068480000}"/>
    <cellStyle name="40% - Accent5 6 2 3 4 3" xfId="24227" xr:uid="{00000000-0005-0000-0000-000069480000}"/>
    <cellStyle name="40% - Accent5 6 2 3 5" xfId="4679" xr:uid="{00000000-0005-0000-0000-00006A480000}"/>
    <cellStyle name="40% - Accent5 6 2 3 5 2" xfId="16702" xr:uid="{00000000-0005-0000-0000-00006B480000}"/>
    <cellStyle name="40% - Accent5 6 2 3 5 2 2" xfId="30109" xr:uid="{00000000-0005-0000-0000-00006C480000}"/>
    <cellStyle name="40% - Accent5 6 2 3 5 3" xfId="25258" xr:uid="{00000000-0005-0000-0000-00006D480000}"/>
    <cellStyle name="40% - Accent5 6 2 3 6" xfId="9493" xr:uid="{00000000-0005-0000-0000-00006E480000}"/>
    <cellStyle name="40% - Accent5 6 2 3 6 2" xfId="23968" xr:uid="{00000000-0005-0000-0000-00006F480000}"/>
    <cellStyle name="40% - Accent5 6 2 3 7" xfId="22821" xr:uid="{00000000-0005-0000-0000-000070480000}"/>
    <cellStyle name="40% - Accent5 6 2 4" xfId="4680" xr:uid="{00000000-0005-0000-0000-000071480000}"/>
    <cellStyle name="40% - Accent5 6 2 4 2" xfId="4681" xr:uid="{00000000-0005-0000-0000-000072480000}"/>
    <cellStyle name="40% - Accent5 6 2 4 2 2" xfId="15461" xr:uid="{00000000-0005-0000-0000-000073480000}"/>
    <cellStyle name="40% - Accent5 6 2 4 2 2 2" xfId="29010" xr:uid="{00000000-0005-0000-0000-000074480000}"/>
    <cellStyle name="40% - Accent5 6 2 4 2 3" xfId="22818" xr:uid="{00000000-0005-0000-0000-000075480000}"/>
    <cellStyle name="40% - Accent5 6 2 4 3" xfId="11217" xr:uid="{00000000-0005-0000-0000-000076480000}"/>
    <cellStyle name="40% - Accent5 6 2 4 3 2" xfId="25159" xr:uid="{00000000-0005-0000-0000-000077480000}"/>
    <cellStyle name="40% - Accent5 6 2 4 4" xfId="22819" xr:uid="{00000000-0005-0000-0000-000078480000}"/>
    <cellStyle name="40% - Accent5 6 2 5" xfId="4682" xr:uid="{00000000-0005-0000-0000-000079480000}"/>
    <cellStyle name="40% - Accent5 6 2 5 2" xfId="12079" xr:uid="{00000000-0005-0000-0000-00007A480000}"/>
    <cellStyle name="40% - Accent5 6 2 5 2 2" xfId="25794" xr:uid="{00000000-0005-0000-0000-00007B480000}"/>
    <cellStyle name="40% - Accent5 6 2 5 3" xfId="22817" xr:uid="{00000000-0005-0000-0000-00007C480000}"/>
    <cellStyle name="40% - Accent5 6 2 6" xfId="4683" xr:uid="{00000000-0005-0000-0000-00007D480000}"/>
    <cellStyle name="40% - Accent5 6 2 6 2" xfId="13002" xr:uid="{00000000-0005-0000-0000-00007E480000}"/>
    <cellStyle name="40% - Accent5 6 2 6 2 2" xfId="26714" xr:uid="{00000000-0005-0000-0000-00007F480000}"/>
    <cellStyle name="40% - Accent5 6 2 6 3" xfId="24225" xr:uid="{00000000-0005-0000-0000-000080480000}"/>
    <cellStyle name="40% - Accent5 6 2 7" xfId="4684" xr:uid="{00000000-0005-0000-0000-000081480000}"/>
    <cellStyle name="40% - Accent5 6 2 7 2" xfId="13654" xr:uid="{00000000-0005-0000-0000-000082480000}"/>
    <cellStyle name="40% - Accent5 6 2 7 2 2" xfId="27203" xr:uid="{00000000-0005-0000-0000-000083480000}"/>
    <cellStyle name="40% - Accent5 6 2 7 3" xfId="22816" xr:uid="{00000000-0005-0000-0000-000084480000}"/>
    <cellStyle name="40% - Accent5 6 2 8" xfId="4685" xr:uid="{00000000-0005-0000-0000-000085480000}"/>
    <cellStyle name="40% - Accent5 6 2 8 2" xfId="14235" xr:uid="{00000000-0005-0000-0000-000086480000}"/>
    <cellStyle name="40% - Accent5 6 2 8 2 2" xfId="27784" xr:uid="{00000000-0005-0000-0000-000087480000}"/>
    <cellStyle name="40% - Accent5 6 2 8 3" xfId="22815" xr:uid="{00000000-0005-0000-0000-000088480000}"/>
    <cellStyle name="40% - Accent5 6 2 9" xfId="4686" xr:uid="{00000000-0005-0000-0000-000089480000}"/>
    <cellStyle name="40% - Accent5 6 2 9 2" xfId="15456" xr:uid="{00000000-0005-0000-0000-00008A480000}"/>
    <cellStyle name="40% - Accent5 6 2 9 2 2" xfId="29005" xr:uid="{00000000-0005-0000-0000-00008B480000}"/>
    <cellStyle name="40% - Accent5 6 2 9 3" xfId="24224" xr:uid="{00000000-0005-0000-0000-00008C480000}"/>
    <cellStyle name="40% - Accent5 6 3" xfId="4687" xr:uid="{00000000-0005-0000-0000-00008D480000}"/>
    <cellStyle name="40% - Accent5 6 3 10" xfId="9494" xr:uid="{00000000-0005-0000-0000-00008E480000}"/>
    <cellStyle name="40% - Accent5 6 3 10 2" xfId="23969" xr:uid="{00000000-0005-0000-0000-00008F480000}"/>
    <cellStyle name="40% - Accent5 6 3 11" xfId="22814" xr:uid="{00000000-0005-0000-0000-000090480000}"/>
    <cellStyle name="40% - Accent5 6 3 2" xfId="4688" xr:uid="{00000000-0005-0000-0000-000091480000}"/>
    <cellStyle name="40% - Accent5 6 3 2 2" xfId="4689" xr:uid="{00000000-0005-0000-0000-000092480000}"/>
    <cellStyle name="40% - Accent5 6 3 2 2 2" xfId="11222" xr:uid="{00000000-0005-0000-0000-000093480000}"/>
    <cellStyle name="40% - Accent5 6 3 2 2 2 2" xfId="25164" xr:uid="{00000000-0005-0000-0000-000094480000}"/>
    <cellStyle name="40% - Accent5 6 3 2 2 3" xfId="26835" xr:uid="{00000000-0005-0000-0000-000095480000}"/>
    <cellStyle name="40% - Accent5 6 3 2 3" xfId="4690" xr:uid="{00000000-0005-0000-0000-000096480000}"/>
    <cellStyle name="40% - Accent5 6 3 2 3 2" xfId="13007" xr:uid="{00000000-0005-0000-0000-000097480000}"/>
    <cellStyle name="40% - Accent5 6 3 2 3 2 2" xfId="26719" xr:uid="{00000000-0005-0000-0000-000098480000}"/>
    <cellStyle name="40% - Accent5 6 3 2 3 3" xfId="22812" xr:uid="{00000000-0005-0000-0000-000099480000}"/>
    <cellStyle name="40% - Accent5 6 3 2 4" xfId="4691" xr:uid="{00000000-0005-0000-0000-00009A480000}"/>
    <cellStyle name="40% - Accent5 6 3 2 4 2" xfId="15463" xr:uid="{00000000-0005-0000-0000-00009B480000}"/>
    <cellStyle name="40% - Accent5 6 3 2 4 2 2" xfId="29012" xr:uid="{00000000-0005-0000-0000-00009C480000}"/>
    <cellStyle name="40% - Accent5 6 3 2 4 3" xfId="22811" xr:uid="{00000000-0005-0000-0000-00009D480000}"/>
    <cellStyle name="40% - Accent5 6 3 2 5" xfId="4692" xr:uid="{00000000-0005-0000-0000-00009E480000}"/>
    <cellStyle name="40% - Accent5 6 3 2 5 2" xfId="16848" xr:uid="{00000000-0005-0000-0000-00009F480000}"/>
    <cellStyle name="40% - Accent5 6 3 2 5 2 2" xfId="30255" xr:uid="{00000000-0005-0000-0000-0000A0480000}"/>
    <cellStyle name="40% - Accent5 6 3 2 5 3" xfId="24223" xr:uid="{00000000-0005-0000-0000-0000A1480000}"/>
    <cellStyle name="40% - Accent5 6 3 2 6" xfId="9495" xr:uid="{00000000-0005-0000-0000-0000A2480000}"/>
    <cellStyle name="40% - Accent5 6 3 2 6 2" xfId="23970" xr:uid="{00000000-0005-0000-0000-0000A3480000}"/>
    <cellStyle name="40% - Accent5 6 3 2 7" xfId="22813" xr:uid="{00000000-0005-0000-0000-0000A4480000}"/>
    <cellStyle name="40% - Accent5 6 3 3" xfId="4693" xr:uid="{00000000-0005-0000-0000-0000A5480000}"/>
    <cellStyle name="40% - Accent5 6 3 3 2" xfId="4694" xr:uid="{00000000-0005-0000-0000-0000A6480000}"/>
    <cellStyle name="40% - Accent5 6 3 3 2 2" xfId="15464" xr:uid="{00000000-0005-0000-0000-0000A7480000}"/>
    <cellStyle name="40% - Accent5 6 3 3 2 2 2" xfId="29013" xr:uid="{00000000-0005-0000-0000-0000A8480000}"/>
    <cellStyle name="40% - Accent5 6 3 3 2 3" xfId="26833" xr:uid="{00000000-0005-0000-0000-0000A9480000}"/>
    <cellStyle name="40% - Accent5 6 3 3 3" xfId="11221" xr:uid="{00000000-0005-0000-0000-0000AA480000}"/>
    <cellStyle name="40% - Accent5 6 3 3 3 2" xfId="25163" xr:uid="{00000000-0005-0000-0000-0000AB480000}"/>
    <cellStyle name="40% - Accent5 6 3 3 4" xfId="22810" xr:uid="{00000000-0005-0000-0000-0000AC480000}"/>
    <cellStyle name="40% - Accent5 6 3 4" xfId="4695" xr:uid="{00000000-0005-0000-0000-0000AD480000}"/>
    <cellStyle name="40% - Accent5 6 3 4 2" xfId="12236" xr:uid="{00000000-0005-0000-0000-0000AE480000}"/>
    <cellStyle name="40% - Accent5 6 3 4 2 2" xfId="25948" xr:uid="{00000000-0005-0000-0000-0000AF480000}"/>
    <cellStyle name="40% - Accent5 6 3 4 3" xfId="22809" xr:uid="{00000000-0005-0000-0000-0000B0480000}"/>
    <cellStyle name="40% - Accent5 6 3 5" xfId="4696" xr:uid="{00000000-0005-0000-0000-0000B1480000}"/>
    <cellStyle name="40% - Accent5 6 3 5 2" xfId="13006" xr:uid="{00000000-0005-0000-0000-0000B2480000}"/>
    <cellStyle name="40% - Accent5 6 3 5 2 2" xfId="26718" xr:uid="{00000000-0005-0000-0000-0000B3480000}"/>
    <cellStyle name="40% - Accent5 6 3 5 3" xfId="22808" xr:uid="{00000000-0005-0000-0000-0000B4480000}"/>
    <cellStyle name="40% - Accent5 6 3 6" xfId="4697" xr:uid="{00000000-0005-0000-0000-0000B5480000}"/>
    <cellStyle name="40% - Accent5 6 3 6 2" xfId="13800" xr:uid="{00000000-0005-0000-0000-0000B6480000}"/>
    <cellStyle name="40% - Accent5 6 3 6 2 2" xfId="27349" xr:uid="{00000000-0005-0000-0000-0000B7480000}"/>
    <cellStyle name="40% - Accent5 6 3 6 3" xfId="24222" xr:uid="{00000000-0005-0000-0000-0000B8480000}"/>
    <cellStyle name="40% - Accent5 6 3 7" xfId="4698" xr:uid="{00000000-0005-0000-0000-0000B9480000}"/>
    <cellStyle name="40% - Accent5 6 3 7 2" xfId="14381" xr:uid="{00000000-0005-0000-0000-0000BA480000}"/>
    <cellStyle name="40% - Accent5 6 3 7 2 2" xfId="27930" xr:uid="{00000000-0005-0000-0000-0000BB480000}"/>
    <cellStyle name="40% - Accent5 6 3 7 3" xfId="22807" xr:uid="{00000000-0005-0000-0000-0000BC480000}"/>
    <cellStyle name="40% - Accent5 6 3 8" xfId="4699" xr:uid="{00000000-0005-0000-0000-0000BD480000}"/>
    <cellStyle name="40% - Accent5 6 3 8 2" xfId="15462" xr:uid="{00000000-0005-0000-0000-0000BE480000}"/>
    <cellStyle name="40% - Accent5 6 3 8 2 2" xfId="29011" xr:uid="{00000000-0005-0000-0000-0000BF480000}"/>
    <cellStyle name="40% - Accent5 6 3 8 3" xfId="22806" xr:uid="{00000000-0005-0000-0000-0000C0480000}"/>
    <cellStyle name="40% - Accent5 6 3 9" xfId="4700" xr:uid="{00000000-0005-0000-0000-0000C1480000}"/>
    <cellStyle name="40% - Accent5 6 3 9 2" xfId="16267" xr:uid="{00000000-0005-0000-0000-0000C2480000}"/>
    <cellStyle name="40% - Accent5 6 3 9 2 2" xfId="29674" xr:uid="{00000000-0005-0000-0000-0000C3480000}"/>
    <cellStyle name="40% - Accent5 6 3 9 3" xfId="23203" xr:uid="{00000000-0005-0000-0000-0000C4480000}"/>
    <cellStyle name="40% - Accent5 6 4" xfId="4701" xr:uid="{00000000-0005-0000-0000-0000C5480000}"/>
    <cellStyle name="40% - Accent5 6 4 2" xfId="4702" xr:uid="{00000000-0005-0000-0000-0000C6480000}"/>
    <cellStyle name="40% - Accent5 6 4 2 2" xfId="11223" xr:uid="{00000000-0005-0000-0000-0000C7480000}"/>
    <cellStyle name="40% - Accent5 6 4 2 2 2" xfId="25165" xr:uid="{00000000-0005-0000-0000-0000C8480000}"/>
    <cellStyle name="40% - Accent5 6 4 2 3" xfId="30686" xr:uid="{00000000-0005-0000-0000-0000C9480000}"/>
    <cellStyle name="40% - Accent5 6 4 3" xfId="4703" xr:uid="{00000000-0005-0000-0000-0000CA480000}"/>
    <cellStyle name="40% - Accent5 6 4 3 2" xfId="13008" xr:uid="{00000000-0005-0000-0000-0000CB480000}"/>
    <cellStyle name="40% - Accent5 6 4 3 2 2" xfId="26720" xr:uid="{00000000-0005-0000-0000-0000CC480000}"/>
    <cellStyle name="40% - Accent5 6 4 3 3" xfId="22805" xr:uid="{00000000-0005-0000-0000-0000CD480000}"/>
    <cellStyle name="40% - Accent5 6 4 4" xfId="4704" xr:uid="{00000000-0005-0000-0000-0000CE480000}"/>
    <cellStyle name="40% - Accent5 6 4 4 2" xfId="15465" xr:uid="{00000000-0005-0000-0000-0000CF480000}"/>
    <cellStyle name="40% - Accent5 6 4 4 2 2" xfId="29014" xr:uid="{00000000-0005-0000-0000-0000D0480000}"/>
    <cellStyle name="40% - Accent5 6 4 4 3" xfId="26832" xr:uid="{00000000-0005-0000-0000-0000D1480000}"/>
    <cellStyle name="40% - Accent5 6 4 5" xfId="4705" xr:uid="{00000000-0005-0000-0000-0000D2480000}"/>
    <cellStyle name="40% - Accent5 6 4 5 2" xfId="16559" xr:uid="{00000000-0005-0000-0000-0000D3480000}"/>
    <cellStyle name="40% - Accent5 6 4 5 2 2" xfId="29966" xr:uid="{00000000-0005-0000-0000-0000D4480000}"/>
    <cellStyle name="40% - Accent5 6 4 5 3" xfId="22804" xr:uid="{00000000-0005-0000-0000-0000D5480000}"/>
    <cellStyle name="40% - Accent5 6 4 6" xfId="9496" xr:uid="{00000000-0005-0000-0000-0000D6480000}"/>
    <cellStyle name="40% - Accent5 6 4 6 2" xfId="23971" xr:uid="{00000000-0005-0000-0000-0000D7480000}"/>
    <cellStyle name="40% - Accent5 6 4 7" xfId="23237" xr:uid="{00000000-0005-0000-0000-0000D8480000}"/>
    <cellStyle name="40% - Accent5 6 5" xfId="4706" xr:uid="{00000000-0005-0000-0000-0000D9480000}"/>
    <cellStyle name="40% - Accent5 6 5 2" xfId="4707" xr:uid="{00000000-0005-0000-0000-0000DA480000}"/>
    <cellStyle name="40% - Accent5 6 5 2 2" xfId="15466" xr:uid="{00000000-0005-0000-0000-0000DB480000}"/>
    <cellStyle name="40% - Accent5 6 5 2 2 2" xfId="29015" xr:uid="{00000000-0005-0000-0000-0000DC480000}"/>
    <cellStyle name="40% - Accent5 6 5 2 3" xfId="23208" xr:uid="{00000000-0005-0000-0000-0000DD480000}"/>
    <cellStyle name="40% - Accent5 6 5 3" xfId="11216" xr:uid="{00000000-0005-0000-0000-0000DE480000}"/>
    <cellStyle name="40% - Accent5 6 5 3 2" xfId="25158" xr:uid="{00000000-0005-0000-0000-0000DF480000}"/>
    <cellStyle name="40% - Accent5 6 5 4" xfId="22803" xr:uid="{00000000-0005-0000-0000-0000E0480000}"/>
    <cellStyle name="40% - Accent5 6 6" xfId="4708" xr:uid="{00000000-0005-0000-0000-0000E1480000}"/>
    <cellStyle name="40% - Accent5 6 6 2" xfId="11934" xr:uid="{00000000-0005-0000-0000-0000E2480000}"/>
    <cellStyle name="40% - Accent5 6 6 2 2" xfId="25649" xr:uid="{00000000-0005-0000-0000-0000E3480000}"/>
    <cellStyle name="40% - Accent5 6 6 3" xfId="26831" xr:uid="{00000000-0005-0000-0000-0000E4480000}"/>
    <cellStyle name="40% - Accent5 6 7" xfId="4709" xr:uid="{00000000-0005-0000-0000-0000E5480000}"/>
    <cellStyle name="40% - Accent5 6 7 2" xfId="13001" xr:uid="{00000000-0005-0000-0000-0000E6480000}"/>
    <cellStyle name="40% - Accent5 6 7 2 2" xfId="26713" xr:uid="{00000000-0005-0000-0000-0000E7480000}"/>
    <cellStyle name="40% - Accent5 6 7 3" xfId="22802" xr:uid="{00000000-0005-0000-0000-0000E8480000}"/>
    <cellStyle name="40% - Accent5 6 8" xfId="4710" xr:uid="{00000000-0005-0000-0000-0000E9480000}"/>
    <cellStyle name="40% - Accent5 6 8 2" xfId="13511" xr:uid="{00000000-0005-0000-0000-0000EA480000}"/>
    <cellStyle name="40% - Accent5 6 8 2 2" xfId="27060" xr:uid="{00000000-0005-0000-0000-0000EB480000}"/>
    <cellStyle name="40% - Accent5 6 8 3" xfId="24220" xr:uid="{00000000-0005-0000-0000-0000EC480000}"/>
    <cellStyle name="40% - Accent5 6 9" xfId="4711" xr:uid="{00000000-0005-0000-0000-0000ED480000}"/>
    <cellStyle name="40% - Accent5 6 9 2" xfId="14092" xr:uid="{00000000-0005-0000-0000-0000EE480000}"/>
    <cellStyle name="40% - Accent5 6 9 2 2" xfId="27641" xr:uid="{00000000-0005-0000-0000-0000EF480000}"/>
    <cellStyle name="40% - Accent5 6 9 3" xfId="22801" xr:uid="{00000000-0005-0000-0000-0000F0480000}"/>
    <cellStyle name="40% - Accent5 7" xfId="4712" xr:uid="{00000000-0005-0000-0000-0000F1480000}"/>
    <cellStyle name="40% - Accent5 7 10" xfId="4713" xr:uid="{00000000-0005-0000-0000-0000F2480000}"/>
    <cellStyle name="40% - Accent5 7 10 2" xfId="15997" xr:uid="{00000000-0005-0000-0000-0000F3480000}"/>
    <cellStyle name="40% - Accent5 7 10 2 2" xfId="29404" xr:uid="{00000000-0005-0000-0000-0000F4480000}"/>
    <cellStyle name="40% - Accent5 7 10 3" xfId="23230" xr:uid="{00000000-0005-0000-0000-0000F5480000}"/>
    <cellStyle name="40% - Accent5 7 11" xfId="9497" xr:uid="{00000000-0005-0000-0000-0000F6480000}"/>
    <cellStyle name="40% - Accent5 7 11 2" xfId="23972" xr:uid="{00000000-0005-0000-0000-0000F7480000}"/>
    <cellStyle name="40% - Accent5 7 12" xfId="22800" xr:uid="{00000000-0005-0000-0000-0000F8480000}"/>
    <cellStyle name="40% - Accent5 7 2" xfId="4714" xr:uid="{00000000-0005-0000-0000-0000F9480000}"/>
    <cellStyle name="40% - Accent5 7 2 10" xfId="9498" xr:uid="{00000000-0005-0000-0000-0000FA480000}"/>
    <cellStyle name="40% - Accent5 7 2 10 2" xfId="23973" xr:uid="{00000000-0005-0000-0000-0000FB480000}"/>
    <cellStyle name="40% - Accent5 7 2 11" xfId="24219" xr:uid="{00000000-0005-0000-0000-0000FC480000}"/>
    <cellStyle name="40% - Accent5 7 2 2" xfId="4715" xr:uid="{00000000-0005-0000-0000-0000FD480000}"/>
    <cellStyle name="40% - Accent5 7 2 2 2" xfId="4716" xr:uid="{00000000-0005-0000-0000-0000FE480000}"/>
    <cellStyle name="40% - Accent5 7 2 2 2 2" xfId="11226" xr:uid="{00000000-0005-0000-0000-0000FF480000}"/>
    <cellStyle name="40% - Accent5 7 2 2 2 2 2" xfId="25168" xr:uid="{00000000-0005-0000-0000-000000490000}"/>
    <cellStyle name="40% - Accent5 7 2 2 2 3" xfId="24218" xr:uid="{00000000-0005-0000-0000-000001490000}"/>
    <cellStyle name="40% - Accent5 7 2 2 3" xfId="4717" xr:uid="{00000000-0005-0000-0000-000002490000}"/>
    <cellStyle name="40% - Accent5 7 2 2 3 2" xfId="13011" xr:uid="{00000000-0005-0000-0000-000003490000}"/>
    <cellStyle name="40% - Accent5 7 2 2 3 2 2" xfId="26723" xr:uid="{00000000-0005-0000-0000-000004490000}"/>
    <cellStyle name="40% - Accent5 7 2 2 3 3" xfId="22798" xr:uid="{00000000-0005-0000-0000-000005490000}"/>
    <cellStyle name="40% - Accent5 7 2 2 4" xfId="4718" xr:uid="{00000000-0005-0000-0000-000006490000}"/>
    <cellStyle name="40% - Accent5 7 2 2 4 2" xfId="15469" xr:uid="{00000000-0005-0000-0000-000007490000}"/>
    <cellStyle name="40% - Accent5 7 2 2 4 2 2" xfId="29018" xr:uid="{00000000-0005-0000-0000-000008490000}"/>
    <cellStyle name="40% - Accent5 7 2 2 4 3" xfId="22797" xr:uid="{00000000-0005-0000-0000-000009490000}"/>
    <cellStyle name="40% - Accent5 7 2 2 5" xfId="4719" xr:uid="{00000000-0005-0000-0000-00000A490000}"/>
    <cellStyle name="40% - Accent5 7 2 2 5 2" xfId="16867" xr:uid="{00000000-0005-0000-0000-00000B490000}"/>
    <cellStyle name="40% - Accent5 7 2 2 5 2 2" xfId="30274" xr:uid="{00000000-0005-0000-0000-00000C490000}"/>
    <cellStyle name="40% - Accent5 7 2 2 5 3" xfId="22796" xr:uid="{00000000-0005-0000-0000-00000D490000}"/>
    <cellStyle name="40% - Accent5 7 2 2 6" xfId="9499" xr:uid="{00000000-0005-0000-0000-00000E490000}"/>
    <cellStyle name="40% - Accent5 7 2 2 6 2" xfId="23974" xr:uid="{00000000-0005-0000-0000-00000F490000}"/>
    <cellStyle name="40% - Accent5 7 2 2 7" xfId="22799" xr:uid="{00000000-0005-0000-0000-000010490000}"/>
    <cellStyle name="40% - Accent5 7 2 3" xfId="4720" xr:uid="{00000000-0005-0000-0000-000011490000}"/>
    <cellStyle name="40% - Accent5 7 2 3 2" xfId="4721" xr:uid="{00000000-0005-0000-0000-000012490000}"/>
    <cellStyle name="40% - Accent5 7 2 3 2 2" xfId="15470" xr:uid="{00000000-0005-0000-0000-000013490000}"/>
    <cellStyle name="40% - Accent5 7 2 3 2 2 2" xfId="29019" xr:uid="{00000000-0005-0000-0000-000014490000}"/>
    <cellStyle name="40% - Accent5 7 2 3 2 3" xfId="26830" xr:uid="{00000000-0005-0000-0000-000015490000}"/>
    <cellStyle name="40% - Accent5 7 2 3 3" xfId="11225" xr:uid="{00000000-0005-0000-0000-000016490000}"/>
    <cellStyle name="40% - Accent5 7 2 3 3 2" xfId="25167" xr:uid="{00000000-0005-0000-0000-000017490000}"/>
    <cellStyle name="40% - Accent5 7 2 3 4" xfId="24463" xr:uid="{00000000-0005-0000-0000-000018490000}"/>
    <cellStyle name="40% - Accent5 7 2 4" xfId="4722" xr:uid="{00000000-0005-0000-0000-000019490000}"/>
    <cellStyle name="40% - Accent5 7 2 4 2" xfId="12255" xr:uid="{00000000-0005-0000-0000-00001A490000}"/>
    <cellStyle name="40% - Accent5 7 2 4 2 2" xfId="25967" xr:uid="{00000000-0005-0000-0000-00001B490000}"/>
    <cellStyle name="40% - Accent5 7 2 4 3" xfId="22795" xr:uid="{00000000-0005-0000-0000-00001C490000}"/>
    <cellStyle name="40% - Accent5 7 2 5" xfId="4723" xr:uid="{00000000-0005-0000-0000-00001D490000}"/>
    <cellStyle name="40% - Accent5 7 2 5 2" xfId="13010" xr:uid="{00000000-0005-0000-0000-00001E490000}"/>
    <cellStyle name="40% - Accent5 7 2 5 2 2" xfId="26722" xr:uid="{00000000-0005-0000-0000-00001F490000}"/>
    <cellStyle name="40% - Accent5 7 2 5 3" xfId="22794" xr:uid="{00000000-0005-0000-0000-000020490000}"/>
    <cellStyle name="40% - Accent5 7 2 6" xfId="4724" xr:uid="{00000000-0005-0000-0000-000021490000}"/>
    <cellStyle name="40% - Accent5 7 2 6 2" xfId="13819" xr:uid="{00000000-0005-0000-0000-000022490000}"/>
    <cellStyle name="40% - Accent5 7 2 6 2 2" xfId="27368" xr:uid="{00000000-0005-0000-0000-000023490000}"/>
    <cellStyle name="40% - Accent5 7 2 6 3" xfId="23242" xr:uid="{00000000-0005-0000-0000-000024490000}"/>
    <cellStyle name="40% - Accent5 7 2 7" xfId="4725" xr:uid="{00000000-0005-0000-0000-000025490000}"/>
    <cellStyle name="40% - Accent5 7 2 7 2" xfId="14400" xr:uid="{00000000-0005-0000-0000-000026490000}"/>
    <cellStyle name="40% - Accent5 7 2 7 2 2" xfId="27949" xr:uid="{00000000-0005-0000-0000-000027490000}"/>
    <cellStyle name="40% - Accent5 7 2 7 3" xfId="23291" xr:uid="{00000000-0005-0000-0000-000028490000}"/>
    <cellStyle name="40% - Accent5 7 2 8" xfId="4726" xr:uid="{00000000-0005-0000-0000-000029490000}"/>
    <cellStyle name="40% - Accent5 7 2 8 2" xfId="15468" xr:uid="{00000000-0005-0000-0000-00002A490000}"/>
    <cellStyle name="40% - Accent5 7 2 8 2 2" xfId="29017" xr:uid="{00000000-0005-0000-0000-00002B490000}"/>
    <cellStyle name="40% - Accent5 7 2 8 3" xfId="22793" xr:uid="{00000000-0005-0000-0000-00002C490000}"/>
    <cellStyle name="40% - Accent5 7 2 9" xfId="4727" xr:uid="{00000000-0005-0000-0000-00002D490000}"/>
    <cellStyle name="40% - Accent5 7 2 9 2" xfId="16286" xr:uid="{00000000-0005-0000-0000-00002E490000}"/>
    <cellStyle name="40% - Accent5 7 2 9 2 2" xfId="29693" xr:uid="{00000000-0005-0000-0000-00002F490000}"/>
    <cellStyle name="40% - Accent5 7 2 9 3" xfId="24217" xr:uid="{00000000-0005-0000-0000-000030490000}"/>
    <cellStyle name="40% - Accent5 7 3" xfId="4728" xr:uid="{00000000-0005-0000-0000-000031490000}"/>
    <cellStyle name="40% - Accent5 7 3 2" xfId="4729" xr:uid="{00000000-0005-0000-0000-000032490000}"/>
    <cellStyle name="40% - Accent5 7 3 2 2" xfId="11227" xr:uid="{00000000-0005-0000-0000-000033490000}"/>
    <cellStyle name="40% - Accent5 7 3 2 2 2" xfId="25169" xr:uid="{00000000-0005-0000-0000-000034490000}"/>
    <cellStyle name="40% - Accent5 7 3 2 3" xfId="24216" xr:uid="{00000000-0005-0000-0000-000035490000}"/>
    <cellStyle name="40% - Accent5 7 3 3" xfId="4730" xr:uid="{00000000-0005-0000-0000-000036490000}"/>
    <cellStyle name="40% - Accent5 7 3 3 2" xfId="13012" xr:uid="{00000000-0005-0000-0000-000037490000}"/>
    <cellStyle name="40% - Accent5 7 3 3 2 2" xfId="26724" xr:uid="{00000000-0005-0000-0000-000038490000}"/>
    <cellStyle name="40% - Accent5 7 3 3 3" xfId="22791" xr:uid="{00000000-0005-0000-0000-000039490000}"/>
    <cellStyle name="40% - Accent5 7 3 4" xfId="4731" xr:uid="{00000000-0005-0000-0000-00003A490000}"/>
    <cellStyle name="40% - Accent5 7 3 4 2" xfId="15471" xr:uid="{00000000-0005-0000-0000-00003B490000}"/>
    <cellStyle name="40% - Accent5 7 3 4 2 2" xfId="29020" xr:uid="{00000000-0005-0000-0000-00003C490000}"/>
    <cellStyle name="40% - Accent5 7 3 4 3" xfId="24215" xr:uid="{00000000-0005-0000-0000-00003D490000}"/>
    <cellStyle name="40% - Accent5 7 3 5" xfId="4732" xr:uid="{00000000-0005-0000-0000-00003E490000}"/>
    <cellStyle name="40% - Accent5 7 3 5 2" xfId="16578" xr:uid="{00000000-0005-0000-0000-00003F490000}"/>
    <cellStyle name="40% - Accent5 7 3 5 2 2" xfId="29985" xr:uid="{00000000-0005-0000-0000-000040490000}"/>
    <cellStyle name="40% - Accent5 7 3 5 3" xfId="22790" xr:uid="{00000000-0005-0000-0000-000041490000}"/>
    <cellStyle name="40% - Accent5 7 3 6" xfId="9500" xr:uid="{00000000-0005-0000-0000-000042490000}"/>
    <cellStyle name="40% - Accent5 7 3 6 2" xfId="23975" xr:uid="{00000000-0005-0000-0000-000043490000}"/>
    <cellStyle name="40% - Accent5 7 3 7" xfId="22792" xr:uid="{00000000-0005-0000-0000-000044490000}"/>
    <cellStyle name="40% - Accent5 7 4" xfId="4733" xr:uid="{00000000-0005-0000-0000-000045490000}"/>
    <cellStyle name="40% - Accent5 7 4 2" xfId="4734" xr:uid="{00000000-0005-0000-0000-000046490000}"/>
    <cellStyle name="40% - Accent5 7 4 2 2" xfId="15472" xr:uid="{00000000-0005-0000-0000-000047490000}"/>
    <cellStyle name="40% - Accent5 7 4 2 2 2" xfId="29021" xr:uid="{00000000-0005-0000-0000-000048490000}"/>
    <cellStyle name="40% - Accent5 7 4 2 3" xfId="22789" xr:uid="{00000000-0005-0000-0000-000049490000}"/>
    <cellStyle name="40% - Accent5 7 4 3" xfId="11224" xr:uid="{00000000-0005-0000-0000-00004A490000}"/>
    <cellStyle name="40% - Accent5 7 4 3 2" xfId="25166" xr:uid="{00000000-0005-0000-0000-00004B490000}"/>
    <cellStyle name="40% - Accent5 7 4 4" xfId="24214" xr:uid="{00000000-0005-0000-0000-00004C490000}"/>
    <cellStyle name="40% - Accent5 7 5" xfId="4735" xr:uid="{00000000-0005-0000-0000-00004D490000}"/>
    <cellStyle name="40% - Accent5 7 5 2" xfId="11953" xr:uid="{00000000-0005-0000-0000-00004E490000}"/>
    <cellStyle name="40% - Accent5 7 5 2 2" xfId="25668" xr:uid="{00000000-0005-0000-0000-00004F490000}"/>
    <cellStyle name="40% - Accent5 7 5 3" xfId="24212" xr:uid="{00000000-0005-0000-0000-000050490000}"/>
    <cellStyle name="40% - Accent5 7 6" xfId="4736" xr:uid="{00000000-0005-0000-0000-000051490000}"/>
    <cellStyle name="40% - Accent5 7 6 2" xfId="13009" xr:uid="{00000000-0005-0000-0000-000052490000}"/>
    <cellStyle name="40% - Accent5 7 6 2 2" xfId="26721" xr:uid="{00000000-0005-0000-0000-000053490000}"/>
    <cellStyle name="40% - Accent5 7 6 3" xfId="24213" xr:uid="{00000000-0005-0000-0000-000054490000}"/>
    <cellStyle name="40% - Accent5 7 7" xfId="4737" xr:uid="{00000000-0005-0000-0000-000055490000}"/>
    <cellStyle name="40% - Accent5 7 7 2" xfId="13530" xr:uid="{00000000-0005-0000-0000-000056490000}"/>
    <cellStyle name="40% - Accent5 7 7 2 2" xfId="27079" xr:uid="{00000000-0005-0000-0000-000057490000}"/>
    <cellStyle name="40% - Accent5 7 7 3" xfId="22788" xr:uid="{00000000-0005-0000-0000-000058490000}"/>
    <cellStyle name="40% - Accent5 7 8" xfId="4738" xr:uid="{00000000-0005-0000-0000-000059490000}"/>
    <cellStyle name="40% - Accent5 7 8 2" xfId="14111" xr:uid="{00000000-0005-0000-0000-00005A490000}"/>
    <cellStyle name="40% - Accent5 7 8 2 2" xfId="27660" xr:uid="{00000000-0005-0000-0000-00005B490000}"/>
    <cellStyle name="40% - Accent5 7 8 3" xfId="22787" xr:uid="{00000000-0005-0000-0000-00005C490000}"/>
    <cellStyle name="40% - Accent5 7 9" xfId="4739" xr:uid="{00000000-0005-0000-0000-00005D490000}"/>
    <cellStyle name="40% - Accent5 7 9 2" xfId="15467" xr:uid="{00000000-0005-0000-0000-00005E490000}"/>
    <cellStyle name="40% - Accent5 7 9 2 2" xfId="29016" xr:uid="{00000000-0005-0000-0000-00005F490000}"/>
    <cellStyle name="40% - Accent5 7 9 3" xfId="24211" xr:uid="{00000000-0005-0000-0000-000060490000}"/>
    <cellStyle name="40% - Accent5 8" xfId="4740" xr:uid="{00000000-0005-0000-0000-000061490000}"/>
    <cellStyle name="40% - Accent5 8 10" xfId="9501" xr:uid="{00000000-0005-0000-0000-000062490000}"/>
    <cellStyle name="40% - Accent5 8 10 2" xfId="23976" xr:uid="{00000000-0005-0000-0000-000063490000}"/>
    <cellStyle name="40% - Accent5 8 11" xfId="26828" xr:uid="{00000000-0005-0000-0000-000064490000}"/>
    <cellStyle name="40% - Accent5 8 2" xfId="4741" xr:uid="{00000000-0005-0000-0000-000065490000}"/>
    <cellStyle name="40% - Accent5 8 2 2" xfId="4742" xr:uid="{00000000-0005-0000-0000-000066490000}"/>
    <cellStyle name="40% - Accent5 8 2 2 2" xfId="11229" xr:uid="{00000000-0005-0000-0000-000067490000}"/>
    <cellStyle name="40% - Accent5 8 2 2 2 2" xfId="25171" xr:uid="{00000000-0005-0000-0000-000068490000}"/>
    <cellStyle name="40% - Accent5 8 2 2 3" xfId="26829" xr:uid="{00000000-0005-0000-0000-000069490000}"/>
    <cellStyle name="40% - Accent5 8 2 3" xfId="4743" xr:uid="{00000000-0005-0000-0000-00006A490000}"/>
    <cellStyle name="40% - Accent5 8 2 3 2" xfId="13014" xr:uid="{00000000-0005-0000-0000-00006B490000}"/>
    <cellStyle name="40% - Accent5 8 2 3 2 2" xfId="26726" xr:uid="{00000000-0005-0000-0000-00006C490000}"/>
    <cellStyle name="40% - Accent5 8 2 3 3" xfId="22785" xr:uid="{00000000-0005-0000-0000-00006D490000}"/>
    <cellStyle name="40% - Accent5 8 2 4" xfId="4744" xr:uid="{00000000-0005-0000-0000-00006E490000}"/>
    <cellStyle name="40% - Accent5 8 2 4 2" xfId="15474" xr:uid="{00000000-0005-0000-0000-00006F490000}"/>
    <cellStyle name="40% - Accent5 8 2 4 2 2" xfId="29023" xr:uid="{00000000-0005-0000-0000-000070490000}"/>
    <cellStyle name="40% - Accent5 8 2 4 3" xfId="22784" xr:uid="{00000000-0005-0000-0000-000071490000}"/>
    <cellStyle name="40% - Accent5 8 2 5" xfId="4745" xr:uid="{00000000-0005-0000-0000-000072490000}"/>
    <cellStyle name="40% - Accent5 8 2 5 2" xfId="16722" xr:uid="{00000000-0005-0000-0000-000073490000}"/>
    <cellStyle name="40% - Accent5 8 2 5 2 2" xfId="30129" xr:uid="{00000000-0005-0000-0000-000074490000}"/>
    <cellStyle name="40% - Accent5 8 2 5 3" xfId="24209" xr:uid="{00000000-0005-0000-0000-000075490000}"/>
    <cellStyle name="40% - Accent5 8 2 6" xfId="9502" xr:uid="{00000000-0005-0000-0000-000076490000}"/>
    <cellStyle name="40% - Accent5 8 2 6 2" xfId="23977" xr:uid="{00000000-0005-0000-0000-000077490000}"/>
    <cellStyle name="40% - Accent5 8 2 7" xfId="22786" xr:uid="{00000000-0005-0000-0000-000078490000}"/>
    <cellStyle name="40% - Accent5 8 3" xfId="4746" xr:uid="{00000000-0005-0000-0000-000079490000}"/>
    <cellStyle name="40% - Accent5 8 3 2" xfId="4747" xr:uid="{00000000-0005-0000-0000-00007A490000}"/>
    <cellStyle name="40% - Accent5 8 3 2 2" xfId="15475" xr:uid="{00000000-0005-0000-0000-00007B490000}"/>
    <cellStyle name="40% - Accent5 8 3 2 2 2" xfId="29024" xr:uid="{00000000-0005-0000-0000-00007C490000}"/>
    <cellStyle name="40% - Accent5 8 3 2 3" xfId="22783" xr:uid="{00000000-0005-0000-0000-00007D490000}"/>
    <cellStyle name="40% - Accent5 8 3 3" xfId="11228" xr:uid="{00000000-0005-0000-0000-00007E490000}"/>
    <cellStyle name="40% - Accent5 8 3 3 2" xfId="25170" xr:uid="{00000000-0005-0000-0000-00007F490000}"/>
    <cellStyle name="40% - Accent5 8 3 4" xfId="24210" xr:uid="{00000000-0005-0000-0000-000080490000}"/>
    <cellStyle name="40% - Accent5 8 4" xfId="4748" xr:uid="{00000000-0005-0000-0000-000081490000}"/>
    <cellStyle name="40% - Accent5 8 4 2" xfId="12100" xr:uid="{00000000-0005-0000-0000-000082490000}"/>
    <cellStyle name="40% - Accent5 8 4 2 2" xfId="25814" xr:uid="{00000000-0005-0000-0000-000083490000}"/>
    <cellStyle name="40% - Accent5 8 4 3" xfId="22782" xr:uid="{00000000-0005-0000-0000-000084490000}"/>
    <cellStyle name="40% - Accent5 8 5" xfId="4749" xr:uid="{00000000-0005-0000-0000-000085490000}"/>
    <cellStyle name="40% - Accent5 8 5 2" xfId="13013" xr:uid="{00000000-0005-0000-0000-000086490000}"/>
    <cellStyle name="40% - Accent5 8 5 2 2" xfId="26725" xr:uid="{00000000-0005-0000-0000-000087490000}"/>
    <cellStyle name="40% - Accent5 8 5 3" xfId="24208" xr:uid="{00000000-0005-0000-0000-000088490000}"/>
    <cellStyle name="40% - Accent5 8 6" xfId="4750" xr:uid="{00000000-0005-0000-0000-000089490000}"/>
    <cellStyle name="40% - Accent5 8 6 2" xfId="13674" xr:uid="{00000000-0005-0000-0000-00008A490000}"/>
    <cellStyle name="40% - Accent5 8 6 2 2" xfId="27223" xr:uid="{00000000-0005-0000-0000-00008B490000}"/>
    <cellStyle name="40% - Accent5 8 6 3" xfId="22781" xr:uid="{00000000-0005-0000-0000-00008C490000}"/>
    <cellStyle name="40% - Accent5 8 7" xfId="4751" xr:uid="{00000000-0005-0000-0000-00008D490000}"/>
    <cellStyle name="40% - Accent5 8 7 2" xfId="14255" xr:uid="{00000000-0005-0000-0000-00008E490000}"/>
    <cellStyle name="40% - Accent5 8 7 2 2" xfId="27804" xr:uid="{00000000-0005-0000-0000-00008F490000}"/>
    <cellStyle name="40% - Accent5 8 7 3" xfId="24205" xr:uid="{00000000-0005-0000-0000-000090490000}"/>
    <cellStyle name="40% - Accent5 8 8" xfId="4752" xr:uid="{00000000-0005-0000-0000-000091490000}"/>
    <cellStyle name="40% - Accent5 8 8 2" xfId="15473" xr:uid="{00000000-0005-0000-0000-000092490000}"/>
    <cellStyle name="40% - Accent5 8 8 2 2" xfId="29022" xr:uid="{00000000-0005-0000-0000-000093490000}"/>
    <cellStyle name="40% - Accent5 8 8 3" xfId="22780" xr:uid="{00000000-0005-0000-0000-000094490000}"/>
    <cellStyle name="40% - Accent5 8 9" xfId="4753" xr:uid="{00000000-0005-0000-0000-000095490000}"/>
    <cellStyle name="40% - Accent5 8 9 2" xfId="16141" xr:uid="{00000000-0005-0000-0000-000096490000}"/>
    <cellStyle name="40% - Accent5 8 9 2 2" xfId="29548" xr:uid="{00000000-0005-0000-0000-000097490000}"/>
    <cellStyle name="40% - Accent5 8 9 3" xfId="25255" xr:uid="{00000000-0005-0000-0000-000098490000}"/>
    <cellStyle name="40% - Accent5 9" xfId="4754" xr:uid="{00000000-0005-0000-0000-000099490000}"/>
    <cellStyle name="40% - Accent5 9 2" xfId="4755" xr:uid="{00000000-0005-0000-0000-00009A490000}"/>
    <cellStyle name="40% - Accent5 9 2 2" xfId="11230" xr:uid="{00000000-0005-0000-0000-00009B490000}"/>
    <cellStyle name="40% - Accent5 9 2 2 2" xfId="25172" xr:uid="{00000000-0005-0000-0000-00009C490000}"/>
    <cellStyle name="40% - Accent5 9 2 3" xfId="24445" xr:uid="{00000000-0005-0000-0000-00009D490000}"/>
    <cellStyle name="40% - Accent5 9 3" xfId="4756" xr:uid="{00000000-0005-0000-0000-00009E490000}"/>
    <cellStyle name="40% - Accent5 9 3 2" xfId="13015" xr:uid="{00000000-0005-0000-0000-00009F490000}"/>
    <cellStyle name="40% - Accent5 9 3 2 2" xfId="26727" xr:uid="{00000000-0005-0000-0000-0000A0490000}"/>
    <cellStyle name="40% - Accent5 9 3 3" xfId="29141" xr:uid="{00000000-0005-0000-0000-0000A1490000}"/>
    <cellStyle name="40% - Accent5 9 4" xfId="4757" xr:uid="{00000000-0005-0000-0000-0000A2490000}"/>
    <cellStyle name="40% - Accent5 9 4 2" xfId="15476" xr:uid="{00000000-0005-0000-0000-0000A3490000}"/>
    <cellStyle name="40% - Accent5 9 4 2 2" xfId="29025" xr:uid="{00000000-0005-0000-0000-0000A4490000}"/>
    <cellStyle name="40% - Accent5 9 4 3" xfId="22778" xr:uid="{00000000-0005-0000-0000-0000A5490000}"/>
    <cellStyle name="40% - Accent5 9 5" xfId="4758" xr:uid="{00000000-0005-0000-0000-0000A6490000}"/>
    <cellStyle name="40% - Accent5 9 5 2" xfId="17106" xr:uid="{00000000-0005-0000-0000-0000A7490000}"/>
    <cellStyle name="40% - Accent5 9 5 2 2" xfId="30465" xr:uid="{00000000-0005-0000-0000-0000A8490000}"/>
    <cellStyle name="40% - Accent5 9 5 3" xfId="22777" xr:uid="{00000000-0005-0000-0000-0000A9490000}"/>
    <cellStyle name="40% - Accent5 9 6" xfId="9503" xr:uid="{00000000-0005-0000-0000-0000AA490000}"/>
    <cellStyle name="40% - Accent5 9 6 2" xfId="23978" xr:uid="{00000000-0005-0000-0000-0000AB490000}"/>
    <cellStyle name="40% - Accent5 9 7" xfId="22779" xr:uid="{00000000-0005-0000-0000-0000AC490000}"/>
    <cellStyle name="40% - Accent6" xfId="48" builtinId="51" customBuiltin="1"/>
    <cellStyle name="40% - Accent6 10" xfId="4759" xr:uid="{00000000-0005-0000-0000-0000AE490000}"/>
    <cellStyle name="40% - Accent6 10 2" xfId="4760" xr:uid="{00000000-0005-0000-0000-0000AF490000}"/>
    <cellStyle name="40% - Accent6 10 2 2" xfId="4761" xr:uid="{00000000-0005-0000-0000-0000B0490000}"/>
    <cellStyle name="40% - Accent6 10 2 2 2" xfId="13018" xr:uid="{00000000-0005-0000-0000-0000B1490000}"/>
    <cellStyle name="40% - Accent6 10 2 2 2 2" xfId="26730" xr:uid="{00000000-0005-0000-0000-0000B2490000}"/>
    <cellStyle name="40% - Accent6 10 2 2 3" xfId="24206" xr:uid="{00000000-0005-0000-0000-0000B3490000}"/>
    <cellStyle name="40% - Accent6 10 2 3" xfId="4762" xr:uid="{00000000-0005-0000-0000-0000B4490000}"/>
    <cellStyle name="40% - Accent6 10 2 3 2" xfId="15479" xr:uid="{00000000-0005-0000-0000-0000B5490000}"/>
    <cellStyle name="40% - Accent6 10 2 3 2 2" xfId="29028" xr:uid="{00000000-0005-0000-0000-0000B6490000}"/>
    <cellStyle name="40% - Accent6 10 2 3 3" xfId="22775" xr:uid="{00000000-0005-0000-0000-0000B7490000}"/>
    <cellStyle name="40% - Accent6 10 2 4" xfId="11232" xr:uid="{00000000-0005-0000-0000-0000B8490000}"/>
    <cellStyle name="40% - Accent6 10 2 4 2" xfId="25174" xr:uid="{00000000-0005-0000-0000-0000B9490000}"/>
    <cellStyle name="40% - Accent6 10 2 5" xfId="22776" xr:uid="{00000000-0005-0000-0000-0000BA490000}"/>
    <cellStyle name="40% - Accent6 10 3" xfId="4763" xr:uid="{00000000-0005-0000-0000-0000BB490000}"/>
    <cellStyle name="40% - Accent6 10 3 2" xfId="13017" xr:uid="{00000000-0005-0000-0000-0000BC490000}"/>
    <cellStyle name="40% - Accent6 10 3 2 2" xfId="26729" xr:uid="{00000000-0005-0000-0000-0000BD490000}"/>
    <cellStyle name="40% - Accent6 10 3 3" xfId="23244" xr:uid="{00000000-0005-0000-0000-0000BE490000}"/>
    <cellStyle name="40% - Accent6 10 4" xfId="4764" xr:uid="{00000000-0005-0000-0000-0000BF490000}"/>
    <cellStyle name="40% - Accent6 10 4 2" xfId="15478" xr:uid="{00000000-0005-0000-0000-0000C0490000}"/>
    <cellStyle name="40% - Accent6 10 4 2 2" xfId="29027" xr:uid="{00000000-0005-0000-0000-0000C1490000}"/>
    <cellStyle name="40% - Accent6 10 4 3" xfId="24204" xr:uid="{00000000-0005-0000-0000-0000C2490000}"/>
    <cellStyle name="40% - Accent6 10 5" xfId="4765" xr:uid="{00000000-0005-0000-0000-0000C3490000}"/>
    <cellStyle name="40% - Accent6 10 5 2" xfId="17196" xr:uid="{00000000-0005-0000-0000-0000C4490000}"/>
    <cellStyle name="40% - Accent6 10 5 2 2" xfId="30555" xr:uid="{00000000-0005-0000-0000-0000C5490000}"/>
    <cellStyle name="40% - Accent6 10 5 3" xfId="22774" xr:uid="{00000000-0005-0000-0000-0000C6490000}"/>
    <cellStyle name="40% - Accent6 10 6" xfId="9505" xr:uid="{00000000-0005-0000-0000-0000C7490000}"/>
    <cellStyle name="40% - Accent6 10 6 2" xfId="23980" xr:uid="{00000000-0005-0000-0000-0000C8490000}"/>
    <cellStyle name="40% - Accent6 10 7" xfId="24207" xr:uid="{00000000-0005-0000-0000-0000C9490000}"/>
    <cellStyle name="40% - Accent6 11" xfId="4766" xr:uid="{00000000-0005-0000-0000-0000CA490000}"/>
    <cellStyle name="40% - Accent6 11 2" xfId="4767" xr:uid="{00000000-0005-0000-0000-0000CB490000}"/>
    <cellStyle name="40% - Accent6 11 2 2" xfId="11233" xr:uid="{00000000-0005-0000-0000-0000CC490000}"/>
    <cellStyle name="40% - Accent6 11 2 2 2" xfId="25175" xr:uid="{00000000-0005-0000-0000-0000CD490000}"/>
    <cellStyle name="40% - Accent6 11 2 3" xfId="22773" xr:uid="{00000000-0005-0000-0000-0000CE490000}"/>
    <cellStyle name="40% - Accent6 11 3" xfId="4768" xr:uid="{00000000-0005-0000-0000-0000CF490000}"/>
    <cellStyle name="40% - Accent6 11 3 2" xfId="13019" xr:uid="{00000000-0005-0000-0000-0000D0490000}"/>
    <cellStyle name="40% - Accent6 11 3 2 2" xfId="26731" xr:uid="{00000000-0005-0000-0000-0000D1490000}"/>
    <cellStyle name="40% - Accent6 11 3 3" xfId="24202" xr:uid="{00000000-0005-0000-0000-0000D2490000}"/>
    <cellStyle name="40% - Accent6 11 4" xfId="4769" xr:uid="{00000000-0005-0000-0000-0000D3490000}"/>
    <cellStyle name="40% - Accent6 11 4 2" xfId="15480" xr:uid="{00000000-0005-0000-0000-0000D4490000}"/>
    <cellStyle name="40% - Accent6 11 4 2 2" xfId="29029" xr:uid="{00000000-0005-0000-0000-0000D5490000}"/>
    <cellStyle name="40% - Accent6 11 4 3" xfId="22772" xr:uid="{00000000-0005-0000-0000-0000D6490000}"/>
    <cellStyle name="40% - Accent6 11 5" xfId="4770" xr:uid="{00000000-0005-0000-0000-0000D7490000}"/>
    <cellStyle name="40% - Accent6 11 5 2" xfId="17285" xr:uid="{00000000-0005-0000-0000-0000D8490000}"/>
    <cellStyle name="40% - Accent6 11 5 2 2" xfId="30644" xr:uid="{00000000-0005-0000-0000-0000D9490000}"/>
    <cellStyle name="40% - Accent6 11 5 3" xfId="24201" xr:uid="{00000000-0005-0000-0000-0000DA490000}"/>
    <cellStyle name="40% - Accent6 11 6" xfId="9506" xr:uid="{00000000-0005-0000-0000-0000DB490000}"/>
    <cellStyle name="40% - Accent6 11 6 2" xfId="23981" xr:uid="{00000000-0005-0000-0000-0000DC490000}"/>
    <cellStyle name="40% - Accent6 11 7" xfId="24203" xr:uid="{00000000-0005-0000-0000-0000DD490000}"/>
    <cellStyle name="40% - Accent6 12" xfId="4771" xr:uid="{00000000-0005-0000-0000-0000DE490000}"/>
    <cellStyle name="40% - Accent6 12 2" xfId="4772" xr:uid="{00000000-0005-0000-0000-0000DF490000}"/>
    <cellStyle name="40% - Accent6 12 2 2" xfId="4773" xr:uid="{00000000-0005-0000-0000-0000E0490000}"/>
    <cellStyle name="40% - Accent6 12 2 2 2" xfId="11235" xr:uid="{00000000-0005-0000-0000-0000E1490000}"/>
    <cellStyle name="40% - Accent6 12 2 2 2 2" xfId="25177" xr:uid="{00000000-0005-0000-0000-0000E2490000}"/>
    <cellStyle name="40% - Accent6 12 2 2 3" xfId="24200" xr:uid="{00000000-0005-0000-0000-0000E3490000}"/>
    <cellStyle name="40% - Accent6 12 2 3" xfId="4774" xr:uid="{00000000-0005-0000-0000-0000E4490000}"/>
    <cellStyle name="40% - Accent6 12 2 3 2" xfId="13021" xr:uid="{00000000-0005-0000-0000-0000E5490000}"/>
    <cellStyle name="40% - Accent6 12 2 3 2 2" xfId="26733" xr:uid="{00000000-0005-0000-0000-0000E6490000}"/>
    <cellStyle name="40% - Accent6 12 2 3 3" xfId="22770" xr:uid="{00000000-0005-0000-0000-0000E7490000}"/>
    <cellStyle name="40% - Accent6 12 2 4" xfId="4775" xr:uid="{00000000-0005-0000-0000-0000E8490000}"/>
    <cellStyle name="40% - Accent6 12 2 4 2" xfId="15482" xr:uid="{00000000-0005-0000-0000-0000E9490000}"/>
    <cellStyle name="40% - Accent6 12 2 4 2 2" xfId="29031" xr:uid="{00000000-0005-0000-0000-0000EA490000}"/>
    <cellStyle name="40% - Accent6 12 2 4 3" xfId="22769" xr:uid="{00000000-0005-0000-0000-0000EB490000}"/>
    <cellStyle name="40% - Accent6 12 2 5" xfId="9508" xr:uid="{00000000-0005-0000-0000-0000EC490000}"/>
    <cellStyle name="40% - Accent6 12 2 5 2" xfId="23983" xr:uid="{00000000-0005-0000-0000-0000ED490000}"/>
    <cellStyle name="40% - Accent6 12 2 6" xfId="24199" xr:uid="{00000000-0005-0000-0000-0000EE490000}"/>
    <cellStyle name="40% - Accent6 12 3" xfId="4776" xr:uid="{00000000-0005-0000-0000-0000EF490000}"/>
    <cellStyle name="40% - Accent6 12 3 2" xfId="11234" xr:uid="{00000000-0005-0000-0000-0000F0490000}"/>
    <cellStyle name="40% - Accent6 12 3 2 2" xfId="25176" xr:uid="{00000000-0005-0000-0000-0000F1490000}"/>
    <cellStyle name="40% - Accent6 12 3 3" xfId="24198" xr:uid="{00000000-0005-0000-0000-0000F2490000}"/>
    <cellStyle name="40% - Accent6 12 4" xfId="4777" xr:uid="{00000000-0005-0000-0000-0000F3490000}"/>
    <cellStyle name="40% - Accent6 12 4 2" xfId="13020" xr:uid="{00000000-0005-0000-0000-0000F4490000}"/>
    <cellStyle name="40% - Accent6 12 4 2 2" xfId="26732" xr:uid="{00000000-0005-0000-0000-0000F5490000}"/>
    <cellStyle name="40% - Accent6 12 4 3" xfId="26826" xr:uid="{00000000-0005-0000-0000-0000F6490000}"/>
    <cellStyle name="40% - Accent6 12 5" xfId="4778" xr:uid="{00000000-0005-0000-0000-0000F7490000}"/>
    <cellStyle name="40% - Accent6 12 5 2" xfId="15481" xr:uid="{00000000-0005-0000-0000-0000F8490000}"/>
    <cellStyle name="40% - Accent6 12 5 2 2" xfId="29030" xr:uid="{00000000-0005-0000-0000-0000F9490000}"/>
    <cellStyle name="40% - Accent6 12 5 3" xfId="22768" xr:uid="{00000000-0005-0000-0000-0000FA490000}"/>
    <cellStyle name="40% - Accent6 12 6" xfId="4779" xr:uid="{00000000-0005-0000-0000-0000FB490000}"/>
    <cellStyle name="40% - Accent6 12 6 2" xfId="16437" xr:uid="{00000000-0005-0000-0000-0000FC490000}"/>
    <cellStyle name="40% - Accent6 12 6 2 2" xfId="29844" xr:uid="{00000000-0005-0000-0000-0000FD490000}"/>
    <cellStyle name="40% - Accent6 12 6 3" xfId="26827" xr:uid="{00000000-0005-0000-0000-0000FE490000}"/>
    <cellStyle name="40% - Accent6 12 7" xfId="9507" xr:uid="{00000000-0005-0000-0000-0000FF490000}"/>
    <cellStyle name="40% - Accent6 12 7 2" xfId="23982" xr:uid="{00000000-0005-0000-0000-0000004A0000}"/>
    <cellStyle name="40% - Accent6 12 8" xfId="22771" xr:uid="{00000000-0005-0000-0000-0000014A0000}"/>
    <cellStyle name="40% - Accent6 13" xfId="4780" xr:uid="{00000000-0005-0000-0000-0000024A0000}"/>
    <cellStyle name="40% - Accent6 13 2" xfId="4781" xr:uid="{00000000-0005-0000-0000-0000034A0000}"/>
    <cellStyle name="40% - Accent6 13 2 2" xfId="11236" xr:uid="{00000000-0005-0000-0000-0000044A0000}"/>
    <cellStyle name="40% - Accent6 13 2 2 2" xfId="25178" xr:uid="{00000000-0005-0000-0000-0000054A0000}"/>
    <cellStyle name="40% - Accent6 13 2 3" xfId="22766" xr:uid="{00000000-0005-0000-0000-0000064A0000}"/>
    <cellStyle name="40% - Accent6 13 3" xfId="4782" xr:uid="{00000000-0005-0000-0000-0000074A0000}"/>
    <cellStyle name="40% - Accent6 13 3 2" xfId="13022" xr:uid="{00000000-0005-0000-0000-0000084A0000}"/>
    <cellStyle name="40% - Accent6 13 3 2 2" xfId="26734" xr:uid="{00000000-0005-0000-0000-0000094A0000}"/>
    <cellStyle name="40% - Accent6 13 3 3" xfId="24196" xr:uid="{00000000-0005-0000-0000-00000A4A0000}"/>
    <cellStyle name="40% - Accent6 13 4" xfId="4783" xr:uid="{00000000-0005-0000-0000-00000B4A0000}"/>
    <cellStyle name="40% - Accent6 13 4 2" xfId="15483" xr:uid="{00000000-0005-0000-0000-00000C4A0000}"/>
    <cellStyle name="40% - Accent6 13 4 2 2" xfId="29032" xr:uid="{00000000-0005-0000-0000-00000D4A0000}"/>
    <cellStyle name="40% - Accent6 13 4 3" xfId="24197" xr:uid="{00000000-0005-0000-0000-00000E4A0000}"/>
    <cellStyle name="40% - Accent6 13 5" xfId="9509" xr:uid="{00000000-0005-0000-0000-00000F4A0000}"/>
    <cellStyle name="40% - Accent6 13 5 2" xfId="23984" xr:uid="{00000000-0005-0000-0000-0000104A0000}"/>
    <cellStyle name="40% - Accent6 13 6" xfId="22767" xr:uid="{00000000-0005-0000-0000-0000114A0000}"/>
    <cellStyle name="40% - Accent6 14" xfId="4784" xr:uid="{00000000-0005-0000-0000-0000124A0000}"/>
    <cellStyle name="40% - Accent6 14 2" xfId="4785" xr:uid="{00000000-0005-0000-0000-0000134A0000}"/>
    <cellStyle name="40% - Accent6 14 2 2" xfId="11237" xr:uid="{00000000-0005-0000-0000-0000144A0000}"/>
    <cellStyle name="40% - Accent6 14 2 2 2" xfId="25179" xr:uid="{00000000-0005-0000-0000-0000154A0000}"/>
    <cellStyle name="40% - Accent6 14 2 3" xfId="22764" xr:uid="{00000000-0005-0000-0000-0000164A0000}"/>
    <cellStyle name="40% - Accent6 14 3" xfId="4786" xr:uid="{00000000-0005-0000-0000-0000174A0000}"/>
    <cellStyle name="40% - Accent6 14 3 2" xfId="13023" xr:uid="{00000000-0005-0000-0000-0000184A0000}"/>
    <cellStyle name="40% - Accent6 14 3 2 2" xfId="26735" xr:uid="{00000000-0005-0000-0000-0000194A0000}"/>
    <cellStyle name="40% - Accent6 14 3 3" xfId="24195" xr:uid="{00000000-0005-0000-0000-00001A4A0000}"/>
    <cellStyle name="40% - Accent6 14 4" xfId="4787" xr:uid="{00000000-0005-0000-0000-00001B4A0000}"/>
    <cellStyle name="40% - Accent6 14 4 2" xfId="15484" xr:uid="{00000000-0005-0000-0000-00001C4A0000}"/>
    <cellStyle name="40% - Accent6 14 4 2 2" xfId="29033" xr:uid="{00000000-0005-0000-0000-00001D4A0000}"/>
    <cellStyle name="40% - Accent6 14 4 3" xfId="22763" xr:uid="{00000000-0005-0000-0000-00001E4A0000}"/>
    <cellStyle name="40% - Accent6 14 5" xfId="9510" xr:uid="{00000000-0005-0000-0000-00001F4A0000}"/>
    <cellStyle name="40% - Accent6 14 5 2" xfId="23985" xr:uid="{00000000-0005-0000-0000-0000204A0000}"/>
    <cellStyle name="40% - Accent6 14 6" xfId="22765" xr:uid="{00000000-0005-0000-0000-0000214A0000}"/>
    <cellStyle name="40% - Accent6 15" xfId="4788" xr:uid="{00000000-0005-0000-0000-0000224A0000}"/>
    <cellStyle name="40% - Accent6 15 2" xfId="4789" xr:uid="{00000000-0005-0000-0000-0000234A0000}"/>
    <cellStyle name="40% - Accent6 15 2 2" xfId="11238" xr:uid="{00000000-0005-0000-0000-0000244A0000}"/>
    <cellStyle name="40% - Accent6 15 2 2 2" xfId="25180" xr:uid="{00000000-0005-0000-0000-0000254A0000}"/>
    <cellStyle name="40% - Accent6 15 2 3" xfId="22762" xr:uid="{00000000-0005-0000-0000-0000264A0000}"/>
    <cellStyle name="40% - Accent6 15 3" xfId="4790" xr:uid="{00000000-0005-0000-0000-0000274A0000}"/>
    <cellStyle name="40% - Accent6 15 3 2" xfId="13024" xr:uid="{00000000-0005-0000-0000-0000284A0000}"/>
    <cellStyle name="40% - Accent6 15 3 2 2" xfId="26736" xr:uid="{00000000-0005-0000-0000-0000294A0000}"/>
    <cellStyle name="40% - Accent6 15 3 3" xfId="25254" xr:uid="{00000000-0005-0000-0000-00002A4A0000}"/>
    <cellStyle name="40% - Accent6 15 4" xfId="4791" xr:uid="{00000000-0005-0000-0000-00002B4A0000}"/>
    <cellStyle name="40% - Accent6 15 4 2" xfId="15485" xr:uid="{00000000-0005-0000-0000-00002C4A0000}"/>
    <cellStyle name="40% - Accent6 15 4 2 2" xfId="29034" xr:uid="{00000000-0005-0000-0000-00002D4A0000}"/>
    <cellStyle name="40% - Accent6 15 4 3" xfId="22761" xr:uid="{00000000-0005-0000-0000-00002E4A0000}"/>
    <cellStyle name="40% - Accent6 15 5" xfId="9511" xr:uid="{00000000-0005-0000-0000-00002F4A0000}"/>
    <cellStyle name="40% - Accent6 15 5 2" xfId="23986" xr:uid="{00000000-0005-0000-0000-0000304A0000}"/>
    <cellStyle name="40% - Accent6 15 6" xfId="24192" xr:uid="{00000000-0005-0000-0000-0000314A0000}"/>
    <cellStyle name="40% - Accent6 16" xfId="4792" xr:uid="{00000000-0005-0000-0000-0000324A0000}"/>
    <cellStyle name="40% - Accent6 16 2" xfId="4793" xr:uid="{00000000-0005-0000-0000-0000334A0000}"/>
    <cellStyle name="40% - Accent6 16 2 2" xfId="11239" xr:uid="{00000000-0005-0000-0000-0000344A0000}"/>
    <cellStyle name="40% - Accent6 16 2 2 2" xfId="25181" xr:uid="{00000000-0005-0000-0000-0000354A0000}"/>
    <cellStyle name="40% - Accent6 16 2 3" xfId="29140" xr:uid="{00000000-0005-0000-0000-0000364A0000}"/>
    <cellStyle name="40% - Accent6 16 3" xfId="4794" xr:uid="{00000000-0005-0000-0000-0000374A0000}"/>
    <cellStyle name="40% - Accent6 16 3 2" xfId="13025" xr:uid="{00000000-0005-0000-0000-0000384A0000}"/>
    <cellStyle name="40% - Accent6 16 3 2 2" xfId="26737" xr:uid="{00000000-0005-0000-0000-0000394A0000}"/>
    <cellStyle name="40% - Accent6 16 3 3" xfId="22760" xr:uid="{00000000-0005-0000-0000-00003A4A0000}"/>
    <cellStyle name="40% - Accent6 16 4" xfId="4795" xr:uid="{00000000-0005-0000-0000-00003B4A0000}"/>
    <cellStyle name="40% - Accent6 16 4 2" xfId="15486" xr:uid="{00000000-0005-0000-0000-00003C4A0000}"/>
    <cellStyle name="40% - Accent6 16 4 2 2" xfId="29035" xr:uid="{00000000-0005-0000-0000-00003D4A0000}"/>
    <cellStyle name="40% - Accent6 16 4 3" xfId="22759" xr:uid="{00000000-0005-0000-0000-00003E4A0000}"/>
    <cellStyle name="40% - Accent6 16 5" xfId="9512" xr:uid="{00000000-0005-0000-0000-00003F4A0000}"/>
    <cellStyle name="40% - Accent6 16 5 2" xfId="23987" xr:uid="{00000000-0005-0000-0000-0000404A0000}"/>
    <cellStyle name="40% - Accent6 16 6" xfId="24444" xr:uid="{00000000-0005-0000-0000-0000414A0000}"/>
    <cellStyle name="40% - Accent6 17" xfId="4796" xr:uid="{00000000-0005-0000-0000-0000424A0000}"/>
    <cellStyle name="40% - Accent6 17 2" xfId="4797" xr:uid="{00000000-0005-0000-0000-0000434A0000}"/>
    <cellStyle name="40% - Accent6 17 2 2" xfId="11240" xr:uid="{00000000-0005-0000-0000-0000444A0000}"/>
    <cellStyle name="40% - Accent6 17 2 2 2" xfId="25182" xr:uid="{00000000-0005-0000-0000-0000454A0000}"/>
    <cellStyle name="40% - Accent6 17 2 3" xfId="22758" xr:uid="{00000000-0005-0000-0000-0000464A0000}"/>
    <cellStyle name="40% - Accent6 17 3" xfId="4798" xr:uid="{00000000-0005-0000-0000-0000474A0000}"/>
    <cellStyle name="40% - Accent6 17 3 2" xfId="13026" xr:uid="{00000000-0005-0000-0000-0000484A0000}"/>
    <cellStyle name="40% - Accent6 17 3 2 2" xfId="26738" xr:uid="{00000000-0005-0000-0000-0000494A0000}"/>
    <cellStyle name="40% - Accent6 17 3 3" xfId="24193" xr:uid="{00000000-0005-0000-0000-00004A4A0000}"/>
    <cellStyle name="40% - Accent6 17 4" xfId="4799" xr:uid="{00000000-0005-0000-0000-00004B4A0000}"/>
    <cellStyle name="40% - Accent6 17 4 2" xfId="15487" xr:uid="{00000000-0005-0000-0000-00004C4A0000}"/>
    <cellStyle name="40% - Accent6 17 4 2 2" xfId="29036" xr:uid="{00000000-0005-0000-0000-00004D4A0000}"/>
    <cellStyle name="40% - Accent6 17 4 3" xfId="22757" xr:uid="{00000000-0005-0000-0000-00004E4A0000}"/>
    <cellStyle name="40% - Accent6 17 5" xfId="9513" xr:uid="{00000000-0005-0000-0000-00004F4A0000}"/>
    <cellStyle name="40% - Accent6 17 5 2" xfId="23988" xr:uid="{00000000-0005-0000-0000-0000504A0000}"/>
    <cellStyle name="40% - Accent6 17 6" xfId="24194" xr:uid="{00000000-0005-0000-0000-0000514A0000}"/>
    <cellStyle name="40% - Accent6 18" xfId="4800" xr:uid="{00000000-0005-0000-0000-0000524A0000}"/>
    <cellStyle name="40% - Accent6 18 2" xfId="4801" xr:uid="{00000000-0005-0000-0000-0000534A0000}"/>
    <cellStyle name="40% - Accent6 18 2 2" xfId="11241" xr:uid="{00000000-0005-0000-0000-0000544A0000}"/>
    <cellStyle name="40% - Accent6 18 2 2 2" xfId="25183" xr:uid="{00000000-0005-0000-0000-0000554A0000}"/>
    <cellStyle name="40% - Accent6 18 2 3" xfId="24191" xr:uid="{00000000-0005-0000-0000-0000564A0000}"/>
    <cellStyle name="40% - Accent6 18 3" xfId="4802" xr:uid="{00000000-0005-0000-0000-0000574A0000}"/>
    <cellStyle name="40% - Accent6 18 3 2" xfId="13027" xr:uid="{00000000-0005-0000-0000-0000584A0000}"/>
    <cellStyle name="40% - Accent6 18 3 2 2" xfId="26739" xr:uid="{00000000-0005-0000-0000-0000594A0000}"/>
    <cellStyle name="40% - Accent6 18 3 3" xfId="22756" xr:uid="{00000000-0005-0000-0000-00005A4A0000}"/>
    <cellStyle name="40% - Accent6 18 4" xfId="4803" xr:uid="{00000000-0005-0000-0000-00005B4A0000}"/>
    <cellStyle name="40% - Accent6 18 4 2" xfId="15488" xr:uid="{00000000-0005-0000-0000-00005C4A0000}"/>
    <cellStyle name="40% - Accent6 18 4 2 2" xfId="29037" xr:uid="{00000000-0005-0000-0000-00005D4A0000}"/>
    <cellStyle name="40% - Accent6 18 4 3" xfId="24190" xr:uid="{00000000-0005-0000-0000-00005E4A0000}"/>
    <cellStyle name="40% - Accent6 18 5" xfId="9514" xr:uid="{00000000-0005-0000-0000-00005F4A0000}"/>
    <cellStyle name="40% - Accent6 18 5 2" xfId="23989" xr:uid="{00000000-0005-0000-0000-0000604A0000}"/>
    <cellStyle name="40% - Accent6 18 6" xfId="23243" xr:uid="{00000000-0005-0000-0000-0000614A0000}"/>
    <cellStyle name="40% - Accent6 19" xfId="4804" xr:uid="{00000000-0005-0000-0000-0000624A0000}"/>
    <cellStyle name="40% - Accent6 19 2" xfId="4805" xr:uid="{00000000-0005-0000-0000-0000634A0000}"/>
    <cellStyle name="40% - Accent6 19 2 2" xfId="11721" xr:uid="{00000000-0005-0000-0000-0000644A0000}"/>
    <cellStyle name="40% - Accent6 19 2 2 2" xfId="25441" xr:uid="{00000000-0005-0000-0000-0000654A0000}"/>
    <cellStyle name="40% - Accent6 19 2 3" xfId="24189" xr:uid="{00000000-0005-0000-0000-0000664A0000}"/>
    <cellStyle name="40% - Accent6 19 3" xfId="4806" xr:uid="{00000000-0005-0000-0000-0000674A0000}"/>
    <cellStyle name="40% - Accent6 19 3 2" xfId="13028" xr:uid="{00000000-0005-0000-0000-0000684A0000}"/>
    <cellStyle name="40% - Accent6 19 3 2 2" xfId="26740" xr:uid="{00000000-0005-0000-0000-0000694A0000}"/>
    <cellStyle name="40% - Accent6 19 3 3" xfId="22754" xr:uid="{00000000-0005-0000-0000-00006A4A0000}"/>
    <cellStyle name="40% - Accent6 19 4" xfId="4807" xr:uid="{00000000-0005-0000-0000-00006B4A0000}"/>
    <cellStyle name="40% - Accent6 19 4 2" xfId="15489" xr:uid="{00000000-0005-0000-0000-00006C4A0000}"/>
    <cellStyle name="40% - Accent6 19 4 2 2" xfId="29038" xr:uid="{00000000-0005-0000-0000-00006D4A0000}"/>
    <cellStyle name="40% - Accent6 19 4 3" xfId="24188" xr:uid="{00000000-0005-0000-0000-00006E4A0000}"/>
    <cellStyle name="40% - Accent6 19 5" xfId="10473" xr:uid="{00000000-0005-0000-0000-00006F4A0000}"/>
    <cellStyle name="40% - Accent6 19 5 2" xfId="24432" xr:uid="{00000000-0005-0000-0000-0000704A0000}"/>
    <cellStyle name="40% - Accent6 19 6" xfId="22755" xr:uid="{00000000-0005-0000-0000-0000714A0000}"/>
    <cellStyle name="40% - Accent6 2" xfId="4808" xr:uid="{00000000-0005-0000-0000-0000724A0000}"/>
    <cellStyle name="40% - Accent6 2 10" xfId="4809" xr:uid="{00000000-0005-0000-0000-0000734A0000}"/>
    <cellStyle name="40% - Accent6 2 10 2" xfId="4810" xr:uid="{00000000-0005-0000-0000-0000744A0000}"/>
    <cellStyle name="40% - Accent6 2 10 2 2" xfId="15491" xr:uid="{00000000-0005-0000-0000-0000754A0000}"/>
    <cellStyle name="40% - Accent6 2 10 2 2 2" xfId="29040" xr:uid="{00000000-0005-0000-0000-0000764A0000}"/>
    <cellStyle name="40% - Accent6 2 10 2 3" xfId="24187" xr:uid="{00000000-0005-0000-0000-0000774A0000}"/>
    <cellStyle name="40% - Accent6 2 10 3" xfId="11849" xr:uid="{00000000-0005-0000-0000-0000784A0000}"/>
    <cellStyle name="40% - Accent6 2 10 3 2" xfId="25564" xr:uid="{00000000-0005-0000-0000-0000794A0000}"/>
    <cellStyle name="40% - Accent6 2 10 4" xfId="24186" xr:uid="{00000000-0005-0000-0000-00007A4A0000}"/>
    <cellStyle name="40% - Accent6 2 11" xfId="4811" xr:uid="{00000000-0005-0000-0000-00007B4A0000}"/>
    <cellStyle name="40% - Accent6 2 11 2" xfId="13029" xr:uid="{00000000-0005-0000-0000-00007C4A0000}"/>
    <cellStyle name="40% - Accent6 2 11 2 2" xfId="26741" xr:uid="{00000000-0005-0000-0000-00007D4A0000}"/>
    <cellStyle name="40% - Accent6 2 11 3" xfId="22752" xr:uid="{00000000-0005-0000-0000-00007E4A0000}"/>
    <cellStyle name="40% - Accent6 2 12" xfId="4812" xr:uid="{00000000-0005-0000-0000-00007F4A0000}"/>
    <cellStyle name="40% - Accent6 2 12 2" xfId="13446" xr:uid="{00000000-0005-0000-0000-0000804A0000}"/>
    <cellStyle name="40% - Accent6 2 12 2 2" xfId="26995" xr:uid="{00000000-0005-0000-0000-0000814A0000}"/>
    <cellStyle name="40% - Accent6 2 12 3" xfId="22751" xr:uid="{00000000-0005-0000-0000-0000824A0000}"/>
    <cellStyle name="40% - Accent6 2 13" xfId="4813" xr:uid="{00000000-0005-0000-0000-0000834A0000}"/>
    <cellStyle name="40% - Accent6 2 13 2" xfId="14027" xr:uid="{00000000-0005-0000-0000-0000844A0000}"/>
    <cellStyle name="40% - Accent6 2 13 2 2" xfId="27576" xr:uid="{00000000-0005-0000-0000-0000854A0000}"/>
    <cellStyle name="40% - Accent6 2 13 3" xfId="24185" xr:uid="{00000000-0005-0000-0000-0000864A0000}"/>
    <cellStyle name="40% - Accent6 2 14" xfId="4814" xr:uid="{00000000-0005-0000-0000-0000874A0000}"/>
    <cellStyle name="40% - Accent6 2 14 2" xfId="15490" xr:uid="{00000000-0005-0000-0000-0000884A0000}"/>
    <cellStyle name="40% - Accent6 2 14 2 2" xfId="29039" xr:uid="{00000000-0005-0000-0000-0000894A0000}"/>
    <cellStyle name="40% - Accent6 2 14 3" xfId="26824" xr:uid="{00000000-0005-0000-0000-00008A4A0000}"/>
    <cellStyle name="40% - Accent6 2 15" xfId="4815" xr:uid="{00000000-0005-0000-0000-00008B4A0000}"/>
    <cellStyle name="40% - Accent6 2 15 2" xfId="15913" xr:uid="{00000000-0005-0000-0000-00008C4A0000}"/>
    <cellStyle name="40% - Accent6 2 15 2 2" xfId="29320" xr:uid="{00000000-0005-0000-0000-00008D4A0000}"/>
    <cellStyle name="40% - Accent6 2 15 3" xfId="22750" xr:uid="{00000000-0005-0000-0000-00008E4A0000}"/>
    <cellStyle name="40% - Accent6 2 16" xfId="9515" xr:uid="{00000000-0005-0000-0000-00008F4A0000}"/>
    <cellStyle name="40% - Accent6 2 16 2" xfId="23990" xr:uid="{00000000-0005-0000-0000-0000904A0000}"/>
    <cellStyle name="40% - Accent6 2 17" xfId="22753" xr:uid="{00000000-0005-0000-0000-0000914A0000}"/>
    <cellStyle name="40% - Accent6 2 18" xfId="33083" xr:uid="{00000000-0005-0000-0000-0000924A0000}"/>
    <cellStyle name="40% - Accent6 2 2" xfId="4816" xr:uid="{00000000-0005-0000-0000-0000934A0000}"/>
    <cellStyle name="40% - Accent6 2 2 10" xfId="4817" xr:uid="{00000000-0005-0000-0000-0000944A0000}"/>
    <cellStyle name="40% - Accent6 2 2 10 2" xfId="15492" xr:uid="{00000000-0005-0000-0000-0000954A0000}"/>
    <cellStyle name="40% - Accent6 2 2 10 2 2" xfId="29041" xr:uid="{00000000-0005-0000-0000-0000964A0000}"/>
    <cellStyle name="40% - Accent6 2 2 10 3" xfId="22749" xr:uid="{00000000-0005-0000-0000-0000974A0000}"/>
    <cellStyle name="40% - Accent6 2 2 11" xfId="4818" xr:uid="{00000000-0005-0000-0000-0000984A0000}"/>
    <cellStyle name="40% - Accent6 2 2 11 2" xfId="15959" xr:uid="{00000000-0005-0000-0000-0000994A0000}"/>
    <cellStyle name="40% - Accent6 2 2 11 2 2" xfId="29366" xr:uid="{00000000-0005-0000-0000-00009A4A0000}"/>
    <cellStyle name="40% - Accent6 2 2 11 3" xfId="22748" xr:uid="{00000000-0005-0000-0000-00009B4A0000}"/>
    <cellStyle name="40% - Accent6 2 2 12" xfId="9516" xr:uid="{00000000-0005-0000-0000-00009C4A0000}"/>
    <cellStyle name="40% - Accent6 2 2 12 2" xfId="23991" xr:uid="{00000000-0005-0000-0000-00009D4A0000}"/>
    <cellStyle name="40% - Accent6 2 2 13" xfId="26825" xr:uid="{00000000-0005-0000-0000-00009E4A0000}"/>
    <cellStyle name="40% - Accent6 2 2 2" xfId="4819" xr:uid="{00000000-0005-0000-0000-00009F4A0000}"/>
    <cellStyle name="40% - Accent6 2 2 2 10" xfId="4820" xr:uid="{00000000-0005-0000-0000-0000A04A0000}"/>
    <cellStyle name="40% - Accent6 2 2 2 10 2" xfId="16102" xr:uid="{00000000-0005-0000-0000-0000A14A0000}"/>
    <cellStyle name="40% - Accent6 2 2 2 10 2 2" xfId="29509" xr:uid="{00000000-0005-0000-0000-0000A24A0000}"/>
    <cellStyle name="40% - Accent6 2 2 2 10 3" xfId="24184" xr:uid="{00000000-0005-0000-0000-0000A34A0000}"/>
    <cellStyle name="40% - Accent6 2 2 2 11" xfId="9517" xr:uid="{00000000-0005-0000-0000-0000A44A0000}"/>
    <cellStyle name="40% - Accent6 2 2 2 11 2" xfId="23992" xr:uid="{00000000-0005-0000-0000-0000A54A0000}"/>
    <cellStyle name="40% - Accent6 2 2 2 12" xfId="24183" xr:uid="{00000000-0005-0000-0000-0000A64A0000}"/>
    <cellStyle name="40% - Accent6 2 2 2 2" xfId="4821" xr:uid="{00000000-0005-0000-0000-0000A74A0000}"/>
    <cellStyle name="40% - Accent6 2 2 2 2 10" xfId="9518" xr:uid="{00000000-0005-0000-0000-0000A84A0000}"/>
    <cellStyle name="40% - Accent6 2 2 2 2 10 2" xfId="23993" xr:uid="{00000000-0005-0000-0000-0000A94A0000}"/>
    <cellStyle name="40% - Accent6 2 2 2 2 11" xfId="22747" xr:uid="{00000000-0005-0000-0000-0000AA4A0000}"/>
    <cellStyle name="40% - Accent6 2 2 2 2 2" xfId="4822" xr:uid="{00000000-0005-0000-0000-0000AB4A0000}"/>
    <cellStyle name="40% - Accent6 2 2 2 2 2 2" xfId="4823" xr:uid="{00000000-0005-0000-0000-0000AC4A0000}"/>
    <cellStyle name="40% - Accent6 2 2 2 2 2 2 2" xfId="11246" xr:uid="{00000000-0005-0000-0000-0000AD4A0000}"/>
    <cellStyle name="40% - Accent6 2 2 2 2 2 2 2 2" xfId="25188" xr:uid="{00000000-0005-0000-0000-0000AE4A0000}"/>
    <cellStyle name="40% - Accent6 2 2 2 2 2 2 3" xfId="24182" xr:uid="{00000000-0005-0000-0000-0000AF4A0000}"/>
    <cellStyle name="40% - Accent6 2 2 2 2 2 3" xfId="4824" xr:uid="{00000000-0005-0000-0000-0000B04A0000}"/>
    <cellStyle name="40% - Accent6 2 2 2 2 2 3 2" xfId="13033" xr:uid="{00000000-0005-0000-0000-0000B14A0000}"/>
    <cellStyle name="40% - Accent6 2 2 2 2 2 3 2 2" xfId="26745" xr:uid="{00000000-0005-0000-0000-0000B24A0000}"/>
    <cellStyle name="40% - Accent6 2 2 2 2 2 3 3" xfId="22745" xr:uid="{00000000-0005-0000-0000-0000B34A0000}"/>
    <cellStyle name="40% - Accent6 2 2 2 2 2 4" xfId="4825" xr:uid="{00000000-0005-0000-0000-0000B44A0000}"/>
    <cellStyle name="40% - Accent6 2 2 2 2 2 4 2" xfId="15495" xr:uid="{00000000-0005-0000-0000-0000B54A0000}"/>
    <cellStyle name="40% - Accent6 2 2 2 2 2 4 2 2" xfId="29044" xr:uid="{00000000-0005-0000-0000-0000B64A0000}"/>
    <cellStyle name="40% - Accent6 2 2 2 2 2 4 3" xfId="24179" xr:uid="{00000000-0005-0000-0000-0000B74A0000}"/>
    <cellStyle name="40% - Accent6 2 2 2 2 2 5" xfId="4826" xr:uid="{00000000-0005-0000-0000-0000B84A0000}"/>
    <cellStyle name="40% - Accent6 2 2 2 2 2 5 2" xfId="16972" xr:uid="{00000000-0005-0000-0000-0000B94A0000}"/>
    <cellStyle name="40% - Accent6 2 2 2 2 2 5 2 2" xfId="30379" xr:uid="{00000000-0005-0000-0000-0000BA4A0000}"/>
    <cellStyle name="40% - Accent6 2 2 2 2 2 5 3" xfId="22744" xr:uid="{00000000-0005-0000-0000-0000BB4A0000}"/>
    <cellStyle name="40% - Accent6 2 2 2 2 2 6" xfId="9519" xr:uid="{00000000-0005-0000-0000-0000BC4A0000}"/>
    <cellStyle name="40% - Accent6 2 2 2 2 2 6 2" xfId="23994" xr:uid="{00000000-0005-0000-0000-0000BD4A0000}"/>
    <cellStyle name="40% - Accent6 2 2 2 2 2 7" xfId="22746" xr:uid="{00000000-0005-0000-0000-0000BE4A0000}"/>
    <cellStyle name="40% - Accent6 2 2 2 2 3" xfId="4827" xr:uid="{00000000-0005-0000-0000-0000BF4A0000}"/>
    <cellStyle name="40% - Accent6 2 2 2 2 3 2" xfId="4828" xr:uid="{00000000-0005-0000-0000-0000C04A0000}"/>
    <cellStyle name="40% - Accent6 2 2 2 2 3 2 2" xfId="15496" xr:uid="{00000000-0005-0000-0000-0000C14A0000}"/>
    <cellStyle name="40% - Accent6 2 2 2 2 3 2 2 2" xfId="29045" xr:uid="{00000000-0005-0000-0000-0000C24A0000}"/>
    <cellStyle name="40% - Accent6 2 2 2 2 3 2 3" xfId="22743" xr:uid="{00000000-0005-0000-0000-0000C34A0000}"/>
    <cellStyle name="40% - Accent6 2 2 2 2 3 3" xfId="11245" xr:uid="{00000000-0005-0000-0000-0000C44A0000}"/>
    <cellStyle name="40% - Accent6 2 2 2 2 3 3 2" xfId="25187" xr:uid="{00000000-0005-0000-0000-0000C54A0000}"/>
    <cellStyle name="40% - Accent6 2 2 2 2 3 4" xfId="25253" xr:uid="{00000000-0005-0000-0000-0000C64A0000}"/>
    <cellStyle name="40% - Accent6 2 2 2 2 4" xfId="4829" xr:uid="{00000000-0005-0000-0000-0000C74A0000}"/>
    <cellStyle name="40% - Accent6 2 2 2 2 4 2" xfId="12360" xr:uid="{00000000-0005-0000-0000-0000C84A0000}"/>
    <cellStyle name="40% - Accent6 2 2 2 2 4 2 2" xfId="26072" xr:uid="{00000000-0005-0000-0000-0000C94A0000}"/>
    <cellStyle name="40% - Accent6 2 2 2 2 4 3" xfId="24443" xr:uid="{00000000-0005-0000-0000-0000CA4A0000}"/>
    <cellStyle name="40% - Accent6 2 2 2 2 5" xfId="4830" xr:uid="{00000000-0005-0000-0000-0000CB4A0000}"/>
    <cellStyle name="40% - Accent6 2 2 2 2 5 2" xfId="13032" xr:uid="{00000000-0005-0000-0000-0000CC4A0000}"/>
    <cellStyle name="40% - Accent6 2 2 2 2 5 2 2" xfId="26744" xr:uid="{00000000-0005-0000-0000-0000CD4A0000}"/>
    <cellStyle name="40% - Accent6 2 2 2 2 5 3" xfId="29139" xr:uid="{00000000-0005-0000-0000-0000CE4A0000}"/>
    <cellStyle name="40% - Accent6 2 2 2 2 6" xfId="4831" xr:uid="{00000000-0005-0000-0000-0000CF4A0000}"/>
    <cellStyle name="40% - Accent6 2 2 2 2 6 2" xfId="13924" xr:uid="{00000000-0005-0000-0000-0000D04A0000}"/>
    <cellStyle name="40% - Accent6 2 2 2 2 6 2 2" xfId="27473" xr:uid="{00000000-0005-0000-0000-0000D14A0000}"/>
    <cellStyle name="40% - Accent6 2 2 2 2 6 3" xfId="22742" xr:uid="{00000000-0005-0000-0000-0000D24A0000}"/>
    <cellStyle name="40% - Accent6 2 2 2 2 7" xfId="4832" xr:uid="{00000000-0005-0000-0000-0000D34A0000}"/>
    <cellStyle name="40% - Accent6 2 2 2 2 7 2" xfId="14505" xr:uid="{00000000-0005-0000-0000-0000D44A0000}"/>
    <cellStyle name="40% - Accent6 2 2 2 2 7 2 2" xfId="28054" xr:uid="{00000000-0005-0000-0000-0000D54A0000}"/>
    <cellStyle name="40% - Accent6 2 2 2 2 7 3" xfId="22741" xr:uid="{00000000-0005-0000-0000-0000D64A0000}"/>
    <cellStyle name="40% - Accent6 2 2 2 2 8" xfId="4833" xr:uid="{00000000-0005-0000-0000-0000D74A0000}"/>
    <cellStyle name="40% - Accent6 2 2 2 2 8 2" xfId="15494" xr:uid="{00000000-0005-0000-0000-0000D84A0000}"/>
    <cellStyle name="40% - Accent6 2 2 2 2 8 2 2" xfId="29043" xr:uid="{00000000-0005-0000-0000-0000D94A0000}"/>
    <cellStyle name="40% - Accent6 2 2 2 2 8 3" xfId="24181" xr:uid="{00000000-0005-0000-0000-0000DA4A0000}"/>
    <cellStyle name="40% - Accent6 2 2 2 2 9" xfId="4834" xr:uid="{00000000-0005-0000-0000-0000DB4A0000}"/>
    <cellStyle name="40% - Accent6 2 2 2 2 9 2" xfId="16391" xr:uid="{00000000-0005-0000-0000-0000DC4A0000}"/>
    <cellStyle name="40% - Accent6 2 2 2 2 9 2 2" xfId="29798" xr:uid="{00000000-0005-0000-0000-0000DD4A0000}"/>
    <cellStyle name="40% - Accent6 2 2 2 2 9 3" xfId="22740" xr:uid="{00000000-0005-0000-0000-0000DE4A0000}"/>
    <cellStyle name="40% - Accent6 2 2 2 3" xfId="4835" xr:uid="{00000000-0005-0000-0000-0000DF4A0000}"/>
    <cellStyle name="40% - Accent6 2 2 2 3 2" xfId="4836" xr:uid="{00000000-0005-0000-0000-0000E04A0000}"/>
    <cellStyle name="40% - Accent6 2 2 2 3 2 2" xfId="11247" xr:uid="{00000000-0005-0000-0000-0000E14A0000}"/>
    <cellStyle name="40% - Accent6 2 2 2 3 2 2 2" xfId="25189" xr:uid="{00000000-0005-0000-0000-0000E24A0000}"/>
    <cellStyle name="40% - Accent6 2 2 2 3 2 3" xfId="22739" xr:uid="{00000000-0005-0000-0000-0000E34A0000}"/>
    <cellStyle name="40% - Accent6 2 2 2 3 3" xfId="4837" xr:uid="{00000000-0005-0000-0000-0000E44A0000}"/>
    <cellStyle name="40% - Accent6 2 2 2 3 3 2" xfId="13034" xr:uid="{00000000-0005-0000-0000-0000E54A0000}"/>
    <cellStyle name="40% - Accent6 2 2 2 3 3 2 2" xfId="26746" xr:uid="{00000000-0005-0000-0000-0000E64A0000}"/>
    <cellStyle name="40% - Accent6 2 2 2 3 3 3" xfId="23262" xr:uid="{00000000-0005-0000-0000-0000E74A0000}"/>
    <cellStyle name="40% - Accent6 2 2 2 3 4" xfId="4838" xr:uid="{00000000-0005-0000-0000-0000E84A0000}"/>
    <cellStyle name="40% - Accent6 2 2 2 3 4 2" xfId="15497" xr:uid="{00000000-0005-0000-0000-0000E94A0000}"/>
    <cellStyle name="40% - Accent6 2 2 2 3 4 2 2" xfId="29046" xr:uid="{00000000-0005-0000-0000-0000EA4A0000}"/>
    <cellStyle name="40% - Accent6 2 2 2 3 4 3" xfId="23293" xr:uid="{00000000-0005-0000-0000-0000EB4A0000}"/>
    <cellStyle name="40% - Accent6 2 2 2 3 5" xfId="4839" xr:uid="{00000000-0005-0000-0000-0000EC4A0000}"/>
    <cellStyle name="40% - Accent6 2 2 2 3 5 2" xfId="16683" xr:uid="{00000000-0005-0000-0000-0000ED4A0000}"/>
    <cellStyle name="40% - Accent6 2 2 2 3 5 2 2" xfId="30090" xr:uid="{00000000-0005-0000-0000-0000EE4A0000}"/>
    <cellStyle name="40% - Accent6 2 2 2 3 5 3" xfId="22738" xr:uid="{00000000-0005-0000-0000-0000EF4A0000}"/>
    <cellStyle name="40% - Accent6 2 2 2 3 6" xfId="9520" xr:uid="{00000000-0005-0000-0000-0000F04A0000}"/>
    <cellStyle name="40% - Accent6 2 2 2 3 6 2" xfId="23995" xr:uid="{00000000-0005-0000-0000-0000F14A0000}"/>
    <cellStyle name="40% - Accent6 2 2 2 3 7" xfId="24180" xr:uid="{00000000-0005-0000-0000-0000F24A0000}"/>
    <cellStyle name="40% - Accent6 2 2 2 4" xfId="4840" xr:uid="{00000000-0005-0000-0000-0000F34A0000}"/>
    <cellStyle name="40% - Accent6 2 2 2 4 2" xfId="4841" xr:uid="{00000000-0005-0000-0000-0000F44A0000}"/>
    <cellStyle name="40% - Accent6 2 2 2 4 2 2" xfId="15498" xr:uid="{00000000-0005-0000-0000-0000F54A0000}"/>
    <cellStyle name="40% - Accent6 2 2 2 4 2 2 2" xfId="29047" xr:uid="{00000000-0005-0000-0000-0000F64A0000}"/>
    <cellStyle name="40% - Accent6 2 2 2 4 2 3" xfId="22737" xr:uid="{00000000-0005-0000-0000-0000F74A0000}"/>
    <cellStyle name="40% - Accent6 2 2 2 4 3" xfId="11244" xr:uid="{00000000-0005-0000-0000-0000F84A0000}"/>
    <cellStyle name="40% - Accent6 2 2 2 4 3 2" xfId="25186" xr:uid="{00000000-0005-0000-0000-0000F94A0000}"/>
    <cellStyle name="40% - Accent6 2 2 2 4 4" xfId="24178" xr:uid="{00000000-0005-0000-0000-0000FA4A0000}"/>
    <cellStyle name="40% - Accent6 2 2 2 5" xfId="4842" xr:uid="{00000000-0005-0000-0000-0000FB4A0000}"/>
    <cellStyle name="40% - Accent6 2 2 2 5 2" xfId="12060" xr:uid="{00000000-0005-0000-0000-0000FC4A0000}"/>
    <cellStyle name="40% - Accent6 2 2 2 5 2 2" xfId="25775" xr:uid="{00000000-0005-0000-0000-0000FD4A0000}"/>
    <cellStyle name="40% - Accent6 2 2 2 5 3" xfId="24177" xr:uid="{00000000-0005-0000-0000-0000FE4A0000}"/>
    <cellStyle name="40% - Accent6 2 2 2 6" xfId="4843" xr:uid="{00000000-0005-0000-0000-0000FF4A0000}"/>
    <cellStyle name="40% - Accent6 2 2 2 6 2" xfId="13031" xr:uid="{00000000-0005-0000-0000-0000004B0000}"/>
    <cellStyle name="40% - Accent6 2 2 2 6 2 2" xfId="26743" xr:uid="{00000000-0005-0000-0000-0000014B0000}"/>
    <cellStyle name="40% - Accent6 2 2 2 6 3" xfId="22736" xr:uid="{00000000-0005-0000-0000-0000024B0000}"/>
    <cellStyle name="40% - Accent6 2 2 2 7" xfId="4844" xr:uid="{00000000-0005-0000-0000-0000034B0000}"/>
    <cellStyle name="40% - Accent6 2 2 2 7 2" xfId="13635" xr:uid="{00000000-0005-0000-0000-0000044B0000}"/>
    <cellStyle name="40% - Accent6 2 2 2 7 2 2" xfId="27184" xr:uid="{00000000-0005-0000-0000-0000054B0000}"/>
    <cellStyle name="40% - Accent6 2 2 2 7 3" xfId="24176" xr:uid="{00000000-0005-0000-0000-0000064B0000}"/>
    <cellStyle name="40% - Accent6 2 2 2 8" xfId="4845" xr:uid="{00000000-0005-0000-0000-0000074B0000}"/>
    <cellStyle name="40% - Accent6 2 2 2 8 2" xfId="14216" xr:uid="{00000000-0005-0000-0000-0000084B0000}"/>
    <cellStyle name="40% - Accent6 2 2 2 8 2 2" xfId="27765" xr:uid="{00000000-0005-0000-0000-0000094B0000}"/>
    <cellStyle name="40% - Accent6 2 2 2 8 3" xfId="22735" xr:uid="{00000000-0005-0000-0000-00000A4B0000}"/>
    <cellStyle name="40% - Accent6 2 2 2 9" xfId="4846" xr:uid="{00000000-0005-0000-0000-00000B4B0000}"/>
    <cellStyle name="40% - Accent6 2 2 2 9 2" xfId="15493" xr:uid="{00000000-0005-0000-0000-00000C4B0000}"/>
    <cellStyle name="40% - Accent6 2 2 2 9 2 2" xfId="29042" xr:uid="{00000000-0005-0000-0000-00000D4B0000}"/>
    <cellStyle name="40% - Accent6 2 2 2 9 3" xfId="24175" xr:uid="{00000000-0005-0000-0000-00000E4B0000}"/>
    <cellStyle name="40% - Accent6 2 2 3" xfId="4847" xr:uid="{00000000-0005-0000-0000-00000F4B0000}"/>
    <cellStyle name="40% - Accent6 2 2 3 10" xfId="9521" xr:uid="{00000000-0005-0000-0000-0000104B0000}"/>
    <cellStyle name="40% - Accent6 2 2 3 10 2" xfId="23996" xr:uid="{00000000-0005-0000-0000-0000114B0000}"/>
    <cellStyle name="40% - Accent6 2 2 3 11" xfId="22734" xr:uid="{00000000-0005-0000-0000-0000124B0000}"/>
    <cellStyle name="40% - Accent6 2 2 3 2" xfId="4848" xr:uid="{00000000-0005-0000-0000-0000134B0000}"/>
    <cellStyle name="40% - Accent6 2 2 3 2 2" xfId="4849" xr:uid="{00000000-0005-0000-0000-0000144B0000}"/>
    <cellStyle name="40% - Accent6 2 2 3 2 2 2" xfId="11249" xr:uid="{00000000-0005-0000-0000-0000154B0000}"/>
    <cellStyle name="40% - Accent6 2 2 3 2 2 2 2" xfId="25191" xr:uid="{00000000-0005-0000-0000-0000164B0000}"/>
    <cellStyle name="40% - Accent6 2 2 3 2 2 3" xfId="24174" xr:uid="{00000000-0005-0000-0000-0000174B0000}"/>
    <cellStyle name="40% - Accent6 2 2 3 2 3" xfId="4850" xr:uid="{00000000-0005-0000-0000-0000184B0000}"/>
    <cellStyle name="40% - Accent6 2 2 3 2 3 2" xfId="13036" xr:uid="{00000000-0005-0000-0000-0000194B0000}"/>
    <cellStyle name="40% - Accent6 2 2 3 2 3 2 2" xfId="26748" xr:uid="{00000000-0005-0000-0000-00001A4B0000}"/>
    <cellStyle name="40% - Accent6 2 2 3 2 3 3" xfId="22733" xr:uid="{00000000-0005-0000-0000-00001B4B0000}"/>
    <cellStyle name="40% - Accent6 2 2 3 2 4" xfId="4851" xr:uid="{00000000-0005-0000-0000-00001C4B0000}"/>
    <cellStyle name="40% - Accent6 2 2 3 2 4 2" xfId="15500" xr:uid="{00000000-0005-0000-0000-00001D4B0000}"/>
    <cellStyle name="40% - Accent6 2 2 3 2 4 2 2" xfId="29049" xr:uid="{00000000-0005-0000-0000-00001E4B0000}"/>
    <cellStyle name="40% - Accent6 2 2 3 2 4 3" xfId="22732" xr:uid="{00000000-0005-0000-0000-00001F4B0000}"/>
    <cellStyle name="40% - Accent6 2 2 3 2 5" xfId="4852" xr:uid="{00000000-0005-0000-0000-0000204B0000}"/>
    <cellStyle name="40% - Accent6 2 2 3 2 5 2" xfId="16829" xr:uid="{00000000-0005-0000-0000-0000214B0000}"/>
    <cellStyle name="40% - Accent6 2 2 3 2 5 2 2" xfId="30236" xr:uid="{00000000-0005-0000-0000-0000224B0000}"/>
    <cellStyle name="40% - Accent6 2 2 3 2 5 3" xfId="24172" xr:uid="{00000000-0005-0000-0000-0000234B0000}"/>
    <cellStyle name="40% - Accent6 2 2 3 2 6" xfId="9522" xr:uid="{00000000-0005-0000-0000-0000244B0000}"/>
    <cellStyle name="40% - Accent6 2 2 3 2 6 2" xfId="23997" xr:uid="{00000000-0005-0000-0000-0000254B0000}"/>
    <cellStyle name="40% - Accent6 2 2 3 2 7" xfId="24173" xr:uid="{00000000-0005-0000-0000-0000264B0000}"/>
    <cellStyle name="40% - Accent6 2 2 3 3" xfId="4853" xr:uid="{00000000-0005-0000-0000-0000274B0000}"/>
    <cellStyle name="40% - Accent6 2 2 3 3 2" xfId="4854" xr:uid="{00000000-0005-0000-0000-0000284B0000}"/>
    <cellStyle name="40% - Accent6 2 2 3 3 2 2" xfId="15501" xr:uid="{00000000-0005-0000-0000-0000294B0000}"/>
    <cellStyle name="40% - Accent6 2 2 3 3 2 2 2" xfId="29050" xr:uid="{00000000-0005-0000-0000-00002A4B0000}"/>
    <cellStyle name="40% - Accent6 2 2 3 3 2 3" xfId="22731" xr:uid="{00000000-0005-0000-0000-00002B4B0000}"/>
    <cellStyle name="40% - Accent6 2 2 3 3 3" xfId="11248" xr:uid="{00000000-0005-0000-0000-00002C4B0000}"/>
    <cellStyle name="40% - Accent6 2 2 3 3 3 2" xfId="25190" xr:uid="{00000000-0005-0000-0000-00002D4B0000}"/>
    <cellStyle name="40% - Accent6 2 2 3 3 4" xfId="26822" xr:uid="{00000000-0005-0000-0000-00002E4B0000}"/>
    <cellStyle name="40% - Accent6 2 2 3 4" xfId="4855" xr:uid="{00000000-0005-0000-0000-00002F4B0000}"/>
    <cellStyle name="40% - Accent6 2 2 3 4 2" xfId="12217" xr:uid="{00000000-0005-0000-0000-0000304B0000}"/>
    <cellStyle name="40% - Accent6 2 2 3 4 2 2" xfId="25929" xr:uid="{00000000-0005-0000-0000-0000314B0000}"/>
    <cellStyle name="40% - Accent6 2 2 3 4 3" xfId="26823" xr:uid="{00000000-0005-0000-0000-0000324B0000}"/>
    <cellStyle name="40% - Accent6 2 2 3 5" xfId="4856" xr:uid="{00000000-0005-0000-0000-0000334B0000}"/>
    <cellStyle name="40% - Accent6 2 2 3 5 2" xfId="13035" xr:uid="{00000000-0005-0000-0000-0000344B0000}"/>
    <cellStyle name="40% - Accent6 2 2 3 5 2 2" xfId="26747" xr:uid="{00000000-0005-0000-0000-0000354B0000}"/>
    <cellStyle name="40% - Accent6 2 2 3 5 3" xfId="22730" xr:uid="{00000000-0005-0000-0000-0000364B0000}"/>
    <cellStyle name="40% - Accent6 2 2 3 6" xfId="4857" xr:uid="{00000000-0005-0000-0000-0000374B0000}"/>
    <cellStyle name="40% - Accent6 2 2 3 6 2" xfId="13781" xr:uid="{00000000-0005-0000-0000-0000384B0000}"/>
    <cellStyle name="40% - Accent6 2 2 3 6 2 2" xfId="27330" xr:uid="{00000000-0005-0000-0000-0000394B0000}"/>
    <cellStyle name="40% - Accent6 2 2 3 6 3" xfId="22729" xr:uid="{00000000-0005-0000-0000-00003A4B0000}"/>
    <cellStyle name="40% - Accent6 2 2 3 7" xfId="4858" xr:uid="{00000000-0005-0000-0000-00003B4B0000}"/>
    <cellStyle name="40% - Accent6 2 2 3 7 2" xfId="14362" xr:uid="{00000000-0005-0000-0000-00003C4B0000}"/>
    <cellStyle name="40% - Accent6 2 2 3 7 2 2" xfId="27911" xr:uid="{00000000-0005-0000-0000-00003D4B0000}"/>
    <cellStyle name="40% - Accent6 2 2 3 7 3" xfId="24170" xr:uid="{00000000-0005-0000-0000-00003E4B0000}"/>
    <cellStyle name="40% - Accent6 2 2 3 8" xfId="4859" xr:uid="{00000000-0005-0000-0000-00003F4B0000}"/>
    <cellStyle name="40% - Accent6 2 2 3 8 2" xfId="15499" xr:uid="{00000000-0005-0000-0000-0000404B0000}"/>
    <cellStyle name="40% - Accent6 2 2 3 8 2 2" xfId="29048" xr:uid="{00000000-0005-0000-0000-0000414B0000}"/>
    <cellStyle name="40% - Accent6 2 2 3 8 3" xfId="24171" xr:uid="{00000000-0005-0000-0000-0000424B0000}"/>
    <cellStyle name="40% - Accent6 2 2 3 9" xfId="4860" xr:uid="{00000000-0005-0000-0000-0000434B0000}"/>
    <cellStyle name="40% - Accent6 2 2 3 9 2" xfId="16248" xr:uid="{00000000-0005-0000-0000-0000444B0000}"/>
    <cellStyle name="40% - Accent6 2 2 3 9 2 2" xfId="29655" xr:uid="{00000000-0005-0000-0000-0000454B0000}"/>
    <cellStyle name="40% - Accent6 2 2 3 9 3" xfId="22728" xr:uid="{00000000-0005-0000-0000-0000464B0000}"/>
    <cellStyle name="40% - Accent6 2 2 4" xfId="4861" xr:uid="{00000000-0005-0000-0000-0000474B0000}"/>
    <cellStyle name="40% - Accent6 2 2 4 2" xfId="4862" xr:uid="{00000000-0005-0000-0000-0000484B0000}"/>
    <cellStyle name="40% - Accent6 2 2 4 2 2" xfId="11250" xr:uid="{00000000-0005-0000-0000-0000494B0000}"/>
    <cellStyle name="40% - Accent6 2 2 4 2 2 2" xfId="25192" xr:uid="{00000000-0005-0000-0000-00004A4B0000}"/>
    <cellStyle name="40% - Accent6 2 2 4 2 3" xfId="24169" xr:uid="{00000000-0005-0000-0000-00004B4B0000}"/>
    <cellStyle name="40% - Accent6 2 2 4 3" xfId="4863" xr:uid="{00000000-0005-0000-0000-00004C4B0000}"/>
    <cellStyle name="40% - Accent6 2 2 4 3 2" xfId="13037" xr:uid="{00000000-0005-0000-0000-00004D4B0000}"/>
    <cellStyle name="40% - Accent6 2 2 4 3 2 2" xfId="26749" xr:uid="{00000000-0005-0000-0000-00004E4B0000}"/>
    <cellStyle name="40% - Accent6 2 2 4 3 3" xfId="22726" xr:uid="{00000000-0005-0000-0000-00004F4B0000}"/>
    <cellStyle name="40% - Accent6 2 2 4 4" xfId="4864" xr:uid="{00000000-0005-0000-0000-0000504B0000}"/>
    <cellStyle name="40% - Accent6 2 2 4 4 2" xfId="15502" xr:uid="{00000000-0005-0000-0000-0000514B0000}"/>
    <cellStyle name="40% - Accent6 2 2 4 4 2 2" xfId="29051" xr:uid="{00000000-0005-0000-0000-0000524B0000}"/>
    <cellStyle name="40% - Accent6 2 2 4 4 3" xfId="24166" xr:uid="{00000000-0005-0000-0000-0000534B0000}"/>
    <cellStyle name="40% - Accent6 2 2 4 5" xfId="4865" xr:uid="{00000000-0005-0000-0000-0000544B0000}"/>
    <cellStyle name="40% - Accent6 2 2 4 5 2" xfId="17176" xr:uid="{00000000-0005-0000-0000-0000554B0000}"/>
    <cellStyle name="40% - Accent6 2 2 4 5 2 2" xfId="30535" xr:uid="{00000000-0005-0000-0000-0000564B0000}"/>
    <cellStyle name="40% - Accent6 2 2 4 5 3" xfId="22725" xr:uid="{00000000-0005-0000-0000-0000574B0000}"/>
    <cellStyle name="40% - Accent6 2 2 4 6" xfId="9523" xr:uid="{00000000-0005-0000-0000-0000584B0000}"/>
    <cellStyle name="40% - Accent6 2 2 4 6 2" xfId="23998" xr:uid="{00000000-0005-0000-0000-0000594B0000}"/>
    <cellStyle name="40% - Accent6 2 2 4 7" xfId="22727" xr:uid="{00000000-0005-0000-0000-00005A4B0000}"/>
    <cellStyle name="40% - Accent6 2 2 5" xfId="4866" xr:uid="{00000000-0005-0000-0000-00005B4B0000}"/>
    <cellStyle name="40% - Accent6 2 2 5 2" xfId="4867" xr:uid="{00000000-0005-0000-0000-00005C4B0000}"/>
    <cellStyle name="40% - Accent6 2 2 5 2 2" xfId="15503" xr:uid="{00000000-0005-0000-0000-00005D4B0000}"/>
    <cellStyle name="40% - Accent6 2 2 5 2 2 2" xfId="29052" xr:uid="{00000000-0005-0000-0000-00005E4B0000}"/>
    <cellStyle name="40% - Accent6 2 2 5 2 3" xfId="22724" xr:uid="{00000000-0005-0000-0000-00005F4B0000}"/>
    <cellStyle name="40% - Accent6 2 2 5 3" xfId="4868" xr:uid="{00000000-0005-0000-0000-0000604B0000}"/>
    <cellStyle name="40% - Accent6 2 2 5 3 2" xfId="17265" xr:uid="{00000000-0005-0000-0000-0000614B0000}"/>
    <cellStyle name="40% - Accent6 2 2 5 3 2 2" xfId="30624" xr:uid="{00000000-0005-0000-0000-0000624B0000}"/>
    <cellStyle name="40% - Accent6 2 2 5 3 3" xfId="24442" xr:uid="{00000000-0005-0000-0000-0000634B0000}"/>
    <cellStyle name="40% - Accent6 2 2 5 4" xfId="11243" xr:uid="{00000000-0005-0000-0000-0000644B0000}"/>
    <cellStyle name="40% - Accent6 2 2 5 4 2" xfId="25185" xr:uid="{00000000-0005-0000-0000-0000654B0000}"/>
    <cellStyle name="40% - Accent6 2 2 5 5" xfId="25252" xr:uid="{00000000-0005-0000-0000-0000664B0000}"/>
    <cellStyle name="40% - Accent6 2 2 6" xfId="4869" xr:uid="{00000000-0005-0000-0000-0000674B0000}"/>
    <cellStyle name="40% - Accent6 2 2 6 2" xfId="4870" xr:uid="{00000000-0005-0000-0000-0000684B0000}"/>
    <cellStyle name="40% - Accent6 2 2 6 2 2" xfId="16540" xr:uid="{00000000-0005-0000-0000-0000694B0000}"/>
    <cellStyle name="40% - Accent6 2 2 6 2 2 2" xfId="29947" xr:uid="{00000000-0005-0000-0000-00006A4B0000}"/>
    <cellStyle name="40% - Accent6 2 2 6 2 3" xfId="22723" xr:uid="{00000000-0005-0000-0000-00006B4B0000}"/>
    <cellStyle name="40% - Accent6 2 2 6 3" xfId="11915" xr:uid="{00000000-0005-0000-0000-00006C4B0000}"/>
    <cellStyle name="40% - Accent6 2 2 6 3 2" xfId="25630" xr:uid="{00000000-0005-0000-0000-00006D4B0000}"/>
    <cellStyle name="40% - Accent6 2 2 6 4" xfId="29138" xr:uid="{00000000-0005-0000-0000-00006E4B0000}"/>
    <cellStyle name="40% - Accent6 2 2 7" xfId="4871" xr:uid="{00000000-0005-0000-0000-00006F4B0000}"/>
    <cellStyle name="40% - Accent6 2 2 7 2" xfId="13030" xr:uid="{00000000-0005-0000-0000-0000704B0000}"/>
    <cellStyle name="40% - Accent6 2 2 7 2 2" xfId="26742" xr:uid="{00000000-0005-0000-0000-0000714B0000}"/>
    <cellStyle name="40% - Accent6 2 2 7 3" xfId="22722" xr:uid="{00000000-0005-0000-0000-0000724B0000}"/>
    <cellStyle name="40% - Accent6 2 2 8" xfId="4872" xr:uid="{00000000-0005-0000-0000-0000734B0000}"/>
    <cellStyle name="40% - Accent6 2 2 8 2" xfId="13492" xr:uid="{00000000-0005-0000-0000-0000744B0000}"/>
    <cellStyle name="40% - Accent6 2 2 8 2 2" xfId="27041" xr:uid="{00000000-0005-0000-0000-0000754B0000}"/>
    <cellStyle name="40% - Accent6 2 2 8 3" xfId="24168" xr:uid="{00000000-0005-0000-0000-0000764B0000}"/>
    <cellStyle name="40% - Accent6 2 2 9" xfId="4873" xr:uid="{00000000-0005-0000-0000-0000774B0000}"/>
    <cellStyle name="40% - Accent6 2 2 9 2" xfId="14073" xr:uid="{00000000-0005-0000-0000-0000784B0000}"/>
    <cellStyle name="40% - Accent6 2 2 9 2 2" xfId="27622" xr:uid="{00000000-0005-0000-0000-0000794B0000}"/>
    <cellStyle name="40% - Accent6 2 2 9 3" xfId="22721" xr:uid="{00000000-0005-0000-0000-00007A4B0000}"/>
    <cellStyle name="40% - Accent6 2 3" xfId="4874" xr:uid="{00000000-0005-0000-0000-00007B4B0000}"/>
    <cellStyle name="40% - Accent6 2 3 10" xfId="4875" xr:uid="{00000000-0005-0000-0000-00007C4B0000}"/>
    <cellStyle name="40% - Accent6 2 3 10 2" xfId="16056" xr:uid="{00000000-0005-0000-0000-00007D4B0000}"/>
    <cellStyle name="40% - Accent6 2 3 10 2 2" xfId="29463" xr:uid="{00000000-0005-0000-0000-00007E4B0000}"/>
    <cellStyle name="40% - Accent6 2 3 10 3" xfId="22720" xr:uid="{00000000-0005-0000-0000-00007F4B0000}"/>
    <cellStyle name="40% - Accent6 2 3 11" xfId="9524" xr:uid="{00000000-0005-0000-0000-0000804B0000}"/>
    <cellStyle name="40% - Accent6 2 3 11 2" xfId="23999" xr:uid="{00000000-0005-0000-0000-0000814B0000}"/>
    <cellStyle name="40% - Accent6 2 3 12" xfId="24167" xr:uid="{00000000-0005-0000-0000-0000824B0000}"/>
    <cellStyle name="40% - Accent6 2 3 2" xfId="4876" xr:uid="{00000000-0005-0000-0000-0000834B0000}"/>
    <cellStyle name="40% - Accent6 2 3 2 10" xfId="9525" xr:uid="{00000000-0005-0000-0000-0000844B0000}"/>
    <cellStyle name="40% - Accent6 2 3 2 10 2" xfId="24000" xr:uid="{00000000-0005-0000-0000-0000854B0000}"/>
    <cellStyle name="40% - Accent6 2 3 2 11" xfId="23256" xr:uid="{00000000-0005-0000-0000-0000864B0000}"/>
    <cellStyle name="40% - Accent6 2 3 2 2" xfId="4877" xr:uid="{00000000-0005-0000-0000-0000874B0000}"/>
    <cellStyle name="40% - Accent6 2 3 2 2 2" xfId="4878" xr:uid="{00000000-0005-0000-0000-0000884B0000}"/>
    <cellStyle name="40% - Accent6 2 3 2 2 2 2" xfId="11253" xr:uid="{00000000-0005-0000-0000-0000894B0000}"/>
    <cellStyle name="40% - Accent6 2 3 2 2 2 2 2" xfId="25195" xr:uid="{00000000-0005-0000-0000-00008A4B0000}"/>
    <cellStyle name="40% - Accent6 2 3 2 2 2 3" xfId="22719" xr:uid="{00000000-0005-0000-0000-00008B4B0000}"/>
    <cellStyle name="40% - Accent6 2 3 2 2 3" xfId="4879" xr:uid="{00000000-0005-0000-0000-00008C4B0000}"/>
    <cellStyle name="40% - Accent6 2 3 2 2 3 2" xfId="13040" xr:uid="{00000000-0005-0000-0000-00008D4B0000}"/>
    <cellStyle name="40% - Accent6 2 3 2 2 3 2 2" xfId="26752" xr:uid="{00000000-0005-0000-0000-00008E4B0000}"/>
    <cellStyle name="40% - Accent6 2 3 2 2 3 3" xfId="24164" xr:uid="{00000000-0005-0000-0000-00008F4B0000}"/>
    <cellStyle name="40% - Accent6 2 3 2 2 4" xfId="4880" xr:uid="{00000000-0005-0000-0000-0000904B0000}"/>
    <cellStyle name="40% - Accent6 2 3 2 2 4 2" xfId="15506" xr:uid="{00000000-0005-0000-0000-0000914B0000}"/>
    <cellStyle name="40% - Accent6 2 3 2 2 4 2 2" xfId="29055" xr:uid="{00000000-0005-0000-0000-0000924B0000}"/>
    <cellStyle name="40% - Accent6 2 3 2 2 4 3" xfId="22718" xr:uid="{00000000-0005-0000-0000-0000934B0000}"/>
    <cellStyle name="40% - Accent6 2 3 2 2 5" xfId="4881" xr:uid="{00000000-0005-0000-0000-0000944B0000}"/>
    <cellStyle name="40% - Accent6 2 3 2 2 5 2" xfId="16926" xr:uid="{00000000-0005-0000-0000-0000954B0000}"/>
    <cellStyle name="40% - Accent6 2 3 2 2 5 2 2" xfId="30333" xr:uid="{00000000-0005-0000-0000-0000964B0000}"/>
    <cellStyle name="40% - Accent6 2 3 2 2 5 3" xfId="24163" xr:uid="{00000000-0005-0000-0000-0000974B0000}"/>
    <cellStyle name="40% - Accent6 2 3 2 2 6" xfId="9526" xr:uid="{00000000-0005-0000-0000-0000984B0000}"/>
    <cellStyle name="40% - Accent6 2 3 2 2 6 2" xfId="24001" xr:uid="{00000000-0005-0000-0000-0000994B0000}"/>
    <cellStyle name="40% - Accent6 2 3 2 2 7" xfId="24165" xr:uid="{00000000-0005-0000-0000-00009A4B0000}"/>
    <cellStyle name="40% - Accent6 2 3 2 3" xfId="4882" xr:uid="{00000000-0005-0000-0000-00009B4B0000}"/>
    <cellStyle name="40% - Accent6 2 3 2 3 2" xfId="4883" xr:uid="{00000000-0005-0000-0000-00009C4B0000}"/>
    <cellStyle name="40% - Accent6 2 3 2 3 2 2" xfId="15507" xr:uid="{00000000-0005-0000-0000-00009D4B0000}"/>
    <cellStyle name="40% - Accent6 2 3 2 3 2 2 2" xfId="29056" xr:uid="{00000000-0005-0000-0000-00009E4B0000}"/>
    <cellStyle name="40% - Accent6 2 3 2 3 2 3" xfId="24162" xr:uid="{00000000-0005-0000-0000-00009F4B0000}"/>
    <cellStyle name="40% - Accent6 2 3 2 3 3" xfId="11252" xr:uid="{00000000-0005-0000-0000-0000A04B0000}"/>
    <cellStyle name="40% - Accent6 2 3 2 3 3 2" xfId="25194" xr:uid="{00000000-0005-0000-0000-0000A14B0000}"/>
    <cellStyle name="40% - Accent6 2 3 2 3 4" xfId="22717" xr:uid="{00000000-0005-0000-0000-0000A24B0000}"/>
    <cellStyle name="40% - Accent6 2 3 2 4" xfId="4884" xr:uid="{00000000-0005-0000-0000-0000A34B0000}"/>
    <cellStyle name="40% - Accent6 2 3 2 4 2" xfId="12314" xr:uid="{00000000-0005-0000-0000-0000A44B0000}"/>
    <cellStyle name="40% - Accent6 2 3 2 4 2 2" xfId="26026" xr:uid="{00000000-0005-0000-0000-0000A54B0000}"/>
    <cellStyle name="40% - Accent6 2 3 2 4 3" xfId="22716" xr:uid="{00000000-0005-0000-0000-0000A64B0000}"/>
    <cellStyle name="40% - Accent6 2 3 2 5" xfId="4885" xr:uid="{00000000-0005-0000-0000-0000A74B0000}"/>
    <cellStyle name="40% - Accent6 2 3 2 5 2" xfId="13039" xr:uid="{00000000-0005-0000-0000-0000A84B0000}"/>
    <cellStyle name="40% - Accent6 2 3 2 5 2 2" xfId="26751" xr:uid="{00000000-0005-0000-0000-0000A94B0000}"/>
    <cellStyle name="40% - Accent6 2 3 2 5 3" xfId="24160" xr:uid="{00000000-0005-0000-0000-0000AA4B0000}"/>
    <cellStyle name="40% - Accent6 2 3 2 6" xfId="4886" xr:uid="{00000000-0005-0000-0000-0000AB4B0000}"/>
    <cellStyle name="40% - Accent6 2 3 2 6 2" xfId="13878" xr:uid="{00000000-0005-0000-0000-0000AC4B0000}"/>
    <cellStyle name="40% - Accent6 2 3 2 6 2 2" xfId="27427" xr:uid="{00000000-0005-0000-0000-0000AD4B0000}"/>
    <cellStyle name="40% - Accent6 2 3 2 6 3" xfId="24161" xr:uid="{00000000-0005-0000-0000-0000AE4B0000}"/>
    <cellStyle name="40% - Accent6 2 3 2 7" xfId="4887" xr:uid="{00000000-0005-0000-0000-0000AF4B0000}"/>
    <cellStyle name="40% - Accent6 2 3 2 7 2" xfId="14459" xr:uid="{00000000-0005-0000-0000-0000B04B0000}"/>
    <cellStyle name="40% - Accent6 2 3 2 7 2 2" xfId="28008" xr:uid="{00000000-0005-0000-0000-0000B14B0000}"/>
    <cellStyle name="40% - Accent6 2 3 2 7 3" xfId="22715" xr:uid="{00000000-0005-0000-0000-0000B24B0000}"/>
    <cellStyle name="40% - Accent6 2 3 2 8" xfId="4888" xr:uid="{00000000-0005-0000-0000-0000B34B0000}"/>
    <cellStyle name="40% - Accent6 2 3 2 8 2" xfId="15505" xr:uid="{00000000-0005-0000-0000-0000B44B0000}"/>
    <cellStyle name="40% - Accent6 2 3 2 8 2 2" xfId="29054" xr:uid="{00000000-0005-0000-0000-0000B54B0000}"/>
    <cellStyle name="40% - Accent6 2 3 2 8 3" xfId="22714" xr:uid="{00000000-0005-0000-0000-0000B64B0000}"/>
    <cellStyle name="40% - Accent6 2 3 2 9" xfId="4889" xr:uid="{00000000-0005-0000-0000-0000B74B0000}"/>
    <cellStyle name="40% - Accent6 2 3 2 9 2" xfId="16345" xr:uid="{00000000-0005-0000-0000-0000B84B0000}"/>
    <cellStyle name="40% - Accent6 2 3 2 9 2 2" xfId="29752" xr:uid="{00000000-0005-0000-0000-0000B94B0000}"/>
    <cellStyle name="40% - Accent6 2 3 2 9 3" xfId="24159" xr:uid="{00000000-0005-0000-0000-0000BA4B0000}"/>
    <cellStyle name="40% - Accent6 2 3 3" xfId="4890" xr:uid="{00000000-0005-0000-0000-0000BB4B0000}"/>
    <cellStyle name="40% - Accent6 2 3 3 2" xfId="4891" xr:uid="{00000000-0005-0000-0000-0000BC4B0000}"/>
    <cellStyle name="40% - Accent6 2 3 3 2 2" xfId="11254" xr:uid="{00000000-0005-0000-0000-0000BD4B0000}"/>
    <cellStyle name="40% - Accent6 2 3 3 2 2 2" xfId="25196" xr:uid="{00000000-0005-0000-0000-0000BE4B0000}"/>
    <cellStyle name="40% - Accent6 2 3 3 2 3" xfId="22713" xr:uid="{00000000-0005-0000-0000-0000BF4B0000}"/>
    <cellStyle name="40% - Accent6 2 3 3 3" xfId="4892" xr:uid="{00000000-0005-0000-0000-0000C04B0000}"/>
    <cellStyle name="40% - Accent6 2 3 3 3 2" xfId="13041" xr:uid="{00000000-0005-0000-0000-0000C14B0000}"/>
    <cellStyle name="40% - Accent6 2 3 3 3 2 2" xfId="26753" xr:uid="{00000000-0005-0000-0000-0000C24B0000}"/>
    <cellStyle name="40% - Accent6 2 3 3 3 3" xfId="26821" xr:uid="{00000000-0005-0000-0000-0000C34B0000}"/>
    <cellStyle name="40% - Accent6 2 3 3 4" xfId="4893" xr:uid="{00000000-0005-0000-0000-0000C44B0000}"/>
    <cellStyle name="40% - Accent6 2 3 3 4 2" xfId="15508" xr:uid="{00000000-0005-0000-0000-0000C54B0000}"/>
    <cellStyle name="40% - Accent6 2 3 3 4 2 2" xfId="29057" xr:uid="{00000000-0005-0000-0000-0000C64B0000}"/>
    <cellStyle name="40% - Accent6 2 3 3 4 3" xfId="22712" xr:uid="{00000000-0005-0000-0000-0000C74B0000}"/>
    <cellStyle name="40% - Accent6 2 3 3 5" xfId="4894" xr:uid="{00000000-0005-0000-0000-0000C84B0000}"/>
    <cellStyle name="40% - Accent6 2 3 3 5 2" xfId="16637" xr:uid="{00000000-0005-0000-0000-0000C94B0000}"/>
    <cellStyle name="40% - Accent6 2 3 3 5 2 2" xfId="30044" xr:uid="{00000000-0005-0000-0000-0000CA4B0000}"/>
    <cellStyle name="40% - Accent6 2 3 3 5 3" xfId="22711" xr:uid="{00000000-0005-0000-0000-0000CB4B0000}"/>
    <cellStyle name="40% - Accent6 2 3 3 6" xfId="9527" xr:uid="{00000000-0005-0000-0000-0000CC4B0000}"/>
    <cellStyle name="40% - Accent6 2 3 3 6 2" xfId="24002" xr:uid="{00000000-0005-0000-0000-0000CD4B0000}"/>
    <cellStyle name="40% - Accent6 2 3 3 7" xfId="26820" xr:uid="{00000000-0005-0000-0000-0000CE4B0000}"/>
    <cellStyle name="40% - Accent6 2 3 4" xfId="4895" xr:uid="{00000000-0005-0000-0000-0000CF4B0000}"/>
    <cellStyle name="40% - Accent6 2 3 4 2" xfId="4896" xr:uid="{00000000-0005-0000-0000-0000D04B0000}"/>
    <cellStyle name="40% - Accent6 2 3 4 2 2" xfId="15509" xr:uid="{00000000-0005-0000-0000-0000D14B0000}"/>
    <cellStyle name="40% - Accent6 2 3 4 2 2 2" xfId="29058" xr:uid="{00000000-0005-0000-0000-0000D24B0000}"/>
    <cellStyle name="40% - Accent6 2 3 4 2 3" xfId="24158" xr:uid="{00000000-0005-0000-0000-0000D34B0000}"/>
    <cellStyle name="40% - Accent6 2 3 4 3" xfId="11251" xr:uid="{00000000-0005-0000-0000-0000D44B0000}"/>
    <cellStyle name="40% - Accent6 2 3 4 3 2" xfId="25193" xr:uid="{00000000-0005-0000-0000-0000D54B0000}"/>
    <cellStyle name="40% - Accent6 2 3 4 4" xfId="24157" xr:uid="{00000000-0005-0000-0000-0000D64B0000}"/>
    <cellStyle name="40% - Accent6 2 3 5" xfId="4897" xr:uid="{00000000-0005-0000-0000-0000D74B0000}"/>
    <cellStyle name="40% - Accent6 2 3 5 2" xfId="12014" xr:uid="{00000000-0005-0000-0000-0000D84B0000}"/>
    <cellStyle name="40% - Accent6 2 3 5 2 2" xfId="25729" xr:uid="{00000000-0005-0000-0000-0000D94B0000}"/>
    <cellStyle name="40% - Accent6 2 3 5 3" xfId="22710" xr:uid="{00000000-0005-0000-0000-0000DA4B0000}"/>
    <cellStyle name="40% - Accent6 2 3 6" xfId="4898" xr:uid="{00000000-0005-0000-0000-0000DB4B0000}"/>
    <cellStyle name="40% - Accent6 2 3 6 2" xfId="13038" xr:uid="{00000000-0005-0000-0000-0000DC4B0000}"/>
    <cellStyle name="40% - Accent6 2 3 6 2 2" xfId="26750" xr:uid="{00000000-0005-0000-0000-0000DD4B0000}"/>
    <cellStyle name="40% - Accent6 2 3 6 3" xfId="22709" xr:uid="{00000000-0005-0000-0000-0000DE4B0000}"/>
    <cellStyle name="40% - Accent6 2 3 7" xfId="4899" xr:uid="{00000000-0005-0000-0000-0000DF4B0000}"/>
    <cellStyle name="40% - Accent6 2 3 7 2" xfId="13589" xr:uid="{00000000-0005-0000-0000-0000E04B0000}"/>
    <cellStyle name="40% - Accent6 2 3 7 2 2" xfId="27138" xr:uid="{00000000-0005-0000-0000-0000E14B0000}"/>
    <cellStyle name="40% - Accent6 2 3 7 3" xfId="24156" xr:uid="{00000000-0005-0000-0000-0000E24B0000}"/>
    <cellStyle name="40% - Accent6 2 3 8" xfId="4900" xr:uid="{00000000-0005-0000-0000-0000E34B0000}"/>
    <cellStyle name="40% - Accent6 2 3 8 2" xfId="14170" xr:uid="{00000000-0005-0000-0000-0000E44B0000}"/>
    <cellStyle name="40% - Accent6 2 3 8 2 2" xfId="27719" xr:uid="{00000000-0005-0000-0000-0000E54B0000}"/>
    <cellStyle name="40% - Accent6 2 3 8 3" xfId="22708" xr:uid="{00000000-0005-0000-0000-0000E64B0000}"/>
    <cellStyle name="40% - Accent6 2 3 9" xfId="4901" xr:uid="{00000000-0005-0000-0000-0000E74B0000}"/>
    <cellStyle name="40% - Accent6 2 3 9 2" xfId="15504" xr:uid="{00000000-0005-0000-0000-0000E84B0000}"/>
    <cellStyle name="40% - Accent6 2 3 9 2 2" xfId="29053" xr:uid="{00000000-0005-0000-0000-0000E94B0000}"/>
    <cellStyle name="40% - Accent6 2 3 9 3" xfId="24153" xr:uid="{00000000-0005-0000-0000-0000EA4B0000}"/>
    <cellStyle name="40% - Accent6 2 4" xfId="4902" xr:uid="{00000000-0005-0000-0000-0000EB4B0000}"/>
    <cellStyle name="40% - Accent6 2 4 10" xfId="9528" xr:uid="{00000000-0005-0000-0000-0000EC4B0000}"/>
    <cellStyle name="40% - Accent6 2 4 10 2" xfId="24003" xr:uid="{00000000-0005-0000-0000-0000ED4B0000}"/>
    <cellStyle name="40% - Accent6 2 4 11" xfId="22707" xr:uid="{00000000-0005-0000-0000-0000EE4B0000}"/>
    <cellStyle name="40% - Accent6 2 4 2" xfId="4903" xr:uid="{00000000-0005-0000-0000-0000EF4B0000}"/>
    <cellStyle name="40% - Accent6 2 4 2 2" xfId="4904" xr:uid="{00000000-0005-0000-0000-0000F04B0000}"/>
    <cellStyle name="40% - Accent6 2 4 2 2 2" xfId="11256" xr:uid="{00000000-0005-0000-0000-0000F14B0000}"/>
    <cellStyle name="40% - Accent6 2 4 2 2 2 2" xfId="25198" xr:uid="{00000000-0005-0000-0000-0000F24B0000}"/>
    <cellStyle name="40% - Accent6 2 4 2 2 3" xfId="22706" xr:uid="{00000000-0005-0000-0000-0000F34B0000}"/>
    <cellStyle name="40% - Accent6 2 4 2 3" xfId="4905" xr:uid="{00000000-0005-0000-0000-0000F44B0000}"/>
    <cellStyle name="40% - Accent6 2 4 2 3 2" xfId="13043" xr:uid="{00000000-0005-0000-0000-0000F54B0000}"/>
    <cellStyle name="40% - Accent6 2 4 2 3 2 2" xfId="26755" xr:uid="{00000000-0005-0000-0000-0000F64B0000}"/>
    <cellStyle name="40% - Accent6 2 4 2 3 3" xfId="24441" xr:uid="{00000000-0005-0000-0000-0000F74B0000}"/>
    <cellStyle name="40% - Accent6 2 4 2 4" xfId="4906" xr:uid="{00000000-0005-0000-0000-0000F84B0000}"/>
    <cellStyle name="40% - Accent6 2 4 2 4 2" xfId="15511" xr:uid="{00000000-0005-0000-0000-0000F94B0000}"/>
    <cellStyle name="40% - Accent6 2 4 2 4 2 2" xfId="29060" xr:uid="{00000000-0005-0000-0000-0000FA4B0000}"/>
    <cellStyle name="40% - Accent6 2 4 2 4 3" xfId="29137" xr:uid="{00000000-0005-0000-0000-0000FB4B0000}"/>
    <cellStyle name="40% - Accent6 2 4 2 5" xfId="4907" xr:uid="{00000000-0005-0000-0000-0000FC4B0000}"/>
    <cellStyle name="40% - Accent6 2 4 2 5 2" xfId="16783" xr:uid="{00000000-0005-0000-0000-0000FD4B0000}"/>
    <cellStyle name="40% - Accent6 2 4 2 5 2 2" xfId="30190" xr:uid="{00000000-0005-0000-0000-0000FE4B0000}"/>
    <cellStyle name="40% - Accent6 2 4 2 5 3" xfId="22705" xr:uid="{00000000-0005-0000-0000-0000FF4B0000}"/>
    <cellStyle name="40% - Accent6 2 4 2 6" xfId="9529" xr:uid="{00000000-0005-0000-0000-0000004C0000}"/>
    <cellStyle name="40% - Accent6 2 4 2 6 2" xfId="24004" xr:uid="{00000000-0005-0000-0000-0000014C0000}"/>
    <cellStyle name="40% - Accent6 2 4 2 7" xfId="25251" xr:uid="{00000000-0005-0000-0000-0000024C0000}"/>
    <cellStyle name="40% - Accent6 2 4 3" xfId="4908" xr:uid="{00000000-0005-0000-0000-0000034C0000}"/>
    <cellStyle name="40% - Accent6 2 4 3 2" xfId="4909" xr:uid="{00000000-0005-0000-0000-0000044C0000}"/>
    <cellStyle name="40% - Accent6 2 4 3 2 2" xfId="15512" xr:uid="{00000000-0005-0000-0000-0000054C0000}"/>
    <cellStyle name="40% - Accent6 2 4 3 2 2 2" xfId="29061" xr:uid="{00000000-0005-0000-0000-0000064C0000}"/>
    <cellStyle name="40% - Accent6 2 4 3 2 3" xfId="24155" xr:uid="{00000000-0005-0000-0000-0000074C0000}"/>
    <cellStyle name="40% - Accent6 2 4 3 3" xfId="11255" xr:uid="{00000000-0005-0000-0000-0000084C0000}"/>
    <cellStyle name="40% - Accent6 2 4 3 3 2" xfId="25197" xr:uid="{00000000-0005-0000-0000-0000094C0000}"/>
    <cellStyle name="40% - Accent6 2 4 3 4" xfId="22704" xr:uid="{00000000-0005-0000-0000-00000A4C0000}"/>
    <cellStyle name="40% - Accent6 2 4 4" xfId="4910" xr:uid="{00000000-0005-0000-0000-00000B4C0000}"/>
    <cellStyle name="40% - Accent6 2 4 4 2" xfId="12171" xr:uid="{00000000-0005-0000-0000-00000C4C0000}"/>
    <cellStyle name="40% - Accent6 2 4 4 2 2" xfId="25883" xr:uid="{00000000-0005-0000-0000-00000D4C0000}"/>
    <cellStyle name="40% - Accent6 2 4 4 3" xfId="22703" xr:uid="{00000000-0005-0000-0000-00000E4C0000}"/>
    <cellStyle name="40% - Accent6 2 4 5" xfId="4911" xr:uid="{00000000-0005-0000-0000-00000F4C0000}"/>
    <cellStyle name="40% - Accent6 2 4 5 2" xfId="13042" xr:uid="{00000000-0005-0000-0000-0000104C0000}"/>
    <cellStyle name="40% - Accent6 2 4 5 2 2" xfId="26754" xr:uid="{00000000-0005-0000-0000-0000114C0000}"/>
    <cellStyle name="40% - Accent6 2 4 5 3" xfId="24154" xr:uid="{00000000-0005-0000-0000-0000124C0000}"/>
    <cellStyle name="40% - Accent6 2 4 6" xfId="4912" xr:uid="{00000000-0005-0000-0000-0000134C0000}"/>
    <cellStyle name="40% - Accent6 2 4 6 2" xfId="13735" xr:uid="{00000000-0005-0000-0000-0000144C0000}"/>
    <cellStyle name="40% - Accent6 2 4 6 2 2" xfId="27284" xr:uid="{00000000-0005-0000-0000-0000154C0000}"/>
    <cellStyle name="40% - Accent6 2 4 6 3" xfId="22702" xr:uid="{00000000-0005-0000-0000-0000164C0000}"/>
    <cellStyle name="40% - Accent6 2 4 7" xfId="4913" xr:uid="{00000000-0005-0000-0000-0000174C0000}"/>
    <cellStyle name="40% - Accent6 2 4 7 2" xfId="14316" xr:uid="{00000000-0005-0000-0000-0000184C0000}"/>
    <cellStyle name="40% - Accent6 2 4 7 2 2" xfId="27865" xr:uid="{00000000-0005-0000-0000-0000194C0000}"/>
    <cellStyle name="40% - Accent6 2 4 7 3" xfId="23252" xr:uid="{00000000-0005-0000-0000-00001A4C0000}"/>
    <cellStyle name="40% - Accent6 2 4 8" xfId="4914" xr:uid="{00000000-0005-0000-0000-00001B4C0000}"/>
    <cellStyle name="40% - Accent6 2 4 8 2" xfId="15510" xr:uid="{00000000-0005-0000-0000-00001C4C0000}"/>
    <cellStyle name="40% - Accent6 2 4 8 2 2" xfId="29059" xr:uid="{00000000-0005-0000-0000-00001D4C0000}"/>
    <cellStyle name="40% - Accent6 2 4 8 3" xfId="24152" xr:uid="{00000000-0005-0000-0000-00001E4C0000}"/>
    <cellStyle name="40% - Accent6 2 4 9" xfId="4915" xr:uid="{00000000-0005-0000-0000-00001F4C0000}"/>
    <cellStyle name="40% - Accent6 2 4 9 2" xfId="16202" xr:uid="{00000000-0005-0000-0000-0000204C0000}"/>
    <cellStyle name="40% - Accent6 2 4 9 2 2" xfId="29609" xr:uid="{00000000-0005-0000-0000-0000214C0000}"/>
    <cellStyle name="40% - Accent6 2 4 9 3" xfId="22701" xr:uid="{00000000-0005-0000-0000-0000224C0000}"/>
    <cellStyle name="40% - Accent6 2 5" xfId="4916" xr:uid="{00000000-0005-0000-0000-0000234C0000}"/>
    <cellStyle name="40% - Accent6 2 5 2" xfId="4917" xr:uid="{00000000-0005-0000-0000-0000244C0000}"/>
    <cellStyle name="40% - Accent6 2 5 2 2" xfId="4918" xr:uid="{00000000-0005-0000-0000-0000254C0000}"/>
    <cellStyle name="40% - Accent6 2 5 2 2 2" xfId="11258" xr:uid="{00000000-0005-0000-0000-0000264C0000}"/>
    <cellStyle name="40% - Accent6 2 5 2 2 2 2" xfId="25200" xr:uid="{00000000-0005-0000-0000-0000274C0000}"/>
    <cellStyle name="40% - Accent6 2 5 2 2 3" xfId="24150" xr:uid="{00000000-0005-0000-0000-0000284C0000}"/>
    <cellStyle name="40% - Accent6 2 5 2 3" xfId="4919" xr:uid="{00000000-0005-0000-0000-0000294C0000}"/>
    <cellStyle name="40% - Accent6 2 5 2 3 2" xfId="13045" xr:uid="{00000000-0005-0000-0000-00002A4C0000}"/>
    <cellStyle name="40% - Accent6 2 5 2 3 2 2" xfId="26757" xr:uid="{00000000-0005-0000-0000-00002B4C0000}"/>
    <cellStyle name="40% - Accent6 2 5 2 3 3" xfId="22699" xr:uid="{00000000-0005-0000-0000-00002C4C0000}"/>
    <cellStyle name="40% - Accent6 2 5 2 4" xfId="4920" xr:uid="{00000000-0005-0000-0000-00002D4C0000}"/>
    <cellStyle name="40% - Accent6 2 5 2 4 2" xfId="15514" xr:uid="{00000000-0005-0000-0000-00002E4C0000}"/>
    <cellStyle name="40% - Accent6 2 5 2 4 2 2" xfId="29063" xr:uid="{00000000-0005-0000-0000-00002F4C0000}"/>
    <cellStyle name="40% - Accent6 2 5 2 4 3" xfId="24149" xr:uid="{00000000-0005-0000-0000-0000304C0000}"/>
    <cellStyle name="40% - Accent6 2 5 2 5" xfId="9531" xr:uid="{00000000-0005-0000-0000-0000314C0000}"/>
    <cellStyle name="40% - Accent6 2 5 2 5 2" xfId="24006" xr:uid="{00000000-0005-0000-0000-0000324C0000}"/>
    <cellStyle name="40% - Accent6 2 5 2 6" xfId="22700" xr:uid="{00000000-0005-0000-0000-0000334C0000}"/>
    <cellStyle name="40% - Accent6 2 5 3" xfId="4921" xr:uid="{00000000-0005-0000-0000-0000344C0000}"/>
    <cellStyle name="40% - Accent6 2 5 3 2" xfId="11257" xr:uid="{00000000-0005-0000-0000-0000354C0000}"/>
    <cellStyle name="40% - Accent6 2 5 3 2 2" xfId="25199" xr:uid="{00000000-0005-0000-0000-0000364C0000}"/>
    <cellStyle name="40% - Accent6 2 5 3 3" xfId="22698" xr:uid="{00000000-0005-0000-0000-0000374C0000}"/>
    <cellStyle name="40% - Accent6 2 5 4" xfId="4922" xr:uid="{00000000-0005-0000-0000-0000384C0000}"/>
    <cellStyle name="40% - Accent6 2 5 4 2" xfId="13044" xr:uid="{00000000-0005-0000-0000-0000394C0000}"/>
    <cellStyle name="40% - Accent6 2 5 4 2 2" xfId="26756" xr:uid="{00000000-0005-0000-0000-00003A4C0000}"/>
    <cellStyle name="40% - Accent6 2 5 4 3" xfId="24147" xr:uid="{00000000-0005-0000-0000-00003B4C0000}"/>
    <cellStyle name="40% - Accent6 2 5 5" xfId="4923" xr:uid="{00000000-0005-0000-0000-00003C4C0000}"/>
    <cellStyle name="40% - Accent6 2 5 5 2" xfId="15513" xr:uid="{00000000-0005-0000-0000-00003D4C0000}"/>
    <cellStyle name="40% - Accent6 2 5 5 2 2" xfId="29062" xr:uid="{00000000-0005-0000-0000-00003E4C0000}"/>
    <cellStyle name="40% - Accent6 2 5 5 3" xfId="24148" xr:uid="{00000000-0005-0000-0000-00003F4C0000}"/>
    <cellStyle name="40% - Accent6 2 5 6" xfId="4924" xr:uid="{00000000-0005-0000-0000-0000404C0000}"/>
    <cellStyle name="40% - Accent6 2 5 6 2" xfId="17018" xr:uid="{00000000-0005-0000-0000-0000414C0000}"/>
    <cellStyle name="40% - Accent6 2 5 6 2 2" xfId="30425" xr:uid="{00000000-0005-0000-0000-0000424C0000}"/>
    <cellStyle name="40% - Accent6 2 5 6 3" xfId="22697" xr:uid="{00000000-0005-0000-0000-0000434C0000}"/>
    <cellStyle name="40% - Accent6 2 5 7" xfId="9530" xr:uid="{00000000-0005-0000-0000-0000444C0000}"/>
    <cellStyle name="40% - Accent6 2 5 7 2" xfId="24005" xr:uid="{00000000-0005-0000-0000-0000454C0000}"/>
    <cellStyle name="40% - Accent6 2 5 8" xfId="24151" xr:uid="{00000000-0005-0000-0000-0000464C0000}"/>
    <cellStyle name="40% - Accent6 2 6" xfId="4925" xr:uid="{00000000-0005-0000-0000-0000474C0000}"/>
    <cellStyle name="40% - Accent6 2 6 2" xfId="4926" xr:uid="{00000000-0005-0000-0000-0000484C0000}"/>
    <cellStyle name="40% - Accent6 2 6 2 2" xfId="11259" xr:uid="{00000000-0005-0000-0000-0000494C0000}"/>
    <cellStyle name="40% - Accent6 2 6 2 2 2" xfId="25201" xr:uid="{00000000-0005-0000-0000-00004A4C0000}"/>
    <cellStyle name="40% - Accent6 2 6 2 3" xfId="24146" xr:uid="{00000000-0005-0000-0000-00004B4C0000}"/>
    <cellStyle name="40% - Accent6 2 6 3" xfId="4927" xr:uid="{00000000-0005-0000-0000-00004C4C0000}"/>
    <cellStyle name="40% - Accent6 2 6 3 2" xfId="13046" xr:uid="{00000000-0005-0000-0000-00004D4C0000}"/>
    <cellStyle name="40% - Accent6 2 6 3 2 2" xfId="26758" xr:uid="{00000000-0005-0000-0000-00004E4C0000}"/>
    <cellStyle name="40% - Accent6 2 6 3 3" xfId="26818" xr:uid="{00000000-0005-0000-0000-00004F4C0000}"/>
    <cellStyle name="40% - Accent6 2 6 4" xfId="4928" xr:uid="{00000000-0005-0000-0000-0000504C0000}"/>
    <cellStyle name="40% - Accent6 2 6 4 2" xfId="15515" xr:uid="{00000000-0005-0000-0000-0000514C0000}"/>
    <cellStyle name="40% - Accent6 2 6 4 2 2" xfId="29064" xr:uid="{00000000-0005-0000-0000-0000524C0000}"/>
    <cellStyle name="40% - Accent6 2 6 4 3" xfId="22695" xr:uid="{00000000-0005-0000-0000-0000534C0000}"/>
    <cellStyle name="40% - Accent6 2 6 5" xfId="4929" xr:uid="{00000000-0005-0000-0000-0000544C0000}"/>
    <cellStyle name="40% - Accent6 2 6 5 2" xfId="17130" xr:uid="{00000000-0005-0000-0000-0000554C0000}"/>
    <cellStyle name="40% - Accent6 2 6 5 2 2" xfId="30489" xr:uid="{00000000-0005-0000-0000-0000564C0000}"/>
    <cellStyle name="40% - Accent6 2 6 5 3" xfId="26819" xr:uid="{00000000-0005-0000-0000-0000574C0000}"/>
    <cellStyle name="40% - Accent6 2 6 6" xfId="9532" xr:uid="{00000000-0005-0000-0000-0000584C0000}"/>
    <cellStyle name="40% - Accent6 2 6 6 2" xfId="24007" xr:uid="{00000000-0005-0000-0000-0000594C0000}"/>
    <cellStyle name="40% - Accent6 2 6 7" xfId="22696" xr:uid="{00000000-0005-0000-0000-00005A4C0000}"/>
    <cellStyle name="40% - Accent6 2 7" xfId="4930" xr:uid="{00000000-0005-0000-0000-00005B4C0000}"/>
    <cellStyle name="40% - Accent6 2 7 2" xfId="4931" xr:uid="{00000000-0005-0000-0000-00005C4C0000}"/>
    <cellStyle name="40% - Accent6 2 7 2 2" xfId="11260" xr:uid="{00000000-0005-0000-0000-00005D4C0000}"/>
    <cellStyle name="40% - Accent6 2 7 2 2 2" xfId="25202" xr:uid="{00000000-0005-0000-0000-00005E4C0000}"/>
    <cellStyle name="40% - Accent6 2 7 2 3" xfId="22693" xr:uid="{00000000-0005-0000-0000-00005F4C0000}"/>
    <cellStyle name="40% - Accent6 2 7 3" xfId="4932" xr:uid="{00000000-0005-0000-0000-0000604C0000}"/>
    <cellStyle name="40% - Accent6 2 7 3 2" xfId="13047" xr:uid="{00000000-0005-0000-0000-0000614C0000}"/>
    <cellStyle name="40% - Accent6 2 7 3 2 2" xfId="26759" xr:uid="{00000000-0005-0000-0000-0000624C0000}"/>
    <cellStyle name="40% - Accent6 2 7 3 3" xfId="24144" xr:uid="{00000000-0005-0000-0000-0000634C0000}"/>
    <cellStyle name="40% - Accent6 2 7 4" xfId="4933" xr:uid="{00000000-0005-0000-0000-0000644C0000}"/>
    <cellStyle name="40% - Accent6 2 7 4 2" xfId="15516" xr:uid="{00000000-0005-0000-0000-0000654C0000}"/>
    <cellStyle name="40% - Accent6 2 7 4 2 2" xfId="29065" xr:uid="{00000000-0005-0000-0000-0000664C0000}"/>
    <cellStyle name="40% - Accent6 2 7 4 3" xfId="24145" xr:uid="{00000000-0005-0000-0000-0000674C0000}"/>
    <cellStyle name="40% - Accent6 2 7 5" xfId="4934" xr:uid="{00000000-0005-0000-0000-0000684C0000}"/>
    <cellStyle name="40% - Accent6 2 7 5 2" xfId="17219" xr:uid="{00000000-0005-0000-0000-0000694C0000}"/>
    <cellStyle name="40% - Accent6 2 7 5 2 2" xfId="30578" xr:uid="{00000000-0005-0000-0000-00006A4C0000}"/>
    <cellStyle name="40% - Accent6 2 7 5 3" xfId="22692" xr:uid="{00000000-0005-0000-0000-00006B4C0000}"/>
    <cellStyle name="40% - Accent6 2 7 6" xfId="9533" xr:uid="{00000000-0005-0000-0000-00006C4C0000}"/>
    <cellStyle name="40% - Accent6 2 7 6 2" xfId="24008" xr:uid="{00000000-0005-0000-0000-00006D4C0000}"/>
    <cellStyle name="40% - Accent6 2 7 7" xfId="22694" xr:uid="{00000000-0005-0000-0000-00006E4C0000}"/>
    <cellStyle name="40% - Accent6 2 8" xfId="4935" xr:uid="{00000000-0005-0000-0000-00006F4C0000}"/>
    <cellStyle name="40% - Accent6 2 8 2" xfId="4936" xr:uid="{00000000-0005-0000-0000-0000704C0000}"/>
    <cellStyle name="40% - Accent6 2 8 2 2" xfId="13048" xr:uid="{00000000-0005-0000-0000-0000714C0000}"/>
    <cellStyle name="40% - Accent6 2 8 2 2 2" xfId="26760" xr:uid="{00000000-0005-0000-0000-0000724C0000}"/>
    <cellStyle name="40% - Accent6 2 8 2 3" xfId="24143" xr:uid="{00000000-0005-0000-0000-0000734C0000}"/>
    <cellStyle name="40% - Accent6 2 8 3" xfId="4937" xr:uid="{00000000-0005-0000-0000-0000744C0000}"/>
    <cellStyle name="40% - Accent6 2 8 3 2" xfId="15517" xr:uid="{00000000-0005-0000-0000-0000754C0000}"/>
    <cellStyle name="40% - Accent6 2 8 3 2 2" xfId="29066" xr:uid="{00000000-0005-0000-0000-0000764C0000}"/>
    <cellStyle name="40% - Accent6 2 8 3 3" xfId="22690" xr:uid="{00000000-0005-0000-0000-0000774C0000}"/>
    <cellStyle name="40% - Accent6 2 8 4" xfId="4938" xr:uid="{00000000-0005-0000-0000-0000784C0000}"/>
    <cellStyle name="40% - Accent6 2 8 4 2" xfId="16494" xr:uid="{00000000-0005-0000-0000-0000794C0000}"/>
    <cellStyle name="40% - Accent6 2 8 4 2 2" xfId="29901" xr:uid="{00000000-0005-0000-0000-00007A4C0000}"/>
    <cellStyle name="40% - Accent6 2 8 4 3" xfId="24140" xr:uid="{00000000-0005-0000-0000-00007B4C0000}"/>
    <cellStyle name="40% - Accent6 2 8 5" xfId="10539" xr:uid="{00000000-0005-0000-0000-00007C4C0000}"/>
    <cellStyle name="40% - Accent6 2 8 5 2" xfId="24481" xr:uid="{00000000-0005-0000-0000-00007D4C0000}"/>
    <cellStyle name="40% - Accent6 2 8 6" xfId="22691" xr:uid="{00000000-0005-0000-0000-00007E4C0000}"/>
    <cellStyle name="40% - Accent6 2 9" xfId="4939" xr:uid="{00000000-0005-0000-0000-00007F4C0000}"/>
    <cellStyle name="40% - Accent6 2 9 2" xfId="4940" xr:uid="{00000000-0005-0000-0000-0000804C0000}"/>
    <cellStyle name="40% - Accent6 2 9 2 2" xfId="13049" xr:uid="{00000000-0005-0000-0000-0000814C0000}"/>
    <cellStyle name="40% - Accent6 2 9 2 2 2" xfId="26761" xr:uid="{00000000-0005-0000-0000-0000824C0000}"/>
    <cellStyle name="40% - Accent6 2 9 2 3" xfId="25250" xr:uid="{00000000-0005-0000-0000-0000834C0000}"/>
    <cellStyle name="40% - Accent6 2 9 3" xfId="4941" xr:uid="{00000000-0005-0000-0000-0000844C0000}"/>
    <cellStyle name="40% - Accent6 2 9 3 2" xfId="15518" xr:uid="{00000000-0005-0000-0000-0000854C0000}"/>
    <cellStyle name="40% - Accent6 2 9 3 2 2" xfId="29067" xr:uid="{00000000-0005-0000-0000-0000864C0000}"/>
    <cellStyle name="40% - Accent6 2 9 3 3" xfId="22688" xr:uid="{00000000-0005-0000-0000-0000874C0000}"/>
    <cellStyle name="40% - Accent6 2 9 4" xfId="11242" xr:uid="{00000000-0005-0000-0000-0000884C0000}"/>
    <cellStyle name="40% - Accent6 2 9 4 2" xfId="25184" xr:uid="{00000000-0005-0000-0000-0000894C0000}"/>
    <cellStyle name="40% - Accent6 2 9 5" xfId="22689" xr:uid="{00000000-0005-0000-0000-00008A4C0000}"/>
    <cellStyle name="40% - Accent6 20" xfId="4942" xr:uid="{00000000-0005-0000-0000-00008B4C0000}"/>
    <cellStyle name="40% - Accent6 20 2" xfId="4943" xr:uid="{00000000-0005-0000-0000-00008C4C0000}"/>
    <cellStyle name="40% - Accent6 20 2 2" xfId="13050" xr:uid="{00000000-0005-0000-0000-00008D4C0000}"/>
    <cellStyle name="40% - Accent6 20 2 2 2" xfId="26762" xr:uid="{00000000-0005-0000-0000-00008E4C0000}"/>
    <cellStyle name="40% - Accent6 20 2 3" xfId="29136" xr:uid="{00000000-0005-0000-0000-00008F4C0000}"/>
    <cellStyle name="40% - Accent6 20 3" xfId="4944" xr:uid="{00000000-0005-0000-0000-0000904C0000}"/>
    <cellStyle name="40% - Accent6 20 3 2" xfId="15519" xr:uid="{00000000-0005-0000-0000-0000914C0000}"/>
    <cellStyle name="40% - Accent6 20 3 2 2" xfId="29068" xr:uid="{00000000-0005-0000-0000-0000924C0000}"/>
    <cellStyle name="40% - Accent6 20 3 3" xfId="22687" xr:uid="{00000000-0005-0000-0000-0000934C0000}"/>
    <cellStyle name="40% - Accent6 20 4" xfId="10514" xr:uid="{00000000-0005-0000-0000-0000944C0000}"/>
    <cellStyle name="40% - Accent6 20 4 2" xfId="24462" xr:uid="{00000000-0005-0000-0000-0000954C0000}"/>
    <cellStyle name="40% - Accent6 20 5" xfId="24440" xr:uid="{00000000-0005-0000-0000-0000964C0000}"/>
    <cellStyle name="40% - Accent6 21" xfId="4945" xr:uid="{00000000-0005-0000-0000-0000974C0000}"/>
    <cellStyle name="40% - Accent6 21 2" xfId="4946" xr:uid="{00000000-0005-0000-0000-0000984C0000}"/>
    <cellStyle name="40% - Accent6 21 2 2" xfId="13051" xr:uid="{00000000-0005-0000-0000-0000994C0000}"/>
    <cellStyle name="40% - Accent6 21 2 2 2" xfId="26763" xr:uid="{00000000-0005-0000-0000-00009A4C0000}"/>
    <cellStyle name="40% - Accent6 21 2 3" xfId="24142" xr:uid="{00000000-0005-0000-0000-00009B4C0000}"/>
    <cellStyle name="40% - Accent6 21 3" xfId="4947" xr:uid="{00000000-0005-0000-0000-00009C4C0000}"/>
    <cellStyle name="40% - Accent6 21 3 2" xfId="15520" xr:uid="{00000000-0005-0000-0000-00009D4C0000}"/>
    <cellStyle name="40% - Accent6 21 3 2 2" xfId="29069" xr:uid="{00000000-0005-0000-0000-00009E4C0000}"/>
    <cellStyle name="40% - Accent6 21 3 3" xfId="22685" xr:uid="{00000000-0005-0000-0000-00009F4C0000}"/>
    <cellStyle name="40% - Accent6 21 4" xfId="11231" xr:uid="{00000000-0005-0000-0000-0000A04C0000}"/>
    <cellStyle name="40% - Accent6 21 4 2" xfId="25173" xr:uid="{00000000-0005-0000-0000-0000A14C0000}"/>
    <cellStyle name="40% - Accent6 21 5" xfId="22686" xr:uid="{00000000-0005-0000-0000-0000A24C0000}"/>
    <cellStyle name="40% - Accent6 22" xfId="4948" xr:uid="{00000000-0005-0000-0000-0000A34C0000}"/>
    <cellStyle name="40% - Accent6 22 2" xfId="11750" xr:uid="{00000000-0005-0000-0000-0000A44C0000}"/>
    <cellStyle name="40% - Accent6 22 2 2" xfId="25465" xr:uid="{00000000-0005-0000-0000-0000A54C0000}"/>
    <cellStyle name="40% - Accent6 22 3" xfId="24141" xr:uid="{00000000-0005-0000-0000-0000A64C0000}"/>
    <cellStyle name="40% - Accent6 23" xfId="4949" xr:uid="{00000000-0005-0000-0000-0000A74C0000}"/>
    <cellStyle name="40% - Accent6 23 2" xfId="13016" xr:uid="{00000000-0005-0000-0000-0000A84C0000}"/>
    <cellStyle name="40% - Accent6 23 2 2" xfId="26728" xr:uid="{00000000-0005-0000-0000-0000A94C0000}"/>
    <cellStyle name="40% - Accent6 23 3" xfId="22684" xr:uid="{00000000-0005-0000-0000-0000AA4C0000}"/>
    <cellStyle name="40% - Accent6 24" xfId="4950" xr:uid="{00000000-0005-0000-0000-0000AB4C0000}"/>
    <cellStyle name="40% - Accent6 24 2" xfId="13389" xr:uid="{00000000-0005-0000-0000-0000AC4C0000}"/>
    <cellStyle name="40% - Accent6 24 2 2" xfId="26938" xr:uid="{00000000-0005-0000-0000-0000AD4C0000}"/>
    <cellStyle name="40% - Accent6 24 3" xfId="23249" xr:uid="{00000000-0005-0000-0000-0000AE4C0000}"/>
    <cellStyle name="40% - Accent6 25" xfId="4951" xr:uid="{00000000-0005-0000-0000-0000AF4C0000}"/>
    <cellStyle name="40% - Accent6 25 2" xfId="13970" xr:uid="{00000000-0005-0000-0000-0000B04C0000}"/>
    <cellStyle name="40% - Accent6 25 2 2" xfId="27519" xr:uid="{00000000-0005-0000-0000-0000B14C0000}"/>
    <cellStyle name="40% - Accent6 25 3" xfId="24139" xr:uid="{00000000-0005-0000-0000-0000B24C0000}"/>
    <cellStyle name="40% - Accent6 26" xfId="4952" xr:uid="{00000000-0005-0000-0000-0000B34C0000}"/>
    <cellStyle name="40% - Accent6 26 2" xfId="15477" xr:uid="{00000000-0005-0000-0000-0000B44C0000}"/>
    <cellStyle name="40% - Accent6 26 2 2" xfId="29026" xr:uid="{00000000-0005-0000-0000-0000B54C0000}"/>
    <cellStyle name="40% - Accent6 26 3" xfId="22683" xr:uid="{00000000-0005-0000-0000-0000B64C0000}"/>
    <cellStyle name="40% - Accent6 27" xfId="4953" xr:uid="{00000000-0005-0000-0000-0000B74C0000}"/>
    <cellStyle name="40% - Accent6 27 2" xfId="15830" xr:uid="{00000000-0005-0000-0000-0000B84C0000}"/>
    <cellStyle name="40% - Accent6 27 2 2" xfId="29237" xr:uid="{00000000-0005-0000-0000-0000B94C0000}"/>
    <cellStyle name="40% - Accent6 27 3" xfId="24138" xr:uid="{00000000-0005-0000-0000-0000BA4C0000}"/>
    <cellStyle name="40% - Accent6 28" xfId="4954" xr:uid="{00000000-0005-0000-0000-0000BB4C0000}"/>
    <cellStyle name="40% - Accent6 28 2" xfId="15856" xr:uid="{00000000-0005-0000-0000-0000BC4C0000}"/>
    <cellStyle name="40% - Accent6 28 2 2" xfId="29263" xr:uid="{00000000-0005-0000-0000-0000BD4C0000}"/>
    <cellStyle name="40% - Accent6 28 3" xfId="22682" xr:uid="{00000000-0005-0000-0000-0000BE4C0000}"/>
    <cellStyle name="40% - Accent6 29" xfId="4955" xr:uid="{00000000-0005-0000-0000-0000BF4C0000}"/>
    <cellStyle name="40% - Accent6 29 2" xfId="9504" xr:uid="{00000000-0005-0000-0000-0000C04C0000}"/>
    <cellStyle name="40% - Accent6 29 2 2" xfId="23979" xr:uid="{00000000-0005-0000-0000-0000C14C0000}"/>
    <cellStyle name="40% - Accent6 29 3" xfId="24137" xr:uid="{00000000-0005-0000-0000-0000C24C0000}"/>
    <cellStyle name="40% - Accent6 3" xfId="4956" xr:uid="{00000000-0005-0000-0000-0000C34C0000}"/>
    <cellStyle name="40% - Accent6 3 10" xfId="4957" xr:uid="{00000000-0005-0000-0000-0000C44C0000}"/>
    <cellStyle name="40% - Accent6 3 10 2" xfId="14050" xr:uid="{00000000-0005-0000-0000-0000C54C0000}"/>
    <cellStyle name="40% - Accent6 3 10 2 2" xfId="27599" xr:uid="{00000000-0005-0000-0000-0000C64C0000}"/>
    <cellStyle name="40% - Accent6 3 10 3" xfId="24136" xr:uid="{00000000-0005-0000-0000-0000C74C0000}"/>
    <cellStyle name="40% - Accent6 3 11" xfId="4958" xr:uid="{00000000-0005-0000-0000-0000C84C0000}"/>
    <cellStyle name="40% - Accent6 3 11 2" xfId="15521" xr:uid="{00000000-0005-0000-0000-0000C94C0000}"/>
    <cellStyle name="40% - Accent6 3 11 2 2" xfId="29070" xr:uid="{00000000-0005-0000-0000-0000CA4C0000}"/>
    <cellStyle name="40% - Accent6 3 11 3" xfId="22680" xr:uid="{00000000-0005-0000-0000-0000CB4C0000}"/>
    <cellStyle name="40% - Accent6 3 12" xfId="4959" xr:uid="{00000000-0005-0000-0000-0000CC4C0000}"/>
    <cellStyle name="40% - Accent6 3 12 2" xfId="15936" xr:uid="{00000000-0005-0000-0000-0000CD4C0000}"/>
    <cellStyle name="40% - Accent6 3 12 2 2" xfId="29343" xr:uid="{00000000-0005-0000-0000-0000CE4C0000}"/>
    <cellStyle name="40% - Accent6 3 12 3" xfId="24134" xr:uid="{00000000-0005-0000-0000-0000CF4C0000}"/>
    <cellStyle name="40% - Accent6 3 13" xfId="9534" xr:uid="{00000000-0005-0000-0000-0000D04C0000}"/>
    <cellStyle name="40% - Accent6 3 13 2" xfId="24009" xr:uid="{00000000-0005-0000-0000-0000D14C0000}"/>
    <cellStyle name="40% - Accent6 3 14" xfId="22681" xr:uid="{00000000-0005-0000-0000-0000D24C0000}"/>
    <cellStyle name="40% - Accent6 3 2" xfId="4960" xr:uid="{00000000-0005-0000-0000-0000D34C0000}"/>
    <cellStyle name="40% - Accent6 3 2 10" xfId="4961" xr:uid="{00000000-0005-0000-0000-0000D44C0000}"/>
    <cellStyle name="40% - Accent6 3 2 10 2" xfId="16079" xr:uid="{00000000-0005-0000-0000-0000D54C0000}"/>
    <cellStyle name="40% - Accent6 3 2 10 2 2" xfId="29486" xr:uid="{00000000-0005-0000-0000-0000D64C0000}"/>
    <cellStyle name="40% - Accent6 3 2 10 3" xfId="22679" xr:uid="{00000000-0005-0000-0000-0000D74C0000}"/>
    <cellStyle name="40% - Accent6 3 2 11" xfId="9535" xr:uid="{00000000-0005-0000-0000-0000D84C0000}"/>
    <cellStyle name="40% - Accent6 3 2 11 2" xfId="24010" xr:uid="{00000000-0005-0000-0000-0000D94C0000}"/>
    <cellStyle name="40% - Accent6 3 2 12" xfId="24135" xr:uid="{00000000-0005-0000-0000-0000DA4C0000}"/>
    <cellStyle name="40% - Accent6 3 2 2" xfId="4962" xr:uid="{00000000-0005-0000-0000-0000DB4C0000}"/>
    <cellStyle name="40% - Accent6 3 2 2 10" xfId="9536" xr:uid="{00000000-0005-0000-0000-0000DC4C0000}"/>
    <cellStyle name="40% - Accent6 3 2 2 10 2" xfId="24011" xr:uid="{00000000-0005-0000-0000-0000DD4C0000}"/>
    <cellStyle name="40% - Accent6 3 2 2 11" xfId="22678" xr:uid="{00000000-0005-0000-0000-0000DE4C0000}"/>
    <cellStyle name="40% - Accent6 3 2 2 2" xfId="4963" xr:uid="{00000000-0005-0000-0000-0000DF4C0000}"/>
    <cellStyle name="40% - Accent6 3 2 2 2 2" xfId="4964" xr:uid="{00000000-0005-0000-0000-0000E04C0000}"/>
    <cellStyle name="40% - Accent6 3 2 2 2 2 2" xfId="11264" xr:uid="{00000000-0005-0000-0000-0000E14C0000}"/>
    <cellStyle name="40% - Accent6 3 2 2 2 2 2 2" xfId="25206" xr:uid="{00000000-0005-0000-0000-0000E24C0000}"/>
    <cellStyle name="40% - Accent6 3 2 2 2 2 3" xfId="26816" xr:uid="{00000000-0005-0000-0000-0000E34C0000}"/>
    <cellStyle name="40% - Accent6 3 2 2 2 3" xfId="4965" xr:uid="{00000000-0005-0000-0000-0000E44C0000}"/>
    <cellStyle name="40% - Accent6 3 2 2 2 3 2" xfId="13055" xr:uid="{00000000-0005-0000-0000-0000E54C0000}"/>
    <cellStyle name="40% - Accent6 3 2 2 2 3 2 2" xfId="26767" xr:uid="{00000000-0005-0000-0000-0000E64C0000}"/>
    <cellStyle name="40% - Accent6 3 2 2 2 3 3" xfId="22677" xr:uid="{00000000-0005-0000-0000-0000E74C0000}"/>
    <cellStyle name="40% - Accent6 3 2 2 2 4" xfId="4966" xr:uid="{00000000-0005-0000-0000-0000E84C0000}"/>
    <cellStyle name="40% - Accent6 3 2 2 2 4 2" xfId="15524" xr:uid="{00000000-0005-0000-0000-0000E94C0000}"/>
    <cellStyle name="40% - Accent6 3 2 2 2 4 2 2" xfId="29073" xr:uid="{00000000-0005-0000-0000-0000EA4C0000}"/>
    <cellStyle name="40% - Accent6 3 2 2 2 4 3" xfId="26817" xr:uid="{00000000-0005-0000-0000-0000EB4C0000}"/>
    <cellStyle name="40% - Accent6 3 2 2 2 5" xfId="4967" xr:uid="{00000000-0005-0000-0000-0000EC4C0000}"/>
    <cellStyle name="40% - Accent6 3 2 2 2 5 2" xfId="16949" xr:uid="{00000000-0005-0000-0000-0000ED4C0000}"/>
    <cellStyle name="40% - Accent6 3 2 2 2 5 2 2" xfId="30356" xr:uid="{00000000-0005-0000-0000-0000EE4C0000}"/>
    <cellStyle name="40% - Accent6 3 2 2 2 5 3" xfId="22676" xr:uid="{00000000-0005-0000-0000-0000EF4C0000}"/>
    <cellStyle name="40% - Accent6 3 2 2 2 6" xfId="9537" xr:uid="{00000000-0005-0000-0000-0000F04C0000}"/>
    <cellStyle name="40% - Accent6 3 2 2 2 6 2" xfId="24012" xr:uid="{00000000-0005-0000-0000-0000F14C0000}"/>
    <cellStyle name="40% - Accent6 3 2 2 2 7" xfId="24133" xr:uid="{00000000-0005-0000-0000-0000F24C0000}"/>
    <cellStyle name="40% - Accent6 3 2 2 3" xfId="4968" xr:uid="{00000000-0005-0000-0000-0000F34C0000}"/>
    <cellStyle name="40% - Accent6 3 2 2 3 2" xfId="4969" xr:uid="{00000000-0005-0000-0000-0000F44C0000}"/>
    <cellStyle name="40% - Accent6 3 2 2 3 2 2" xfId="15525" xr:uid="{00000000-0005-0000-0000-0000F54C0000}"/>
    <cellStyle name="40% - Accent6 3 2 2 3 2 2 2" xfId="29074" xr:uid="{00000000-0005-0000-0000-0000F64C0000}"/>
    <cellStyle name="40% - Accent6 3 2 2 3 2 3" xfId="24131" xr:uid="{00000000-0005-0000-0000-0000F74C0000}"/>
    <cellStyle name="40% - Accent6 3 2 2 3 3" xfId="11263" xr:uid="{00000000-0005-0000-0000-0000F84C0000}"/>
    <cellStyle name="40% - Accent6 3 2 2 3 3 2" xfId="25205" xr:uid="{00000000-0005-0000-0000-0000F94C0000}"/>
    <cellStyle name="40% - Accent6 3 2 2 3 4" xfId="22675" xr:uid="{00000000-0005-0000-0000-0000FA4C0000}"/>
    <cellStyle name="40% - Accent6 3 2 2 4" xfId="4970" xr:uid="{00000000-0005-0000-0000-0000FB4C0000}"/>
    <cellStyle name="40% - Accent6 3 2 2 4 2" xfId="12337" xr:uid="{00000000-0005-0000-0000-0000FC4C0000}"/>
    <cellStyle name="40% - Accent6 3 2 2 4 2 2" xfId="26049" xr:uid="{00000000-0005-0000-0000-0000FD4C0000}"/>
    <cellStyle name="40% - Accent6 3 2 2 4 3" xfId="24132" xr:uid="{00000000-0005-0000-0000-0000FE4C0000}"/>
    <cellStyle name="40% - Accent6 3 2 2 5" xfId="4971" xr:uid="{00000000-0005-0000-0000-0000FF4C0000}"/>
    <cellStyle name="40% - Accent6 3 2 2 5 2" xfId="13054" xr:uid="{00000000-0005-0000-0000-0000004D0000}"/>
    <cellStyle name="40% - Accent6 3 2 2 5 2 2" xfId="26766" xr:uid="{00000000-0005-0000-0000-0000014D0000}"/>
    <cellStyle name="40% - Accent6 3 2 2 5 3" xfId="22674" xr:uid="{00000000-0005-0000-0000-0000024D0000}"/>
    <cellStyle name="40% - Accent6 3 2 2 6" xfId="4972" xr:uid="{00000000-0005-0000-0000-0000034D0000}"/>
    <cellStyle name="40% - Accent6 3 2 2 6 2" xfId="13901" xr:uid="{00000000-0005-0000-0000-0000044D0000}"/>
    <cellStyle name="40% - Accent6 3 2 2 6 2 2" xfId="27450" xr:uid="{00000000-0005-0000-0000-0000054D0000}"/>
    <cellStyle name="40% - Accent6 3 2 2 6 3" xfId="22673" xr:uid="{00000000-0005-0000-0000-0000064D0000}"/>
    <cellStyle name="40% - Accent6 3 2 2 7" xfId="4973" xr:uid="{00000000-0005-0000-0000-0000074D0000}"/>
    <cellStyle name="40% - Accent6 3 2 2 7 2" xfId="14482" xr:uid="{00000000-0005-0000-0000-0000084D0000}"/>
    <cellStyle name="40% - Accent6 3 2 2 7 2 2" xfId="28031" xr:uid="{00000000-0005-0000-0000-0000094D0000}"/>
    <cellStyle name="40% - Accent6 3 2 2 7 3" xfId="24130" xr:uid="{00000000-0005-0000-0000-00000A4D0000}"/>
    <cellStyle name="40% - Accent6 3 2 2 8" xfId="4974" xr:uid="{00000000-0005-0000-0000-00000B4D0000}"/>
    <cellStyle name="40% - Accent6 3 2 2 8 2" xfId="15523" xr:uid="{00000000-0005-0000-0000-00000C4D0000}"/>
    <cellStyle name="40% - Accent6 3 2 2 8 2 2" xfId="29072" xr:uid="{00000000-0005-0000-0000-00000D4D0000}"/>
    <cellStyle name="40% - Accent6 3 2 2 8 3" xfId="22672" xr:uid="{00000000-0005-0000-0000-00000E4D0000}"/>
    <cellStyle name="40% - Accent6 3 2 2 9" xfId="4975" xr:uid="{00000000-0005-0000-0000-00000F4D0000}"/>
    <cellStyle name="40% - Accent6 3 2 2 9 2" xfId="16368" xr:uid="{00000000-0005-0000-0000-0000104D0000}"/>
    <cellStyle name="40% - Accent6 3 2 2 9 2 2" xfId="29775" xr:uid="{00000000-0005-0000-0000-0000114D0000}"/>
    <cellStyle name="40% - Accent6 3 2 2 9 3" xfId="24127" xr:uid="{00000000-0005-0000-0000-0000124D0000}"/>
    <cellStyle name="40% - Accent6 3 2 3" xfId="4976" xr:uid="{00000000-0005-0000-0000-0000134D0000}"/>
    <cellStyle name="40% - Accent6 3 2 3 2" xfId="4977" xr:uid="{00000000-0005-0000-0000-0000144D0000}"/>
    <cellStyle name="40% - Accent6 3 2 3 2 2" xfId="11265" xr:uid="{00000000-0005-0000-0000-0000154D0000}"/>
    <cellStyle name="40% - Accent6 3 2 3 2 2 2" xfId="25207" xr:uid="{00000000-0005-0000-0000-0000164D0000}"/>
    <cellStyle name="40% - Accent6 3 2 3 2 3" xfId="25249" xr:uid="{00000000-0005-0000-0000-0000174D0000}"/>
    <cellStyle name="40% - Accent6 3 2 3 3" xfId="4978" xr:uid="{00000000-0005-0000-0000-0000184D0000}"/>
    <cellStyle name="40% - Accent6 3 2 3 3 2" xfId="13056" xr:uid="{00000000-0005-0000-0000-0000194D0000}"/>
    <cellStyle name="40% - Accent6 3 2 3 3 2 2" xfId="26768" xr:uid="{00000000-0005-0000-0000-00001A4D0000}"/>
    <cellStyle name="40% - Accent6 3 2 3 3 3" xfId="22670" xr:uid="{00000000-0005-0000-0000-00001B4D0000}"/>
    <cellStyle name="40% - Accent6 3 2 3 4" xfId="4979" xr:uid="{00000000-0005-0000-0000-00001C4D0000}"/>
    <cellStyle name="40% - Accent6 3 2 3 4 2" xfId="15526" xr:uid="{00000000-0005-0000-0000-00001D4D0000}"/>
    <cellStyle name="40% - Accent6 3 2 3 4 2 2" xfId="29075" xr:uid="{00000000-0005-0000-0000-00001E4D0000}"/>
    <cellStyle name="40% - Accent6 3 2 3 4 3" xfId="24439" xr:uid="{00000000-0005-0000-0000-00001F4D0000}"/>
    <cellStyle name="40% - Accent6 3 2 3 5" xfId="4980" xr:uid="{00000000-0005-0000-0000-0000204D0000}"/>
    <cellStyle name="40% - Accent6 3 2 3 5 2" xfId="16660" xr:uid="{00000000-0005-0000-0000-0000214D0000}"/>
    <cellStyle name="40% - Accent6 3 2 3 5 2 2" xfId="30067" xr:uid="{00000000-0005-0000-0000-0000224D0000}"/>
    <cellStyle name="40% - Accent6 3 2 3 5 3" xfId="29135" xr:uid="{00000000-0005-0000-0000-0000234D0000}"/>
    <cellStyle name="40% - Accent6 3 2 3 6" xfId="9538" xr:uid="{00000000-0005-0000-0000-0000244D0000}"/>
    <cellStyle name="40% - Accent6 3 2 3 6 2" xfId="24013" xr:uid="{00000000-0005-0000-0000-0000254D0000}"/>
    <cellStyle name="40% - Accent6 3 2 3 7" xfId="22671" xr:uid="{00000000-0005-0000-0000-0000264D0000}"/>
    <cellStyle name="40% - Accent6 3 2 4" xfId="4981" xr:uid="{00000000-0005-0000-0000-0000274D0000}"/>
    <cellStyle name="40% - Accent6 3 2 4 2" xfId="4982" xr:uid="{00000000-0005-0000-0000-0000284D0000}"/>
    <cellStyle name="40% - Accent6 3 2 4 2 2" xfId="15527" xr:uid="{00000000-0005-0000-0000-0000294D0000}"/>
    <cellStyle name="40% - Accent6 3 2 4 2 2 2" xfId="29076" xr:uid="{00000000-0005-0000-0000-00002A4D0000}"/>
    <cellStyle name="40% - Accent6 3 2 4 2 3" xfId="22668" xr:uid="{00000000-0005-0000-0000-00002B4D0000}"/>
    <cellStyle name="40% - Accent6 3 2 4 3" xfId="11262" xr:uid="{00000000-0005-0000-0000-00002C4D0000}"/>
    <cellStyle name="40% - Accent6 3 2 4 3 2" xfId="25204" xr:uid="{00000000-0005-0000-0000-00002D4D0000}"/>
    <cellStyle name="40% - Accent6 3 2 4 4" xfId="22669" xr:uid="{00000000-0005-0000-0000-00002E4D0000}"/>
    <cellStyle name="40% - Accent6 3 2 5" xfId="4983" xr:uid="{00000000-0005-0000-0000-00002F4D0000}"/>
    <cellStyle name="40% - Accent6 3 2 5 2" xfId="12037" xr:uid="{00000000-0005-0000-0000-0000304D0000}"/>
    <cellStyle name="40% - Accent6 3 2 5 2 2" xfId="25752" xr:uid="{00000000-0005-0000-0000-0000314D0000}"/>
    <cellStyle name="40% - Accent6 3 2 5 3" xfId="24129" xr:uid="{00000000-0005-0000-0000-0000324D0000}"/>
    <cellStyle name="40% - Accent6 3 2 6" xfId="4984" xr:uid="{00000000-0005-0000-0000-0000334D0000}"/>
    <cellStyle name="40% - Accent6 3 2 6 2" xfId="13053" xr:uid="{00000000-0005-0000-0000-0000344D0000}"/>
    <cellStyle name="40% - Accent6 3 2 6 2 2" xfId="26765" xr:uid="{00000000-0005-0000-0000-0000354D0000}"/>
    <cellStyle name="40% - Accent6 3 2 6 3" xfId="22667" xr:uid="{00000000-0005-0000-0000-0000364D0000}"/>
    <cellStyle name="40% - Accent6 3 2 7" xfId="4985" xr:uid="{00000000-0005-0000-0000-0000374D0000}"/>
    <cellStyle name="40% - Accent6 3 2 7 2" xfId="13612" xr:uid="{00000000-0005-0000-0000-0000384D0000}"/>
    <cellStyle name="40% - Accent6 3 2 7 2 2" xfId="27161" xr:uid="{00000000-0005-0000-0000-0000394D0000}"/>
    <cellStyle name="40% - Accent6 3 2 7 3" xfId="24128" xr:uid="{00000000-0005-0000-0000-00003A4D0000}"/>
    <cellStyle name="40% - Accent6 3 2 8" xfId="4986" xr:uid="{00000000-0005-0000-0000-00003B4D0000}"/>
    <cellStyle name="40% - Accent6 3 2 8 2" xfId="14193" xr:uid="{00000000-0005-0000-0000-00003C4D0000}"/>
    <cellStyle name="40% - Accent6 3 2 8 2 2" xfId="27742" xr:uid="{00000000-0005-0000-0000-00003D4D0000}"/>
    <cellStyle name="40% - Accent6 3 2 8 3" xfId="22666" xr:uid="{00000000-0005-0000-0000-00003E4D0000}"/>
    <cellStyle name="40% - Accent6 3 2 9" xfId="4987" xr:uid="{00000000-0005-0000-0000-00003F4D0000}"/>
    <cellStyle name="40% - Accent6 3 2 9 2" xfId="15522" xr:uid="{00000000-0005-0000-0000-0000404D0000}"/>
    <cellStyle name="40% - Accent6 3 2 9 2 2" xfId="29071" xr:uid="{00000000-0005-0000-0000-0000414D0000}"/>
    <cellStyle name="40% - Accent6 3 2 9 3" xfId="23245" xr:uid="{00000000-0005-0000-0000-0000424D0000}"/>
    <cellStyle name="40% - Accent6 3 3" xfId="4988" xr:uid="{00000000-0005-0000-0000-0000434D0000}"/>
    <cellStyle name="40% - Accent6 3 3 10" xfId="9539" xr:uid="{00000000-0005-0000-0000-0000444D0000}"/>
    <cellStyle name="40% - Accent6 3 3 10 2" xfId="24014" xr:uid="{00000000-0005-0000-0000-0000454D0000}"/>
    <cellStyle name="40% - Accent6 3 3 11" xfId="24126" xr:uid="{00000000-0005-0000-0000-0000464D0000}"/>
    <cellStyle name="40% - Accent6 3 3 2" xfId="4989" xr:uid="{00000000-0005-0000-0000-0000474D0000}"/>
    <cellStyle name="40% - Accent6 3 3 2 2" xfId="4990" xr:uid="{00000000-0005-0000-0000-0000484D0000}"/>
    <cellStyle name="40% - Accent6 3 3 2 2 2" xfId="11267" xr:uid="{00000000-0005-0000-0000-0000494D0000}"/>
    <cellStyle name="40% - Accent6 3 3 2 2 2 2" xfId="25209" xr:uid="{00000000-0005-0000-0000-00004A4D0000}"/>
    <cellStyle name="40% - Accent6 3 3 2 2 3" xfId="24125" xr:uid="{00000000-0005-0000-0000-00004B4D0000}"/>
    <cellStyle name="40% - Accent6 3 3 2 3" xfId="4991" xr:uid="{00000000-0005-0000-0000-00004C4D0000}"/>
    <cellStyle name="40% - Accent6 3 3 2 3 2" xfId="13058" xr:uid="{00000000-0005-0000-0000-00004D4D0000}"/>
    <cellStyle name="40% - Accent6 3 3 2 3 2 2" xfId="26770" xr:uid="{00000000-0005-0000-0000-00004E4D0000}"/>
    <cellStyle name="40% - Accent6 3 3 2 3 3" xfId="22664" xr:uid="{00000000-0005-0000-0000-00004F4D0000}"/>
    <cellStyle name="40% - Accent6 3 3 2 4" xfId="4992" xr:uid="{00000000-0005-0000-0000-0000504D0000}"/>
    <cellStyle name="40% - Accent6 3 3 2 4 2" xfId="15529" xr:uid="{00000000-0005-0000-0000-0000514D0000}"/>
    <cellStyle name="40% - Accent6 3 3 2 4 2 2" xfId="29078" xr:uid="{00000000-0005-0000-0000-0000524D0000}"/>
    <cellStyle name="40% - Accent6 3 3 2 4 3" xfId="24124" xr:uid="{00000000-0005-0000-0000-0000534D0000}"/>
    <cellStyle name="40% - Accent6 3 3 2 5" xfId="4993" xr:uid="{00000000-0005-0000-0000-0000544D0000}"/>
    <cellStyle name="40% - Accent6 3 3 2 5 2" xfId="16806" xr:uid="{00000000-0005-0000-0000-0000554D0000}"/>
    <cellStyle name="40% - Accent6 3 3 2 5 2 2" xfId="30213" xr:uid="{00000000-0005-0000-0000-0000564D0000}"/>
    <cellStyle name="40% - Accent6 3 3 2 5 3" xfId="22663" xr:uid="{00000000-0005-0000-0000-0000574D0000}"/>
    <cellStyle name="40% - Accent6 3 3 2 6" xfId="9540" xr:uid="{00000000-0005-0000-0000-0000584D0000}"/>
    <cellStyle name="40% - Accent6 3 3 2 6 2" xfId="24015" xr:uid="{00000000-0005-0000-0000-0000594D0000}"/>
    <cellStyle name="40% - Accent6 3 3 2 7" xfId="22665" xr:uid="{00000000-0005-0000-0000-00005A4D0000}"/>
    <cellStyle name="40% - Accent6 3 3 3" xfId="4994" xr:uid="{00000000-0005-0000-0000-00005B4D0000}"/>
    <cellStyle name="40% - Accent6 3 3 3 2" xfId="4995" xr:uid="{00000000-0005-0000-0000-00005C4D0000}"/>
    <cellStyle name="40% - Accent6 3 3 3 2 2" xfId="15530" xr:uid="{00000000-0005-0000-0000-00005D4D0000}"/>
    <cellStyle name="40% - Accent6 3 3 3 2 2 2" xfId="29079" xr:uid="{00000000-0005-0000-0000-00005E4D0000}"/>
    <cellStyle name="40% - Accent6 3 3 3 2 3" xfId="22662" xr:uid="{00000000-0005-0000-0000-00005F4D0000}"/>
    <cellStyle name="40% - Accent6 3 3 3 3" xfId="11266" xr:uid="{00000000-0005-0000-0000-0000604D0000}"/>
    <cellStyle name="40% - Accent6 3 3 3 3 2" xfId="25208" xr:uid="{00000000-0005-0000-0000-0000614D0000}"/>
    <cellStyle name="40% - Accent6 3 3 3 4" xfId="24123" xr:uid="{00000000-0005-0000-0000-0000624D0000}"/>
    <cellStyle name="40% - Accent6 3 3 4" xfId="4996" xr:uid="{00000000-0005-0000-0000-0000634D0000}"/>
    <cellStyle name="40% - Accent6 3 3 4 2" xfId="12194" xr:uid="{00000000-0005-0000-0000-0000644D0000}"/>
    <cellStyle name="40% - Accent6 3 3 4 2 2" xfId="25906" xr:uid="{00000000-0005-0000-0000-0000654D0000}"/>
    <cellStyle name="40% - Accent6 3 3 4 3" xfId="24121" xr:uid="{00000000-0005-0000-0000-0000664D0000}"/>
    <cellStyle name="40% - Accent6 3 3 5" xfId="4997" xr:uid="{00000000-0005-0000-0000-0000674D0000}"/>
    <cellStyle name="40% - Accent6 3 3 5 2" xfId="13057" xr:uid="{00000000-0005-0000-0000-0000684D0000}"/>
    <cellStyle name="40% - Accent6 3 3 5 2 2" xfId="26769" xr:uid="{00000000-0005-0000-0000-0000694D0000}"/>
    <cellStyle name="40% - Accent6 3 3 5 3" xfId="24122" xr:uid="{00000000-0005-0000-0000-00006A4D0000}"/>
    <cellStyle name="40% - Accent6 3 3 6" xfId="4998" xr:uid="{00000000-0005-0000-0000-00006B4D0000}"/>
    <cellStyle name="40% - Accent6 3 3 6 2" xfId="13758" xr:uid="{00000000-0005-0000-0000-00006C4D0000}"/>
    <cellStyle name="40% - Accent6 3 3 6 2 2" xfId="27307" xr:uid="{00000000-0005-0000-0000-00006D4D0000}"/>
    <cellStyle name="40% - Accent6 3 3 6 3" xfId="22661" xr:uid="{00000000-0005-0000-0000-00006E4D0000}"/>
    <cellStyle name="40% - Accent6 3 3 7" xfId="4999" xr:uid="{00000000-0005-0000-0000-00006F4D0000}"/>
    <cellStyle name="40% - Accent6 3 3 7 2" xfId="14339" xr:uid="{00000000-0005-0000-0000-0000704D0000}"/>
    <cellStyle name="40% - Accent6 3 3 7 2 2" xfId="27888" xr:uid="{00000000-0005-0000-0000-0000714D0000}"/>
    <cellStyle name="40% - Accent6 3 3 7 3" xfId="22660" xr:uid="{00000000-0005-0000-0000-0000724D0000}"/>
    <cellStyle name="40% - Accent6 3 3 8" xfId="5000" xr:uid="{00000000-0005-0000-0000-0000734D0000}"/>
    <cellStyle name="40% - Accent6 3 3 8 2" xfId="15528" xr:uid="{00000000-0005-0000-0000-0000744D0000}"/>
    <cellStyle name="40% - Accent6 3 3 8 2 2" xfId="29077" xr:uid="{00000000-0005-0000-0000-0000754D0000}"/>
    <cellStyle name="40% - Accent6 3 3 8 3" xfId="24120" xr:uid="{00000000-0005-0000-0000-0000764D0000}"/>
    <cellStyle name="40% - Accent6 3 3 9" xfId="5001" xr:uid="{00000000-0005-0000-0000-0000774D0000}"/>
    <cellStyle name="40% - Accent6 3 3 9 2" xfId="16225" xr:uid="{00000000-0005-0000-0000-0000784D0000}"/>
    <cellStyle name="40% - Accent6 3 3 9 2 2" xfId="29632" xr:uid="{00000000-0005-0000-0000-0000794D0000}"/>
    <cellStyle name="40% - Accent6 3 3 9 3" xfId="26814" xr:uid="{00000000-0005-0000-0000-00007A4D0000}"/>
    <cellStyle name="40% - Accent6 3 4" xfId="5002" xr:uid="{00000000-0005-0000-0000-00007B4D0000}"/>
    <cellStyle name="40% - Accent6 3 4 2" xfId="5003" xr:uid="{00000000-0005-0000-0000-00007C4D0000}"/>
    <cellStyle name="40% - Accent6 3 4 2 2" xfId="11268" xr:uid="{00000000-0005-0000-0000-00007D4D0000}"/>
    <cellStyle name="40% - Accent6 3 4 2 2 2" xfId="25210" xr:uid="{00000000-0005-0000-0000-00007E4D0000}"/>
    <cellStyle name="40% - Accent6 3 4 2 3" xfId="26815" xr:uid="{00000000-0005-0000-0000-00007F4D0000}"/>
    <cellStyle name="40% - Accent6 3 4 3" xfId="5004" xr:uid="{00000000-0005-0000-0000-0000804D0000}"/>
    <cellStyle name="40% - Accent6 3 4 3 2" xfId="13059" xr:uid="{00000000-0005-0000-0000-0000814D0000}"/>
    <cellStyle name="40% - Accent6 3 4 3 2 2" xfId="26771" xr:uid="{00000000-0005-0000-0000-0000824D0000}"/>
    <cellStyle name="40% - Accent6 3 4 3 3" xfId="22658" xr:uid="{00000000-0005-0000-0000-0000834D0000}"/>
    <cellStyle name="40% - Accent6 3 4 4" xfId="5005" xr:uid="{00000000-0005-0000-0000-0000844D0000}"/>
    <cellStyle name="40% - Accent6 3 4 4 2" xfId="15531" xr:uid="{00000000-0005-0000-0000-0000854D0000}"/>
    <cellStyle name="40% - Accent6 3 4 4 2 2" xfId="29080" xr:uid="{00000000-0005-0000-0000-0000864D0000}"/>
    <cellStyle name="40% - Accent6 3 4 4 3" xfId="22657" xr:uid="{00000000-0005-0000-0000-0000874D0000}"/>
    <cellStyle name="40% - Accent6 3 4 5" xfId="5006" xr:uid="{00000000-0005-0000-0000-0000884D0000}"/>
    <cellStyle name="40% - Accent6 3 4 5 2" xfId="17153" xr:uid="{00000000-0005-0000-0000-0000894D0000}"/>
    <cellStyle name="40% - Accent6 3 4 5 2 2" xfId="30512" xr:uid="{00000000-0005-0000-0000-00008A4D0000}"/>
    <cellStyle name="40% - Accent6 3 4 5 3" xfId="24118" xr:uid="{00000000-0005-0000-0000-00008B4D0000}"/>
    <cellStyle name="40% - Accent6 3 4 6" xfId="9541" xr:uid="{00000000-0005-0000-0000-00008C4D0000}"/>
    <cellStyle name="40% - Accent6 3 4 6 2" xfId="24016" xr:uid="{00000000-0005-0000-0000-00008D4D0000}"/>
    <cellStyle name="40% - Accent6 3 4 7" xfId="22659" xr:uid="{00000000-0005-0000-0000-00008E4D0000}"/>
    <cellStyle name="40% - Accent6 3 5" xfId="5007" xr:uid="{00000000-0005-0000-0000-00008F4D0000}"/>
    <cellStyle name="40% - Accent6 3 5 2" xfId="5008" xr:uid="{00000000-0005-0000-0000-0000904D0000}"/>
    <cellStyle name="40% - Accent6 3 5 2 2" xfId="11269" xr:uid="{00000000-0005-0000-0000-0000914D0000}"/>
    <cellStyle name="40% - Accent6 3 5 2 2 2" xfId="25211" xr:uid="{00000000-0005-0000-0000-0000924D0000}"/>
    <cellStyle name="40% - Accent6 3 5 2 3" xfId="22656" xr:uid="{00000000-0005-0000-0000-0000934D0000}"/>
    <cellStyle name="40% - Accent6 3 5 3" xfId="5009" xr:uid="{00000000-0005-0000-0000-0000944D0000}"/>
    <cellStyle name="40% - Accent6 3 5 3 2" xfId="13060" xr:uid="{00000000-0005-0000-0000-0000954D0000}"/>
    <cellStyle name="40% - Accent6 3 5 3 2 2" xfId="26772" xr:uid="{00000000-0005-0000-0000-0000964D0000}"/>
    <cellStyle name="40% - Accent6 3 5 3 3" xfId="22655" xr:uid="{00000000-0005-0000-0000-0000974D0000}"/>
    <cellStyle name="40% - Accent6 3 5 4" xfId="5010" xr:uid="{00000000-0005-0000-0000-0000984D0000}"/>
    <cellStyle name="40% - Accent6 3 5 4 2" xfId="15532" xr:uid="{00000000-0005-0000-0000-0000994D0000}"/>
    <cellStyle name="40% - Accent6 3 5 4 2 2" xfId="29081" xr:uid="{00000000-0005-0000-0000-00009A4D0000}"/>
    <cellStyle name="40% - Accent6 3 5 4 3" xfId="24117" xr:uid="{00000000-0005-0000-0000-00009B4D0000}"/>
    <cellStyle name="40% - Accent6 3 5 5" xfId="5011" xr:uid="{00000000-0005-0000-0000-00009C4D0000}"/>
    <cellStyle name="40% - Accent6 3 5 5 2" xfId="17242" xr:uid="{00000000-0005-0000-0000-00009D4D0000}"/>
    <cellStyle name="40% - Accent6 3 5 5 2 2" xfId="30601" xr:uid="{00000000-0005-0000-0000-00009E4D0000}"/>
    <cellStyle name="40% - Accent6 3 5 5 3" xfId="22654" xr:uid="{00000000-0005-0000-0000-00009F4D0000}"/>
    <cellStyle name="40% - Accent6 3 5 6" xfId="9542" xr:uid="{00000000-0005-0000-0000-0000A04D0000}"/>
    <cellStyle name="40% - Accent6 3 5 6 2" xfId="24017" xr:uid="{00000000-0005-0000-0000-0000A14D0000}"/>
    <cellStyle name="40% - Accent6 3 5 7" xfId="24119" xr:uid="{00000000-0005-0000-0000-0000A24D0000}"/>
    <cellStyle name="40% - Accent6 3 6" xfId="5012" xr:uid="{00000000-0005-0000-0000-0000A34D0000}"/>
    <cellStyle name="40% - Accent6 3 6 2" xfId="5013" xr:uid="{00000000-0005-0000-0000-0000A44D0000}"/>
    <cellStyle name="40% - Accent6 3 6 2 2" xfId="15533" xr:uid="{00000000-0005-0000-0000-0000A54D0000}"/>
    <cellStyle name="40% - Accent6 3 6 2 2 2" xfId="29082" xr:uid="{00000000-0005-0000-0000-0000A64D0000}"/>
    <cellStyle name="40% - Accent6 3 6 2 3" xfId="22653" xr:uid="{00000000-0005-0000-0000-0000A74D0000}"/>
    <cellStyle name="40% - Accent6 3 6 3" xfId="5014" xr:uid="{00000000-0005-0000-0000-0000A84D0000}"/>
    <cellStyle name="40% - Accent6 3 6 3 2" xfId="16517" xr:uid="{00000000-0005-0000-0000-0000A94D0000}"/>
    <cellStyle name="40% - Accent6 3 6 3 2 2" xfId="29924" xr:uid="{00000000-0005-0000-0000-0000AA4D0000}"/>
    <cellStyle name="40% - Accent6 3 6 3 3" xfId="25248" xr:uid="{00000000-0005-0000-0000-0000AB4D0000}"/>
    <cellStyle name="40% - Accent6 3 6 4" xfId="11261" xr:uid="{00000000-0005-0000-0000-0000AC4D0000}"/>
    <cellStyle name="40% - Accent6 3 6 4 2" xfId="25203" xr:uid="{00000000-0005-0000-0000-0000AD4D0000}"/>
    <cellStyle name="40% - Accent6 3 6 5" xfId="24114" xr:uid="{00000000-0005-0000-0000-0000AE4D0000}"/>
    <cellStyle name="40% - Accent6 3 7" xfId="5015" xr:uid="{00000000-0005-0000-0000-0000AF4D0000}"/>
    <cellStyle name="40% - Accent6 3 7 2" xfId="11889" xr:uid="{00000000-0005-0000-0000-0000B04D0000}"/>
    <cellStyle name="40% - Accent6 3 7 2 2" xfId="25604" xr:uid="{00000000-0005-0000-0000-0000B14D0000}"/>
    <cellStyle name="40% - Accent6 3 7 3" xfId="22652" xr:uid="{00000000-0005-0000-0000-0000B24D0000}"/>
    <cellStyle name="40% - Accent6 3 8" xfId="5016" xr:uid="{00000000-0005-0000-0000-0000B34D0000}"/>
    <cellStyle name="40% - Accent6 3 8 2" xfId="13052" xr:uid="{00000000-0005-0000-0000-0000B44D0000}"/>
    <cellStyle name="40% - Accent6 3 8 2 2" xfId="26764" xr:uid="{00000000-0005-0000-0000-0000B54D0000}"/>
    <cellStyle name="40% - Accent6 3 8 3" xfId="24438" xr:uid="{00000000-0005-0000-0000-0000B64D0000}"/>
    <cellStyle name="40% - Accent6 3 9" xfId="5017" xr:uid="{00000000-0005-0000-0000-0000B74D0000}"/>
    <cellStyle name="40% - Accent6 3 9 2" xfId="13469" xr:uid="{00000000-0005-0000-0000-0000B84D0000}"/>
    <cellStyle name="40% - Accent6 3 9 2 2" xfId="27018" xr:uid="{00000000-0005-0000-0000-0000B94D0000}"/>
    <cellStyle name="40% - Accent6 3 9 3" xfId="29134" xr:uid="{00000000-0005-0000-0000-0000BA4D0000}"/>
    <cellStyle name="40% - Accent6 30" xfId="23264" xr:uid="{00000000-0005-0000-0000-0000BB4D0000}"/>
    <cellStyle name="40% - Accent6 4" xfId="5018" xr:uid="{00000000-0005-0000-0000-0000BC4D0000}"/>
    <cellStyle name="40% - Accent6 4 10" xfId="5019" xr:uid="{00000000-0005-0000-0000-0000BD4D0000}"/>
    <cellStyle name="40% - Accent6 4 10 2" xfId="15534" xr:uid="{00000000-0005-0000-0000-0000BE4D0000}"/>
    <cellStyle name="40% - Accent6 4 10 2 2" xfId="29083" xr:uid="{00000000-0005-0000-0000-0000BF4D0000}"/>
    <cellStyle name="40% - Accent6 4 10 3" xfId="22650" xr:uid="{00000000-0005-0000-0000-0000C04D0000}"/>
    <cellStyle name="40% - Accent6 4 11" xfId="5020" xr:uid="{00000000-0005-0000-0000-0000C14D0000}"/>
    <cellStyle name="40% - Accent6 4 11 2" xfId="15890" xr:uid="{00000000-0005-0000-0000-0000C24D0000}"/>
    <cellStyle name="40% - Accent6 4 11 2 2" xfId="29297" xr:uid="{00000000-0005-0000-0000-0000C34D0000}"/>
    <cellStyle name="40% - Accent6 4 11 3" xfId="24116" xr:uid="{00000000-0005-0000-0000-0000C44D0000}"/>
    <cellStyle name="40% - Accent6 4 12" xfId="9543" xr:uid="{00000000-0005-0000-0000-0000C54D0000}"/>
    <cellStyle name="40% - Accent6 4 12 2" xfId="24018" xr:uid="{00000000-0005-0000-0000-0000C64D0000}"/>
    <cellStyle name="40% - Accent6 4 13" xfId="22651" xr:uid="{00000000-0005-0000-0000-0000C74D0000}"/>
    <cellStyle name="40% - Accent6 4 2" xfId="5021" xr:uid="{00000000-0005-0000-0000-0000C84D0000}"/>
    <cellStyle name="40% - Accent6 4 2 10" xfId="5022" xr:uid="{00000000-0005-0000-0000-0000C94D0000}"/>
    <cellStyle name="40% - Accent6 4 2 10 2" xfId="16033" xr:uid="{00000000-0005-0000-0000-0000CA4D0000}"/>
    <cellStyle name="40% - Accent6 4 2 10 2 2" xfId="29440" xr:uid="{00000000-0005-0000-0000-0000CB4D0000}"/>
    <cellStyle name="40% - Accent6 4 2 10 3" xfId="24115" xr:uid="{00000000-0005-0000-0000-0000CC4D0000}"/>
    <cellStyle name="40% - Accent6 4 2 11" xfId="9544" xr:uid="{00000000-0005-0000-0000-0000CD4D0000}"/>
    <cellStyle name="40% - Accent6 4 2 11 2" xfId="24019" xr:uid="{00000000-0005-0000-0000-0000CE4D0000}"/>
    <cellStyle name="40% - Accent6 4 2 12" xfId="22649" xr:uid="{00000000-0005-0000-0000-0000CF4D0000}"/>
    <cellStyle name="40% - Accent6 4 2 2" xfId="5023" xr:uid="{00000000-0005-0000-0000-0000D04D0000}"/>
    <cellStyle name="40% - Accent6 4 2 2 10" xfId="9545" xr:uid="{00000000-0005-0000-0000-0000D14D0000}"/>
    <cellStyle name="40% - Accent6 4 2 2 10 2" xfId="24020" xr:uid="{00000000-0005-0000-0000-0000D24D0000}"/>
    <cellStyle name="40% - Accent6 4 2 2 11" xfId="22648" xr:uid="{00000000-0005-0000-0000-0000D34D0000}"/>
    <cellStyle name="40% - Accent6 4 2 2 2" xfId="5024" xr:uid="{00000000-0005-0000-0000-0000D44D0000}"/>
    <cellStyle name="40% - Accent6 4 2 2 2 2" xfId="5025" xr:uid="{00000000-0005-0000-0000-0000D54D0000}"/>
    <cellStyle name="40% - Accent6 4 2 2 2 2 2" xfId="11273" xr:uid="{00000000-0005-0000-0000-0000D64D0000}"/>
    <cellStyle name="40% - Accent6 4 2 2 2 2 2 2" xfId="25215" xr:uid="{00000000-0005-0000-0000-0000D74D0000}"/>
    <cellStyle name="40% - Accent6 4 2 2 2 2 3" xfId="24113" xr:uid="{00000000-0005-0000-0000-0000D84D0000}"/>
    <cellStyle name="40% - Accent6 4 2 2 2 3" xfId="5026" xr:uid="{00000000-0005-0000-0000-0000D94D0000}"/>
    <cellStyle name="40% - Accent6 4 2 2 2 3 2" xfId="13064" xr:uid="{00000000-0005-0000-0000-0000DA4D0000}"/>
    <cellStyle name="40% - Accent6 4 2 2 2 3 2 2" xfId="26776" xr:uid="{00000000-0005-0000-0000-0000DB4D0000}"/>
    <cellStyle name="40% - Accent6 4 2 2 2 3 3" xfId="22647" xr:uid="{00000000-0005-0000-0000-0000DC4D0000}"/>
    <cellStyle name="40% - Accent6 4 2 2 2 4" xfId="5027" xr:uid="{00000000-0005-0000-0000-0000DD4D0000}"/>
    <cellStyle name="40% - Accent6 4 2 2 2 4 2" xfId="15537" xr:uid="{00000000-0005-0000-0000-0000DE4D0000}"/>
    <cellStyle name="40% - Accent6 4 2 2 2 4 2 2" xfId="29086" xr:uid="{00000000-0005-0000-0000-0000DF4D0000}"/>
    <cellStyle name="40% - Accent6 4 2 2 2 4 3" xfId="24112" xr:uid="{00000000-0005-0000-0000-0000E04D0000}"/>
    <cellStyle name="40% - Accent6 4 2 2 2 5" xfId="5028" xr:uid="{00000000-0005-0000-0000-0000E14D0000}"/>
    <cellStyle name="40% - Accent6 4 2 2 2 5 2" xfId="16903" xr:uid="{00000000-0005-0000-0000-0000E24D0000}"/>
    <cellStyle name="40% - Accent6 4 2 2 2 5 2 2" xfId="30310" xr:uid="{00000000-0005-0000-0000-0000E34D0000}"/>
    <cellStyle name="40% - Accent6 4 2 2 2 5 3" xfId="22646" xr:uid="{00000000-0005-0000-0000-0000E44D0000}"/>
    <cellStyle name="40% - Accent6 4 2 2 2 6" xfId="9546" xr:uid="{00000000-0005-0000-0000-0000E54D0000}"/>
    <cellStyle name="40% - Accent6 4 2 2 2 6 2" xfId="24021" xr:uid="{00000000-0005-0000-0000-0000E64D0000}"/>
    <cellStyle name="40% - Accent6 4 2 2 2 7" xfId="23265" xr:uid="{00000000-0005-0000-0000-0000E74D0000}"/>
    <cellStyle name="40% - Accent6 4 2 2 3" xfId="5029" xr:uid="{00000000-0005-0000-0000-0000E84D0000}"/>
    <cellStyle name="40% - Accent6 4 2 2 3 2" xfId="5030" xr:uid="{00000000-0005-0000-0000-0000E94D0000}"/>
    <cellStyle name="40% - Accent6 4 2 2 3 2 2" xfId="15538" xr:uid="{00000000-0005-0000-0000-0000EA4D0000}"/>
    <cellStyle name="40% - Accent6 4 2 2 3 2 2 2" xfId="29087" xr:uid="{00000000-0005-0000-0000-0000EB4D0000}"/>
    <cellStyle name="40% - Accent6 4 2 2 3 2 3" xfId="22645" xr:uid="{00000000-0005-0000-0000-0000EC4D0000}"/>
    <cellStyle name="40% - Accent6 4 2 2 3 3" xfId="11272" xr:uid="{00000000-0005-0000-0000-0000ED4D0000}"/>
    <cellStyle name="40% - Accent6 4 2 2 3 3 2" xfId="25214" xr:uid="{00000000-0005-0000-0000-0000EE4D0000}"/>
    <cellStyle name="40% - Accent6 4 2 2 3 4" xfId="24111" xr:uid="{00000000-0005-0000-0000-0000EF4D0000}"/>
    <cellStyle name="40% - Accent6 4 2 2 4" xfId="5031" xr:uid="{00000000-0005-0000-0000-0000F04D0000}"/>
    <cellStyle name="40% - Accent6 4 2 2 4 2" xfId="12291" xr:uid="{00000000-0005-0000-0000-0000F14D0000}"/>
    <cellStyle name="40% - Accent6 4 2 2 4 2 2" xfId="26003" xr:uid="{00000000-0005-0000-0000-0000F24D0000}"/>
    <cellStyle name="40% - Accent6 4 2 2 4 3" xfId="24110" xr:uid="{00000000-0005-0000-0000-0000F34D0000}"/>
    <cellStyle name="40% - Accent6 4 2 2 5" xfId="5032" xr:uid="{00000000-0005-0000-0000-0000F44D0000}"/>
    <cellStyle name="40% - Accent6 4 2 2 5 2" xfId="13063" xr:uid="{00000000-0005-0000-0000-0000F54D0000}"/>
    <cellStyle name="40% - Accent6 4 2 2 5 2 2" xfId="26775" xr:uid="{00000000-0005-0000-0000-0000F64D0000}"/>
    <cellStyle name="40% - Accent6 4 2 2 5 3" xfId="22644" xr:uid="{00000000-0005-0000-0000-0000F74D0000}"/>
    <cellStyle name="40% - Accent6 4 2 2 6" xfId="5033" xr:uid="{00000000-0005-0000-0000-0000F84D0000}"/>
    <cellStyle name="40% - Accent6 4 2 2 6 2" xfId="13855" xr:uid="{00000000-0005-0000-0000-0000F94D0000}"/>
    <cellStyle name="40% - Accent6 4 2 2 6 2 2" xfId="27404" xr:uid="{00000000-0005-0000-0000-0000FA4D0000}"/>
    <cellStyle name="40% - Accent6 4 2 2 6 3" xfId="24108" xr:uid="{00000000-0005-0000-0000-0000FB4D0000}"/>
    <cellStyle name="40% - Accent6 4 2 2 7" xfId="5034" xr:uid="{00000000-0005-0000-0000-0000FC4D0000}"/>
    <cellStyle name="40% - Accent6 4 2 2 7 2" xfId="14436" xr:uid="{00000000-0005-0000-0000-0000FD4D0000}"/>
    <cellStyle name="40% - Accent6 4 2 2 7 2 2" xfId="27985" xr:uid="{00000000-0005-0000-0000-0000FE4D0000}"/>
    <cellStyle name="40% - Accent6 4 2 2 7 3" xfId="24109" xr:uid="{00000000-0005-0000-0000-0000FF4D0000}"/>
    <cellStyle name="40% - Accent6 4 2 2 8" xfId="5035" xr:uid="{00000000-0005-0000-0000-0000004E0000}"/>
    <cellStyle name="40% - Accent6 4 2 2 8 2" xfId="15536" xr:uid="{00000000-0005-0000-0000-0000014E0000}"/>
    <cellStyle name="40% - Accent6 4 2 2 8 2 2" xfId="29085" xr:uid="{00000000-0005-0000-0000-0000024E0000}"/>
    <cellStyle name="40% - Accent6 4 2 2 8 3" xfId="22643" xr:uid="{00000000-0005-0000-0000-0000034E0000}"/>
    <cellStyle name="40% - Accent6 4 2 2 9" xfId="5036" xr:uid="{00000000-0005-0000-0000-0000044E0000}"/>
    <cellStyle name="40% - Accent6 4 2 2 9 2" xfId="16322" xr:uid="{00000000-0005-0000-0000-0000054E0000}"/>
    <cellStyle name="40% - Accent6 4 2 2 9 2 2" xfId="29729" xr:uid="{00000000-0005-0000-0000-0000064E0000}"/>
    <cellStyle name="40% - Accent6 4 2 2 9 3" xfId="22642" xr:uid="{00000000-0005-0000-0000-0000074E0000}"/>
    <cellStyle name="40% - Accent6 4 2 3" xfId="5037" xr:uid="{00000000-0005-0000-0000-0000084E0000}"/>
    <cellStyle name="40% - Accent6 4 2 3 2" xfId="5038" xr:uid="{00000000-0005-0000-0000-0000094E0000}"/>
    <cellStyle name="40% - Accent6 4 2 3 2 2" xfId="11274" xr:uid="{00000000-0005-0000-0000-00000A4E0000}"/>
    <cellStyle name="40% - Accent6 4 2 3 2 2 2" xfId="25216" xr:uid="{00000000-0005-0000-0000-00000B4E0000}"/>
    <cellStyle name="40% - Accent6 4 2 3 2 3" xfId="26812" xr:uid="{00000000-0005-0000-0000-00000C4E0000}"/>
    <cellStyle name="40% - Accent6 4 2 3 3" xfId="5039" xr:uid="{00000000-0005-0000-0000-00000D4E0000}"/>
    <cellStyle name="40% - Accent6 4 2 3 3 2" xfId="13065" xr:uid="{00000000-0005-0000-0000-00000E4E0000}"/>
    <cellStyle name="40% - Accent6 4 2 3 3 2 2" xfId="26777" xr:uid="{00000000-0005-0000-0000-00000F4E0000}"/>
    <cellStyle name="40% - Accent6 4 2 3 3 3" xfId="22641" xr:uid="{00000000-0005-0000-0000-0000104E0000}"/>
    <cellStyle name="40% - Accent6 4 2 3 4" xfId="5040" xr:uid="{00000000-0005-0000-0000-0000114E0000}"/>
    <cellStyle name="40% - Accent6 4 2 3 4 2" xfId="15539" xr:uid="{00000000-0005-0000-0000-0000124E0000}"/>
    <cellStyle name="40% - Accent6 4 2 3 4 2 2" xfId="29088" xr:uid="{00000000-0005-0000-0000-0000134E0000}"/>
    <cellStyle name="40% - Accent6 4 2 3 4 3" xfId="26813" xr:uid="{00000000-0005-0000-0000-0000144E0000}"/>
    <cellStyle name="40% - Accent6 4 2 3 5" xfId="5041" xr:uid="{00000000-0005-0000-0000-0000154E0000}"/>
    <cellStyle name="40% - Accent6 4 2 3 5 2" xfId="16614" xr:uid="{00000000-0005-0000-0000-0000164E0000}"/>
    <cellStyle name="40% - Accent6 4 2 3 5 2 2" xfId="30021" xr:uid="{00000000-0005-0000-0000-0000174E0000}"/>
    <cellStyle name="40% - Accent6 4 2 3 5 3" xfId="22640" xr:uid="{00000000-0005-0000-0000-0000184E0000}"/>
    <cellStyle name="40% - Accent6 4 2 3 6" xfId="9547" xr:uid="{00000000-0005-0000-0000-0000194E0000}"/>
    <cellStyle name="40% - Accent6 4 2 3 6 2" xfId="24022" xr:uid="{00000000-0005-0000-0000-00001A4E0000}"/>
    <cellStyle name="40% - Accent6 4 2 3 7" xfId="24107" xr:uid="{00000000-0005-0000-0000-00001B4E0000}"/>
    <cellStyle name="40% - Accent6 4 2 4" xfId="5042" xr:uid="{00000000-0005-0000-0000-00001C4E0000}"/>
    <cellStyle name="40% - Accent6 4 2 4 2" xfId="5043" xr:uid="{00000000-0005-0000-0000-00001D4E0000}"/>
    <cellStyle name="40% - Accent6 4 2 4 2 2" xfId="15540" xr:uid="{00000000-0005-0000-0000-00001E4E0000}"/>
    <cellStyle name="40% - Accent6 4 2 4 2 2 2" xfId="29089" xr:uid="{00000000-0005-0000-0000-00001F4E0000}"/>
    <cellStyle name="40% - Accent6 4 2 4 2 3" xfId="24105" xr:uid="{00000000-0005-0000-0000-0000204E0000}"/>
    <cellStyle name="40% - Accent6 4 2 4 3" xfId="11271" xr:uid="{00000000-0005-0000-0000-0000214E0000}"/>
    <cellStyle name="40% - Accent6 4 2 4 3 2" xfId="25213" xr:uid="{00000000-0005-0000-0000-0000224E0000}"/>
    <cellStyle name="40% - Accent6 4 2 4 4" xfId="22639" xr:uid="{00000000-0005-0000-0000-0000234E0000}"/>
    <cellStyle name="40% - Accent6 4 2 5" xfId="5044" xr:uid="{00000000-0005-0000-0000-0000244E0000}"/>
    <cellStyle name="40% - Accent6 4 2 5 2" xfId="11991" xr:uid="{00000000-0005-0000-0000-0000254E0000}"/>
    <cellStyle name="40% - Accent6 4 2 5 2 2" xfId="25706" xr:uid="{00000000-0005-0000-0000-0000264E0000}"/>
    <cellStyle name="40% - Accent6 4 2 5 3" xfId="24106" xr:uid="{00000000-0005-0000-0000-0000274E0000}"/>
    <cellStyle name="40% - Accent6 4 2 6" xfId="5045" xr:uid="{00000000-0005-0000-0000-0000284E0000}"/>
    <cellStyle name="40% - Accent6 4 2 6 2" xfId="13062" xr:uid="{00000000-0005-0000-0000-0000294E0000}"/>
    <cellStyle name="40% - Accent6 4 2 6 2 2" xfId="26774" xr:uid="{00000000-0005-0000-0000-00002A4E0000}"/>
    <cellStyle name="40% - Accent6 4 2 6 3" xfId="22638" xr:uid="{00000000-0005-0000-0000-00002B4E0000}"/>
    <cellStyle name="40% - Accent6 4 2 7" xfId="5046" xr:uid="{00000000-0005-0000-0000-00002C4E0000}"/>
    <cellStyle name="40% - Accent6 4 2 7 2" xfId="13566" xr:uid="{00000000-0005-0000-0000-00002D4E0000}"/>
    <cellStyle name="40% - Accent6 4 2 7 2 2" xfId="27115" xr:uid="{00000000-0005-0000-0000-00002E4E0000}"/>
    <cellStyle name="40% - Accent6 4 2 7 3" xfId="22637" xr:uid="{00000000-0005-0000-0000-00002F4E0000}"/>
    <cellStyle name="40% - Accent6 4 2 8" xfId="5047" xr:uid="{00000000-0005-0000-0000-0000304E0000}"/>
    <cellStyle name="40% - Accent6 4 2 8 2" xfId="14147" xr:uid="{00000000-0005-0000-0000-0000314E0000}"/>
    <cellStyle name="40% - Accent6 4 2 8 2 2" xfId="27696" xr:uid="{00000000-0005-0000-0000-0000324E0000}"/>
    <cellStyle name="40% - Accent6 4 2 8 3" xfId="24104" xr:uid="{00000000-0005-0000-0000-0000334E0000}"/>
    <cellStyle name="40% - Accent6 4 2 9" xfId="5048" xr:uid="{00000000-0005-0000-0000-0000344E0000}"/>
    <cellStyle name="40% - Accent6 4 2 9 2" xfId="15535" xr:uid="{00000000-0005-0000-0000-0000354E0000}"/>
    <cellStyle name="40% - Accent6 4 2 9 2 2" xfId="29084" xr:uid="{00000000-0005-0000-0000-0000364E0000}"/>
    <cellStyle name="40% - Accent6 4 2 9 3" xfId="22636" xr:uid="{00000000-0005-0000-0000-0000374E0000}"/>
    <cellStyle name="40% - Accent6 4 3" xfId="5049" xr:uid="{00000000-0005-0000-0000-0000384E0000}"/>
    <cellStyle name="40% - Accent6 4 3 10" xfId="9548" xr:uid="{00000000-0005-0000-0000-0000394E0000}"/>
    <cellStyle name="40% - Accent6 4 3 10 2" xfId="24023" xr:uid="{00000000-0005-0000-0000-00003A4E0000}"/>
    <cellStyle name="40% - Accent6 4 3 11" xfId="24101" xr:uid="{00000000-0005-0000-0000-00003B4E0000}"/>
    <cellStyle name="40% - Accent6 4 3 2" xfId="5050" xr:uid="{00000000-0005-0000-0000-00003C4E0000}"/>
    <cellStyle name="40% - Accent6 4 3 2 2" xfId="5051" xr:uid="{00000000-0005-0000-0000-00003D4E0000}"/>
    <cellStyle name="40% - Accent6 4 3 2 2 2" xfId="11276" xr:uid="{00000000-0005-0000-0000-00003E4E0000}"/>
    <cellStyle name="40% - Accent6 4 3 2 2 2 2" xfId="25218" xr:uid="{00000000-0005-0000-0000-00003F4E0000}"/>
    <cellStyle name="40% - Accent6 4 3 2 2 3" xfId="25247" xr:uid="{00000000-0005-0000-0000-0000404E0000}"/>
    <cellStyle name="40% - Accent6 4 3 2 3" xfId="5052" xr:uid="{00000000-0005-0000-0000-0000414E0000}"/>
    <cellStyle name="40% - Accent6 4 3 2 3 2" xfId="13067" xr:uid="{00000000-0005-0000-0000-0000424E0000}"/>
    <cellStyle name="40% - Accent6 4 3 2 3 2 2" xfId="26779" xr:uid="{00000000-0005-0000-0000-0000434E0000}"/>
    <cellStyle name="40% - Accent6 4 3 2 3 3" xfId="22634" xr:uid="{00000000-0005-0000-0000-0000444E0000}"/>
    <cellStyle name="40% - Accent6 4 3 2 4" xfId="5053" xr:uid="{00000000-0005-0000-0000-0000454E0000}"/>
    <cellStyle name="40% - Accent6 4 3 2 4 2" xfId="15542" xr:uid="{00000000-0005-0000-0000-0000464E0000}"/>
    <cellStyle name="40% - Accent6 4 3 2 4 2 2" xfId="29091" xr:uid="{00000000-0005-0000-0000-0000474E0000}"/>
    <cellStyle name="40% - Accent6 4 3 2 4 3" xfId="24437" xr:uid="{00000000-0005-0000-0000-0000484E0000}"/>
    <cellStyle name="40% - Accent6 4 3 2 5" xfId="5054" xr:uid="{00000000-0005-0000-0000-0000494E0000}"/>
    <cellStyle name="40% - Accent6 4 3 2 5 2" xfId="16763" xr:uid="{00000000-0005-0000-0000-00004A4E0000}"/>
    <cellStyle name="40% - Accent6 4 3 2 5 2 2" xfId="30170" xr:uid="{00000000-0005-0000-0000-00004B4E0000}"/>
    <cellStyle name="40% - Accent6 4 3 2 5 3" xfId="29133" xr:uid="{00000000-0005-0000-0000-00004C4E0000}"/>
    <cellStyle name="40% - Accent6 4 3 2 6" xfId="9549" xr:uid="{00000000-0005-0000-0000-00004D4E0000}"/>
    <cellStyle name="40% - Accent6 4 3 2 6 2" xfId="24024" xr:uid="{00000000-0005-0000-0000-00004E4E0000}"/>
    <cellStyle name="40% - Accent6 4 3 2 7" xfId="22635" xr:uid="{00000000-0005-0000-0000-00004F4E0000}"/>
    <cellStyle name="40% - Accent6 4 3 3" xfId="5055" xr:uid="{00000000-0005-0000-0000-0000504E0000}"/>
    <cellStyle name="40% - Accent6 4 3 3 2" xfId="5056" xr:uid="{00000000-0005-0000-0000-0000514E0000}"/>
    <cellStyle name="40% - Accent6 4 3 3 2 2" xfId="15543" xr:uid="{00000000-0005-0000-0000-0000524E0000}"/>
    <cellStyle name="40% - Accent6 4 3 3 2 2 2" xfId="29092" xr:uid="{00000000-0005-0000-0000-0000534E0000}"/>
    <cellStyle name="40% - Accent6 4 3 3 2 3" xfId="22632" xr:uid="{00000000-0005-0000-0000-0000544E0000}"/>
    <cellStyle name="40% - Accent6 4 3 3 3" xfId="11275" xr:uid="{00000000-0005-0000-0000-0000554E0000}"/>
    <cellStyle name="40% - Accent6 4 3 3 3 2" xfId="25217" xr:uid="{00000000-0005-0000-0000-0000564E0000}"/>
    <cellStyle name="40% - Accent6 4 3 3 4" xfId="22633" xr:uid="{00000000-0005-0000-0000-0000574E0000}"/>
    <cellStyle name="40% - Accent6 4 3 4" xfId="5057" xr:uid="{00000000-0005-0000-0000-0000584E0000}"/>
    <cellStyle name="40% - Accent6 4 3 4 2" xfId="12151" xr:uid="{00000000-0005-0000-0000-0000594E0000}"/>
    <cellStyle name="40% - Accent6 4 3 4 2 2" xfId="25863" xr:uid="{00000000-0005-0000-0000-00005A4E0000}"/>
    <cellStyle name="40% - Accent6 4 3 4 3" xfId="24103" xr:uid="{00000000-0005-0000-0000-00005B4E0000}"/>
    <cellStyle name="40% - Accent6 4 3 5" xfId="5058" xr:uid="{00000000-0005-0000-0000-00005C4E0000}"/>
    <cellStyle name="40% - Accent6 4 3 5 2" xfId="13066" xr:uid="{00000000-0005-0000-0000-00005D4E0000}"/>
    <cellStyle name="40% - Accent6 4 3 5 2 2" xfId="26778" xr:uid="{00000000-0005-0000-0000-00005E4E0000}"/>
    <cellStyle name="40% - Accent6 4 3 5 3" xfId="22631" xr:uid="{00000000-0005-0000-0000-00005F4E0000}"/>
    <cellStyle name="40% - Accent6 4 3 6" xfId="5059" xr:uid="{00000000-0005-0000-0000-0000604E0000}"/>
    <cellStyle name="40% - Accent6 4 3 6 2" xfId="13715" xr:uid="{00000000-0005-0000-0000-0000614E0000}"/>
    <cellStyle name="40% - Accent6 4 3 6 2 2" xfId="27264" xr:uid="{00000000-0005-0000-0000-0000624E0000}"/>
    <cellStyle name="40% - Accent6 4 3 6 3" xfId="24102" xr:uid="{00000000-0005-0000-0000-0000634E0000}"/>
    <cellStyle name="40% - Accent6 4 3 7" xfId="5060" xr:uid="{00000000-0005-0000-0000-0000644E0000}"/>
    <cellStyle name="40% - Accent6 4 3 7 2" xfId="14296" xr:uid="{00000000-0005-0000-0000-0000654E0000}"/>
    <cellStyle name="40% - Accent6 4 3 7 2 2" xfId="27845" xr:uid="{00000000-0005-0000-0000-0000664E0000}"/>
    <cellStyle name="40% - Accent6 4 3 7 3" xfId="22630" xr:uid="{00000000-0005-0000-0000-0000674E0000}"/>
    <cellStyle name="40% - Accent6 4 3 8" xfId="5061" xr:uid="{00000000-0005-0000-0000-0000684E0000}"/>
    <cellStyle name="40% - Accent6 4 3 8 2" xfId="15541" xr:uid="{00000000-0005-0000-0000-0000694E0000}"/>
    <cellStyle name="40% - Accent6 4 3 8 2 2" xfId="29090" xr:uid="{00000000-0005-0000-0000-00006A4E0000}"/>
    <cellStyle name="40% - Accent6 4 3 8 3" xfId="23261" xr:uid="{00000000-0005-0000-0000-00006B4E0000}"/>
    <cellStyle name="40% - Accent6 4 3 9" xfId="5062" xr:uid="{00000000-0005-0000-0000-00006C4E0000}"/>
    <cellStyle name="40% - Accent6 4 3 9 2" xfId="16182" xr:uid="{00000000-0005-0000-0000-00006D4E0000}"/>
    <cellStyle name="40% - Accent6 4 3 9 2 2" xfId="29589" xr:uid="{00000000-0005-0000-0000-00006E4E0000}"/>
    <cellStyle name="40% - Accent6 4 3 9 3" xfId="24100" xr:uid="{00000000-0005-0000-0000-00006F4E0000}"/>
    <cellStyle name="40% - Accent6 4 4" xfId="5063" xr:uid="{00000000-0005-0000-0000-0000704E0000}"/>
    <cellStyle name="40% - Accent6 4 4 2" xfId="5064" xr:uid="{00000000-0005-0000-0000-0000714E0000}"/>
    <cellStyle name="40% - Accent6 4 4 2 2" xfId="11277" xr:uid="{00000000-0005-0000-0000-0000724E0000}"/>
    <cellStyle name="40% - Accent6 4 4 2 2 2" xfId="25219" xr:uid="{00000000-0005-0000-0000-0000734E0000}"/>
    <cellStyle name="40% - Accent6 4 4 2 3" xfId="24099" xr:uid="{00000000-0005-0000-0000-0000744E0000}"/>
    <cellStyle name="40% - Accent6 4 4 3" xfId="5065" xr:uid="{00000000-0005-0000-0000-0000754E0000}"/>
    <cellStyle name="40% - Accent6 4 4 3 2" xfId="13068" xr:uid="{00000000-0005-0000-0000-0000764E0000}"/>
    <cellStyle name="40% - Accent6 4 4 3 2 2" xfId="26780" xr:uid="{00000000-0005-0000-0000-0000774E0000}"/>
    <cellStyle name="40% - Accent6 4 4 3 3" xfId="22628" xr:uid="{00000000-0005-0000-0000-0000784E0000}"/>
    <cellStyle name="40% - Accent6 4 4 4" xfId="5066" xr:uid="{00000000-0005-0000-0000-0000794E0000}"/>
    <cellStyle name="40% - Accent6 4 4 4 2" xfId="15544" xr:uid="{00000000-0005-0000-0000-00007A4E0000}"/>
    <cellStyle name="40% - Accent6 4 4 4 2 2" xfId="29093" xr:uid="{00000000-0005-0000-0000-00007B4E0000}"/>
    <cellStyle name="40% - Accent6 4 4 4 3" xfId="24098" xr:uid="{00000000-0005-0000-0000-00007C4E0000}"/>
    <cellStyle name="40% - Accent6 4 4 5" xfId="5067" xr:uid="{00000000-0005-0000-0000-00007D4E0000}"/>
    <cellStyle name="40% - Accent6 4 4 5 2" xfId="16471" xr:uid="{00000000-0005-0000-0000-00007E4E0000}"/>
    <cellStyle name="40% - Accent6 4 4 5 2 2" xfId="29878" xr:uid="{00000000-0005-0000-0000-00007F4E0000}"/>
    <cellStyle name="40% - Accent6 4 4 5 3" xfId="22627" xr:uid="{00000000-0005-0000-0000-0000804E0000}"/>
    <cellStyle name="40% - Accent6 4 4 6" xfId="9550" xr:uid="{00000000-0005-0000-0000-0000814E0000}"/>
    <cellStyle name="40% - Accent6 4 4 6 2" xfId="24025" xr:uid="{00000000-0005-0000-0000-0000824E0000}"/>
    <cellStyle name="40% - Accent6 4 4 7" xfId="22629" xr:uid="{00000000-0005-0000-0000-0000834E0000}"/>
    <cellStyle name="40% - Accent6 4 5" xfId="5068" xr:uid="{00000000-0005-0000-0000-0000844E0000}"/>
    <cellStyle name="40% - Accent6 4 5 2" xfId="5069" xr:uid="{00000000-0005-0000-0000-0000854E0000}"/>
    <cellStyle name="40% - Accent6 4 5 2 2" xfId="15545" xr:uid="{00000000-0005-0000-0000-0000864E0000}"/>
    <cellStyle name="40% - Accent6 4 5 2 2 2" xfId="29094" xr:uid="{00000000-0005-0000-0000-0000874E0000}"/>
    <cellStyle name="40% - Accent6 4 5 2 3" xfId="22626" xr:uid="{00000000-0005-0000-0000-0000884E0000}"/>
    <cellStyle name="40% - Accent6 4 5 3" xfId="11270" xr:uid="{00000000-0005-0000-0000-0000894E0000}"/>
    <cellStyle name="40% - Accent6 4 5 3 2" xfId="25212" xr:uid="{00000000-0005-0000-0000-00008A4E0000}"/>
    <cellStyle name="40% - Accent6 4 5 4" xfId="24097" xr:uid="{00000000-0005-0000-0000-00008B4E0000}"/>
    <cellStyle name="40% - Accent6 4 6" xfId="5070" xr:uid="{00000000-0005-0000-0000-00008C4E0000}"/>
    <cellStyle name="40% - Accent6 4 6 2" xfId="11822" xr:uid="{00000000-0005-0000-0000-00008D4E0000}"/>
    <cellStyle name="40% - Accent6 4 6 2 2" xfId="25537" xr:uid="{00000000-0005-0000-0000-00008E4E0000}"/>
    <cellStyle name="40% - Accent6 4 6 3" xfId="24095" xr:uid="{00000000-0005-0000-0000-00008F4E0000}"/>
    <cellStyle name="40% - Accent6 4 7" xfId="5071" xr:uid="{00000000-0005-0000-0000-0000904E0000}"/>
    <cellStyle name="40% - Accent6 4 7 2" xfId="13061" xr:uid="{00000000-0005-0000-0000-0000914E0000}"/>
    <cellStyle name="40% - Accent6 4 7 2 2" xfId="26773" xr:uid="{00000000-0005-0000-0000-0000924E0000}"/>
    <cellStyle name="40% - Accent6 4 7 3" xfId="24096" xr:uid="{00000000-0005-0000-0000-0000934E0000}"/>
    <cellStyle name="40% - Accent6 4 8" xfId="5072" xr:uid="{00000000-0005-0000-0000-0000944E0000}"/>
    <cellStyle name="40% - Accent6 4 8 2" xfId="13423" xr:uid="{00000000-0005-0000-0000-0000954E0000}"/>
    <cellStyle name="40% - Accent6 4 8 2 2" xfId="26972" xr:uid="{00000000-0005-0000-0000-0000964E0000}"/>
    <cellStyle name="40% - Accent6 4 8 3" xfId="22625" xr:uid="{00000000-0005-0000-0000-0000974E0000}"/>
    <cellStyle name="40% - Accent6 4 9" xfId="5073" xr:uid="{00000000-0005-0000-0000-0000984E0000}"/>
    <cellStyle name="40% - Accent6 4 9 2" xfId="14004" xr:uid="{00000000-0005-0000-0000-0000994E0000}"/>
    <cellStyle name="40% - Accent6 4 9 2 2" xfId="27553" xr:uid="{00000000-0005-0000-0000-00009A4E0000}"/>
    <cellStyle name="40% - Accent6 4 9 3" xfId="22624" xr:uid="{00000000-0005-0000-0000-00009B4E0000}"/>
    <cellStyle name="40% - Accent6 5" xfId="5074" xr:uid="{00000000-0005-0000-0000-00009C4E0000}"/>
    <cellStyle name="40% - Accent6 5 10" xfId="5075" xr:uid="{00000000-0005-0000-0000-00009D4E0000}"/>
    <cellStyle name="40% - Accent6 5 10 2" xfId="15546" xr:uid="{00000000-0005-0000-0000-00009E4E0000}"/>
    <cellStyle name="40% - Accent6 5 10 2 2" xfId="29095" xr:uid="{00000000-0005-0000-0000-00009F4E0000}"/>
    <cellStyle name="40% - Accent6 5 10 3" xfId="26810" xr:uid="{00000000-0005-0000-0000-0000A04E0000}"/>
    <cellStyle name="40% - Accent6 5 11" xfId="5076" xr:uid="{00000000-0005-0000-0000-0000A14E0000}"/>
    <cellStyle name="40% - Accent6 5 11 2" xfId="15873" xr:uid="{00000000-0005-0000-0000-0000A24E0000}"/>
    <cellStyle name="40% - Accent6 5 11 2 2" xfId="29280" xr:uid="{00000000-0005-0000-0000-0000A34E0000}"/>
    <cellStyle name="40% - Accent6 5 11 3" xfId="22623" xr:uid="{00000000-0005-0000-0000-0000A44E0000}"/>
    <cellStyle name="40% - Accent6 5 12" xfId="9551" xr:uid="{00000000-0005-0000-0000-0000A54E0000}"/>
    <cellStyle name="40% - Accent6 5 12 2" xfId="24026" xr:uid="{00000000-0005-0000-0000-0000A64E0000}"/>
    <cellStyle name="40% - Accent6 5 13" xfId="24094" xr:uid="{00000000-0005-0000-0000-0000A74E0000}"/>
    <cellStyle name="40% - Accent6 5 2" xfId="5077" xr:uid="{00000000-0005-0000-0000-0000A84E0000}"/>
    <cellStyle name="40% - Accent6 5 2 10" xfId="5078" xr:uid="{00000000-0005-0000-0000-0000A94E0000}"/>
    <cellStyle name="40% - Accent6 5 2 10 2" xfId="16016" xr:uid="{00000000-0005-0000-0000-0000AA4E0000}"/>
    <cellStyle name="40% - Accent6 5 2 10 2 2" xfId="29423" xr:uid="{00000000-0005-0000-0000-0000AB4E0000}"/>
    <cellStyle name="40% - Accent6 5 2 10 3" xfId="22622" xr:uid="{00000000-0005-0000-0000-0000AC4E0000}"/>
    <cellStyle name="40% - Accent6 5 2 11" xfId="9552" xr:uid="{00000000-0005-0000-0000-0000AD4E0000}"/>
    <cellStyle name="40% - Accent6 5 2 11 2" xfId="24027" xr:uid="{00000000-0005-0000-0000-0000AE4E0000}"/>
    <cellStyle name="40% - Accent6 5 2 12" xfId="26811" xr:uid="{00000000-0005-0000-0000-0000AF4E0000}"/>
    <cellStyle name="40% - Accent6 5 2 2" xfId="5079" xr:uid="{00000000-0005-0000-0000-0000B04E0000}"/>
    <cellStyle name="40% - Accent6 5 2 2 10" xfId="9553" xr:uid="{00000000-0005-0000-0000-0000B14E0000}"/>
    <cellStyle name="40% - Accent6 5 2 2 10 2" xfId="24028" xr:uid="{00000000-0005-0000-0000-0000B24E0000}"/>
    <cellStyle name="40% - Accent6 5 2 2 11" xfId="22621" xr:uid="{00000000-0005-0000-0000-0000B34E0000}"/>
    <cellStyle name="40% - Accent6 5 2 2 2" xfId="5080" xr:uid="{00000000-0005-0000-0000-0000B44E0000}"/>
    <cellStyle name="40% - Accent6 5 2 2 2 2" xfId="5081" xr:uid="{00000000-0005-0000-0000-0000B54E0000}"/>
    <cellStyle name="40% - Accent6 5 2 2 2 2 2" xfId="11281" xr:uid="{00000000-0005-0000-0000-0000B64E0000}"/>
    <cellStyle name="40% - Accent6 5 2 2 2 2 2 2" xfId="25223" xr:uid="{00000000-0005-0000-0000-0000B74E0000}"/>
    <cellStyle name="40% - Accent6 5 2 2 2 2 3" xfId="24093" xr:uid="{00000000-0005-0000-0000-0000B84E0000}"/>
    <cellStyle name="40% - Accent6 5 2 2 2 3" xfId="5082" xr:uid="{00000000-0005-0000-0000-0000B94E0000}"/>
    <cellStyle name="40% - Accent6 5 2 2 2 3 2" xfId="13072" xr:uid="{00000000-0005-0000-0000-0000BA4E0000}"/>
    <cellStyle name="40% - Accent6 5 2 2 2 3 2 2" xfId="26784" xr:uid="{00000000-0005-0000-0000-0000BB4E0000}"/>
    <cellStyle name="40% - Accent6 5 2 2 2 3 3" xfId="22620" xr:uid="{00000000-0005-0000-0000-0000BC4E0000}"/>
    <cellStyle name="40% - Accent6 5 2 2 2 4" xfId="5083" xr:uid="{00000000-0005-0000-0000-0000BD4E0000}"/>
    <cellStyle name="40% - Accent6 5 2 2 2 4 2" xfId="15549" xr:uid="{00000000-0005-0000-0000-0000BE4E0000}"/>
    <cellStyle name="40% - Accent6 5 2 2 2 4 2 2" xfId="29098" xr:uid="{00000000-0005-0000-0000-0000BF4E0000}"/>
    <cellStyle name="40% - Accent6 5 2 2 2 4 3" xfId="22619" xr:uid="{00000000-0005-0000-0000-0000C04E0000}"/>
    <cellStyle name="40% - Accent6 5 2 2 2 5" xfId="5084" xr:uid="{00000000-0005-0000-0000-0000C14E0000}"/>
    <cellStyle name="40% - Accent6 5 2 2 2 5 2" xfId="16886" xr:uid="{00000000-0005-0000-0000-0000C24E0000}"/>
    <cellStyle name="40% - Accent6 5 2 2 2 5 2 2" xfId="30293" xr:uid="{00000000-0005-0000-0000-0000C34E0000}"/>
    <cellStyle name="40% - Accent6 5 2 2 2 5 3" xfId="24091" xr:uid="{00000000-0005-0000-0000-0000C44E0000}"/>
    <cellStyle name="40% - Accent6 5 2 2 2 6" xfId="9554" xr:uid="{00000000-0005-0000-0000-0000C54E0000}"/>
    <cellStyle name="40% - Accent6 5 2 2 2 6 2" xfId="24029" xr:uid="{00000000-0005-0000-0000-0000C64E0000}"/>
    <cellStyle name="40% - Accent6 5 2 2 2 7" xfId="24092" xr:uid="{00000000-0005-0000-0000-0000C74E0000}"/>
    <cellStyle name="40% - Accent6 5 2 2 3" xfId="5085" xr:uid="{00000000-0005-0000-0000-0000C84E0000}"/>
    <cellStyle name="40% - Accent6 5 2 2 3 2" xfId="5086" xr:uid="{00000000-0005-0000-0000-0000C94E0000}"/>
    <cellStyle name="40% - Accent6 5 2 2 3 2 2" xfId="15550" xr:uid="{00000000-0005-0000-0000-0000CA4E0000}"/>
    <cellStyle name="40% - Accent6 5 2 2 3 2 2 2" xfId="29099" xr:uid="{00000000-0005-0000-0000-0000CB4E0000}"/>
    <cellStyle name="40% - Accent6 5 2 2 3 2 3" xfId="24088" xr:uid="{00000000-0005-0000-0000-0000CC4E0000}"/>
    <cellStyle name="40% - Accent6 5 2 2 3 3" xfId="11280" xr:uid="{00000000-0005-0000-0000-0000CD4E0000}"/>
    <cellStyle name="40% - Accent6 5 2 2 3 3 2" xfId="25222" xr:uid="{00000000-0005-0000-0000-0000CE4E0000}"/>
    <cellStyle name="40% - Accent6 5 2 2 3 4" xfId="22618" xr:uid="{00000000-0005-0000-0000-0000CF4E0000}"/>
    <cellStyle name="40% - Accent6 5 2 2 4" xfId="5087" xr:uid="{00000000-0005-0000-0000-0000D04E0000}"/>
    <cellStyle name="40% - Accent6 5 2 2 4 2" xfId="12274" xr:uid="{00000000-0005-0000-0000-0000D14E0000}"/>
    <cellStyle name="40% - Accent6 5 2 2 4 2 2" xfId="25986" xr:uid="{00000000-0005-0000-0000-0000D24E0000}"/>
    <cellStyle name="40% - Accent6 5 2 2 4 3" xfId="22617" xr:uid="{00000000-0005-0000-0000-0000D34E0000}"/>
    <cellStyle name="40% - Accent6 5 2 2 5" xfId="5088" xr:uid="{00000000-0005-0000-0000-0000D44E0000}"/>
    <cellStyle name="40% - Accent6 5 2 2 5 2" xfId="13071" xr:uid="{00000000-0005-0000-0000-0000D54E0000}"/>
    <cellStyle name="40% - Accent6 5 2 2 5 2 2" xfId="26783" xr:uid="{00000000-0005-0000-0000-0000D64E0000}"/>
    <cellStyle name="40% - Accent6 5 2 2 5 3" xfId="25246" xr:uid="{00000000-0005-0000-0000-0000D74E0000}"/>
    <cellStyle name="40% - Accent6 5 2 2 6" xfId="5089" xr:uid="{00000000-0005-0000-0000-0000D84E0000}"/>
    <cellStyle name="40% - Accent6 5 2 2 6 2" xfId="13838" xr:uid="{00000000-0005-0000-0000-0000D94E0000}"/>
    <cellStyle name="40% - Accent6 5 2 2 6 2 2" xfId="27387" xr:uid="{00000000-0005-0000-0000-0000DA4E0000}"/>
    <cellStyle name="40% - Accent6 5 2 2 6 3" xfId="22616" xr:uid="{00000000-0005-0000-0000-0000DB4E0000}"/>
    <cellStyle name="40% - Accent6 5 2 2 7" xfId="5090" xr:uid="{00000000-0005-0000-0000-0000DC4E0000}"/>
    <cellStyle name="40% - Accent6 5 2 2 7 2" xfId="14419" xr:uid="{00000000-0005-0000-0000-0000DD4E0000}"/>
    <cellStyle name="40% - Accent6 5 2 2 7 2 2" xfId="27968" xr:uid="{00000000-0005-0000-0000-0000DE4E0000}"/>
    <cellStyle name="40% - Accent6 5 2 2 7 3" xfId="24436" xr:uid="{00000000-0005-0000-0000-0000DF4E0000}"/>
    <cellStyle name="40% - Accent6 5 2 2 8" xfId="5091" xr:uid="{00000000-0005-0000-0000-0000E04E0000}"/>
    <cellStyle name="40% - Accent6 5 2 2 8 2" xfId="15548" xr:uid="{00000000-0005-0000-0000-0000E14E0000}"/>
    <cellStyle name="40% - Accent6 5 2 2 8 2 2" xfId="29097" xr:uid="{00000000-0005-0000-0000-0000E24E0000}"/>
    <cellStyle name="40% - Accent6 5 2 2 8 3" xfId="29132" xr:uid="{00000000-0005-0000-0000-0000E34E0000}"/>
    <cellStyle name="40% - Accent6 5 2 2 9" xfId="5092" xr:uid="{00000000-0005-0000-0000-0000E44E0000}"/>
    <cellStyle name="40% - Accent6 5 2 2 9 2" xfId="16305" xr:uid="{00000000-0005-0000-0000-0000E54E0000}"/>
    <cellStyle name="40% - Accent6 5 2 2 9 2 2" xfId="29712" xr:uid="{00000000-0005-0000-0000-0000E64E0000}"/>
    <cellStyle name="40% - Accent6 5 2 2 9 3" xfId="22615" xr:uid="{00000000-0005-0000-0000-0000E74E0000}"/>
    <cellStyle name="40% - Accent6 5 2 3" xfId="5093" xr:uid="{00000000-0005-0000-0000-0000E84E0000}"/>
    <cellStyle name="40% - Accent6 5 2 3 2" xfId="5094" xr:uid="{00000000-0005-0000-0000-0000E94E0000}"/>
    <cellStyle name="40% - Accent6 5 2 3 2 2" xfId="11282" xr:uid="{00000000-0005-0000-0000-0000EA4E0000}"/>
    <cellStyle name="40% - Accent6 5 2 3 2 2 2" xfId="25224" xr:uid="{00000000-0005-0000-0000-0000EB4E0000}"/>
    <cellStyle name="40% - Accent6 5 2 3 2 3" xfId="24090" xr:uid="{00000000-0005-0000-0000-0000EC4E0000}"/>
    <cellStyle name="40% - Accent6 5 2 3 3" xfId="5095" xr:uid="{00000000-0005-0000-0000-0000ED4E0000}"/>
    <cellStyle name="40% - Accent6 5 2 3 3 2" xfId="13073" xr:uid="{00000000-0005-0000-0000-0000EE4E0000}"/>
    <cellStyle name="40% - Accent6 5 2 3 3 2 2" xfId="26785" xr:uid="{00000000-0005-0000-0000-0000EF4E0000}"/>
    <cellStyle name="40% - Accent6 5 2 3 3 3" xfId="22613" xr:uid="{00000000-0005-0000-0000-0000F04E0000}"/>
    <cellStyle name="40% - Accent6 5 2 3 4" xfId="5096" xr:uid="{00000000-0005-0000-0000-0000F14E0000}"/>
    <cellStyle name="40% - Accent6 5 2 3 4 2" xfId="15551" xr:uid="{00000000-0005-0000-0000-0000F24E0000}"/>
    <cellStyle name="40% - Accent6 5 2 3 4 2 2" xfId="29100" xr:uid="{00000000-0005-0000-0000-0000F34E0000}"/>
    <cellStyle name="40% - Accent6 5 2 3 4 3" xfId="24089" xr:uid="{00000000-0005-0000-0000-0000F44E0000}"/>
    <cellStyle name="40% - Accent6 5 2 3 5" xfId="5097" xr:uid="{00000000-0005-0000-0000-0000F54E0000}"/>
    <cellStyle name="40% - Accent6 5 2 3 5 2" xfId="16597" xr:uid="{00000000-0005-0000-0000-0000F64E0000}"/>
    <cellStyle name="40% - Accent6 5 2 3 5 2 2" xfId="30004" xr:uid="{00000000-0005-0000-0000-0000F74E0000}"/>
    <cellStyle name="40% - Accent6 5 2 3 5 3" xfId="22612" xr:uid="{00000000-0005-0000-0000-0000F84E0000}"/>
    <cellStyle name="40% - Accent6 5 2 3 6" xfId="9555" xr:uid="{00000000-0005-0000-0000-0000F94E0000}"/>
    <cellStyle name="40% - Accent6 5 2 3 6 2" xfId="24030" xr:uid="{00000000-0005-0000-0000-0000FA4E0000}"/>
    <cellStyle name="40% - Accent6 5 2 3 7" xfId="22614" xr:uid="{00000000-0005-0000-0000-0000FB4E0000}"/>
    <cellStyle name="40% - Accent6 5 2 4" xfId="5098" xr:uid="{00000000-0005-0000-0000-0000FC4E0000}"/>
    <cellStyle name="40% - Accent6 5 2 4 2" xfId="5099" xr:uid="{00000000-0005-0000-0000-0000FD4E0000}"/>
    <cellStyle name="40% - Accent6 5 2 4 2 2" xfId="15552" xr:uid="{00000000-0005-0000-0000-0000FE4E0000}"/>
    <cellStyle name="40% - Accent6 5 2 4 2 2 2" xfId="29101" xr:uid="{00000000-0005-0000-0000-0000FF4E0000}"/>
    <cellStyle name="40% - Accent6 5 2 4 2 3" xfId="24087" xr:uid="{00000000-0005-0000-0000-0000004F0000}"/>
    <cellStyle name="40% - Accent6 5 2 4 3" xfId="11279" xr:uid="{00000000-0005-0000-0000-0000014F0000}"/>
    <cellStyle name="40% - Accent6 5 2 4 3 2" xfId="25221" xr:uid="{00000000-0005-0000-0000-0000024F0000}"/>
    <cellStyle name="40% - Accent6 5 2 4 4" xfId="23259" xr:uid="{00000000-0005-0000-0000-0000034F0000}"/>
    <cellStyle name="40% - Accent6 5 2 5" xfId="5100" xr:uid="{00000000-0005-0000-0000-0000044F0000}"/>
    <cellStyle name="40% - Accent6 5 2 5 2" xfId="11974" xr:uid="{00000000-0005-0000-0000-0000054F0000}"/>
    <cellStyle name="40% - Accent6 5 2 5 2 2" xfId="25689" xr:uid="{00000000-0005-0000-0000-0000064F0000}"/>
    <cellStyle name="40% - Accent6 5 2 5 3" xfId="22611" xr:uid="{00000000-0005-0000-0000-0000074F0000}"/>
    <cellStyle name="40% - Accent6 5 2 6" xfId="5101" xr:uid="{00000000-0005-0000-0000-0000084F0000}"/>
    <cellStyle name="40% - Accent6 5 2 6 2" xfId="13070" xr:uid="{00000000-0005-0000-0000-0000094F0000}"/>
    <cellStyle name="40% - Accent6 5 2 6 2 2" xfId="26782" xr:uid="{00000000-0005-0000-0000-00000A4F0000}"/>
    <cellStyle name="40% - Accent6 5 2 6 3" xfId="24086" xr:uid="{00000000-0005-0000-0000-00000B4F0000}"/>
    <cellStyle name="40% - Accent6 5 2 7" xfId="5102" xr:uid="{00000000-0005-0000-0000-00000C4F0000}"/>
    <cellStyle name="40% - Accent6 5 2 7 2" xfId="13549" xr:uid="{00000000-0005-0000-0000-00000D4F0000}"/>
    <cellStyle name="40% - Accent6 5 2 7 2 2" xfId="27098" xr:uid="{00000000-0005-0000-0000-00000E4F0000}"/>
    <cellStyle name="40% - Accent6 5 2 7 3" xfId="22610" xr:uid="{00000000-0005-0000-0000-00000F4F0000}"/>
    <cellStyle name="40% - Accent6 5 2 8" xfId="5103" xr:uid="{00000000-0005-0000-0000-0000104F0000}"/>
    <cellStyle name="40% - Accent6 5 2 8 2" xfId="14130" xr:uid="{00000000-0005-0000-0000-0000114F0000}"/>
    <cellStyle name="40% - Accent6 5 2 8 2 2" xfId="27679" xr:uid="{00000000-0005-0000-0000-0000124F0000}"/>
    <cellStyle name="40% - Accent6 5 2 8 3" xfId="24085" xr:uid="{00000000-0005-0000-0000-0000134F0000}"/>
    <cellStyle name="40% - Accent6 5 2 9" xfId="5104" xr:uid="{00000000-0005-0000-0000-0000144F0000}"/>
    <cellStyle name="40% - Accent6 5 2 9 2" xfId="15547" xr:uid="{00000000-0005-0000-0000-0000154F0000}"/>
    <cellStyle name="40% - Accent6 5 2 9 2 2" xfId="29096" xr:uid="{00000000-0005-0000-0000-0000164F0000}"/>
    <cellStyle name="40% - Accent6 5 2 9 3" xfId="22609" xr:uid="{00000000-0005-0000-0000-0000174F0000}"/>
    <cellStyle name="40% - Accent6 5 3" xfId="5105" xr:uid="{00000000-0005-0000-0000-0000184F0000}"/>
    <cellStyle name="40% - Accent6 5 3 10" xfId="9556" xr:uid="{00000000-0005-0000-0000-0000194F0000}"/>
    <cellStyle name="40% - Accent6 5 3 10 2" xfId="24031" xr:uid="{00000000-0005-0000-0000-00001A4F0000}"/>
    <cellStyle name="40% - Accent6 5 3 11" xfId="24084" xr:uid="{00000000-0005-0000-0000-00001B4F0000}"/>
    <cellStyle name="40% - Accent6 5 3 2" xfId="5106" xr:uid="{00000000-0005-0000-0000-00001C4F0000}"/>
    <cellStyle name="40% - Accent6 5 3 2 2" xfId="5107" xr:uid="{00000000-0005-0000-0000-00001D4F0000}"/>
    <cellStyle name="40% - Accent6 5 3 2 2 2" xfId="11284" xr:uid="{00000000-0005-0000-0000-00001E4F0000}"/>
    <cellStyle name="40% - Accent6 5 3 2 2 2 2" xfId="25226" xr:uid="{00000000-0005-0000-0000-00001F4F0000}"/>
    <cellStyle name="40% - Accent6 5 3 2 2 3" xfId="24082" xr:uid="{00000000-0005-0000-0000-0000204F0000}"/>
    <cellStyle name="40% - Accent6 5 3 2 3" xfId="5108" xr:uid="{00000000-0005-0000-0000-0000214F0000}"/>
    <cellStyle name="40% - Accent6 5 3 2 3 2" xfId="13075" xr:uid="{00000000-0005-0000-0000-0000224F0000}"/>
    <cellStyle name="40% - Accent6 5 3 2 3 2 2" xfId="26787" xr:uid="{00000000-0005-0000-0000-0000234F0000}"/>
    <cellStyle name="40% - Accent6 5 3 2 3 3" xfId="24083" xr:uid="{00000000-0005-0000-0000-0000244F0000}"/>
    <cellStyle name="40% - Accent6 5 3 2 4" xfId="5109" xr:uid="{00000000-0005-0000-0000-0000254F0000}"/>
    <cellStyle name="40% - Accent6 5 3 2 4 2" xfId="15554" xr:uid="{00000000-0005-0000-0000-0000264F0000}"/>
    <cellStyle name="40% - Accent6 5 3 2 4 2 2" xfId="29103" xr:uid="{00000000-0005-0000-0000-0000274F0000}"/>
    <cellStyle name="40% - Accent6 5 3 2 4 3" xfId="22607" xr:uid="{00000000-0005-0000-0000-0000284F0000}"/>
    <cellStyle name="40% - Accent6 5 3 2 5" xfId="5110" xr:uid="{00000000-0005-0000-0000-0000294F0000}"/>
    <cellStyle name="40% - Accent6 5 3 2 5 2" xfId="16746" xr:uid="{00000000-0005-0000-0000-00002A4F0000}"/>
    <cellStyle name="40% - Accent6 5 3 2 5 2 2" xfId="30153" xr:uid="{00000000-0005-0000-0000-00002B4F0000}"/>
    <cellStyle name="40% - Accent6 5 3 2 5 3" xfId="22606" xr:uid="{00000000-0005-0000-0000-00002C4F0000}"/>
    <cellStyle name="40% - Accent6 5 3 2 6" xfId="9557" xr:uid="{00000000-0005-0000-0000-00002D4F0000}"/>
    <cellStyle name="40% - Accent6 5 3 2 6 2" xfId="24032" xr:uid="{00000000-0005-0000-0000-00002E4F0000}"/>
    <cellStyle name="40% - Accent6 5 3 2 7" xfId="22608" xr:uid="{00000000-0005-0000-0000-00002F4F0000}"/>
    <cellStyle name="40% - Accent6 5 3 3" xfId="5111" xr:uid="{00000000-0005-0000-0000-0000304F0000}"/>
    <cellStyle name="40% - Accent6 5 3 3 2" xfId="5112" xr:uid="{00000000-0005-0000-0000-0000314F0000}"/>
    <cellStyle name="40% - Accent6 5 3 3 2 2" xfId="15555" xr:uid="{00000000-0005-0000-0000-0000324F0000}"/>
    <cellStyle name="40% - Accent6 5 3 3 2 2 2" xfId="29104" xr:uid="{00000000-0005-0000-0000-0000334F0000}"/>
    <cellStyle name="40% - Accent6 5 3 3 2 3" xfId="26808" xr:uid="{00000000-0005-0000-0000-0000344F0000}"/>
    <cellStyle name="40% - Accent6 5 3 3 3" xfId="11283" xr:uid="{00000000-0005-0000-0000-0000354F0000}"/>
    <cellStyle name="40% - Accent6 5 3 3 3 2" xfId="25225" xr:uid="{00000000-0005-0000-0000-0000364F0000}"/>
    <cellStyle name="40% - Accent6 5 3 3 4" xfId="24081" xr:uid="{00000000-0005-0000-0000-0000374F0000}"/>
    <cellStyle name="40% - Accent6 5 3 4" xfId="5113" xr:uid="{00000000-0005-0000-0000-0000384F0000}"/>
    <cellStyle name="40% - Accent6 5 3 4 2" xfId="12134" xr:uid="{00000000-0005-0000-0000-0000394F0000}"/>
    <cellStyle name="40% - Accent6 5 3 4 2 2" xfId="25846" xr:uid="{00000000-0005-0000-0000-00003A4F0000}"/>
    <cellStyle name="40% - Accent6 5 3 4 3" xfId="22605" xr:uid="{00000000-0005-0000-0000-00003B4F0000}"/>
    <cellStyle name="40% - Accent6 5 3 5" xfId="5114" xr:uid="{00000000-0005-0000-0000-00003C4F0000}"/>
    <cellStyle name="40% - Accent6 5 3 5 2" xfId="13074" xr:uid="{00000000-0005-0000-0000-00003D4F0000}"/>
    <cellStyle name="40% - Accent6 5 3 5 2 2" xfId="26786" xr:uid="{00000000-0005-0000-0000-00003E4F0000}"/>
    <cellStyle name="40% - Accent6 5 3 5 3" xfId="26809" xr:uid="{00000000-0005-0000-0000-00003F4F0000}"/>
    <cellStyle name="40% - Accent6 5 3 6" xfId="5115" xr:uid="{00000000-0005-0000-0000-0000404F0000}"/>
    <cellStyle name="40% - Accent6 5 3 6 2" xfId="13698" xr:uid="{00000000-0005-0000-0000-0000414F0000}"/>
    <cellStyle name="40% - Accent6 5 3 6 2 2" xfId="27247" xr:uid="{00000000-0005-0000-0000-0000424F0000}"/>
    <cellStyle name="40% - Accent6 5 3 6 3" xfId="22604" xr:uid="{00000000-0005-0000-0000-0000434F0000}"/>
    <cellStyle name="40% - Accent6 5 3 7" xfId="5116" xr:uid="{00000000-0005-0000-0000-0000444F0000}"/>
    <cellStyle name="40% - Accent6 5 3 7 2" xfId="14279" xr:uid="{00000000-0005-0000-0000-0000454F0000}"/>
    <cellStyle name="40% - Accent6 5 3 7 2 2" xfId="27828" xr:uid="{00000000-0005-0000-0000-0000464F0000}"/>
    <cellStyle name="40% - Accent6 5 3 7 3" xfId="22603" xr:uid="{00000000-0005-0000-0000-0000474F0000}"/>
    <cellStyle name="40% - Accent6 5 3 8" xfId="5117" xr:uid="{00000000-0005-0000-0000-0000484F0000}"/>
    <cellStyle name="40% - Accent6 5 3 8 2" xfId="15553" xr:uid="{00000000-0005-0000-0000-0000494F0000}"/>
    <cellStyle name="40% - Accent6 5 3 8 2 2" xfId="29102" xr:uid="{00000000-0005-0000-0000-00004A4F0000}"/>
    <cellStyle name="40% - Accent6 5 3 8 3" xfId="24079" xr:uid="{00000000-0005-0000-0000-00004B4F0000}"/>
    <cellStyle name="40% - Accent6 5 3 9" xfId="5118" xr:uid="{00000000-0005-0000-0000-00004C4F0000}"/>
    <cellStyle name="40% - Accent6 5 3 9 2" xfId="16165" xr:uid="{00000000-0005-0000-0000-00004D4F0000}"/>
    <cellStyle name="40% - Accent6 5 3 9 2 2" xfId="29572" xr:uid="{00000000-0005-0000-0000-00004E4F0000}"/>
    <cellStyle name="40% - Accent6 5 3 9 3" xfId="24080" xr:uid="{00000000-0005-0000-0000-00004F4F0000}"/>
    <cellStyle name="40% - Accent6 5 4" xfId="5119" xr:uid="{00000000-0005-0000-0000-0000504F0000}"/>
    <cellStyle name="40% - Accent6 5 4 2" xfId="5120" xr:uid="{00000000-0005-0000-0000-0000514F0000}"/>
    <cellStyle name="40% - Accent6 5 4 2 2" xfId="11285" xr:uid="{00000000-0005-0000-0000-0000524F0000}"/>
    <cellStyle name="40% - Accent6 5 4 2 2 2" xfId="25227" xr:uid="{00000000-0005-0000-0000-0000534F0000}"/>
    <cellStyle name="40% - Accent6 5 4 2 3" xfId="22601" xr:uid="{00000000-0005-0000-0000-0000544F0000}"/>
    <cellStyle name="40% - Accent6 5 4 3" xfId="5121" xr:uid="{00000000-0005-0000-0000-0000554F0000}"/>
    <cellStyle name="40% - Accent6 5 4 3 2" xfId="13076" xr:uid="{00000000-0005-0000-0000-0000564F0000}"/>
    <cellStyle name="40% - Accent6 5 4 3 2 2" xfId="26788" xr:uid="{00000000-0005-0000-0000-0000574F0000}"/>
    <cellStyle name="40% - Accent6 5 4 3 3" xfId="24078" xr:uid="{00000000-0005-0000-0000-0000584F0000}"/>
    <cellStyle name="40% - Accent6 5 4 4" xfId="5122" xr:uid="{00000000-0005-0000-0000-0000594F0000}"/>
    <cellStyle name="40% - Accent6 5 4 4 2" xfId="15556" xr:uid="{00000000-0005-0000-0000-00005A4F0000}"/>
    <cellStyle name="40% - Accent6 5 4 4 2 2" xfId="29105" xr:uid="{00000000-0005-0000-0000-00005B4F0000}"/>
    <cellStyle name="40% - Accent6 5 4 4 3" xfId="22600" xr:uid="{00000000-0005-0000-0000-00005C4F0000}"/>
    <cellStyle name="40% - Accent6 5 4 5" xfId="5123" xr:uid="{00000000-0005-0000-0000-00005D4F0000}"/>
    <cellStyle name="40% - Accent6 5 4 5 2" xfId="16454" xr:uid="{00000000-0005-0000-0000-00005E4F0000}"/>
    <cellStyle name="40% - Accent6 5 4 5 2 2" xfId="29861" xr:uid="{00000000-0005-0000-0000-00005F4F0000}"/>
    <cellStyle name="40% - Accent6 5 4 5 3" xfId="24075" xr:uid="{00000000-0005-0000-0000-0000604F0000}"/>
    <cellStyle name="40% - Accent6 5 4 6" xfId="9558" xr:uid="{00000000-0005-0000-0000-0000614F0000}"/>
    <cellStyle name="40% - Accent6 5 4 6 2" xfId="24033" xr:uid="{00000000-0005-0000-0000-0000624F0000}"/>
    <cellStyle name="40% - Accent6 5 4 7" xfId="22602" xr:uid="{00000000-0005-0000-0000-0000634F0000}"/>
    <cellStyle name="40% - Accent6 5 5" xfId="5124" xr:uid="{00000000-0005-0000-0000-0000644F0000}"/>
    <cellStyle name="40% - Accent6 5 5 2" xfId="5125" xr:uid="{00000000-0005-0000-0000-0000654F0000}"/>
    <cellStyle name="40% - Accent6 5 5 2 2" xfId="15557" xr:uid="{00000000-0005-0000-0000-0000664F0000}"/>
    <cellStyle name="40% - Accent6 5 5 2 2 2" xfId="29106" xr:uid="{00000000-0005-0000-0000-0000674F0000}"/>
    <cellStyle name="40% - Accent6 5 5 2 3" xfId="25245" xr:uid="{00000000-0005-0000-0000-0000684F0000}"/>
    <cellStyle name="40% - Accent6 5 5 3" xfId="11278" xr:uid="{00000000-0005-0000-0000-0000694F0000}"/>
    <cellStyle name="40% - Accent6 5 5 3 2" xfId="25220" xr:uid="{00000000-0005-0000-0000-00006A4F0000}"/>
    <cellStyle name="40% - Accent6 5 5 4" xfId="22599" xr:uid="{00000000-0005-0000-0000-00006B4F0000}"/>
    <cellStyle name="40% - Accent6 5 6" xfId="5126" xr:uid="{00000000-0005-0000-0000-00006C4F0000}"/>
    <cellStyle name="40% - Accent6 5 6 2" xfId="11805" xr:uid="{00000000-0005-0000-0000-00006D4F0000}"/>
    <cellStyle name="40% - Accent6 5 6 2 2" xfId="25520" xr:uid="{00000000-0005-0000-0000-00006E4F0000}"/>
    <cellStyle name="40% - Accent6 5 6 3" xfId="22598" xr:uid="{00000000-0005-0000-0000-00006F4F0000}"/>
    <cellStyle name="40% - Accent6 5 7" xfId="5127" xr:uid="{00000000-0005-0000-0000-0000704F0000}"/>
    <cellStyle name="40% - Accent6 5 7 2" xfId="13069" xr:uid="{00000000-0005-0000-0000-0000714F0000}"/>
    <cellStyle name="40% - Accent6 5 7 2 2" xfId="26781" xr:uid="{00000000-0005-0000-0000-0000724F0000}"/>
    <cellStyle name="40% - Accent6 5 7 3" xfId="24435" xr:uid="{00000000-0005-0000-0000-0000734F0000}"/>
    <cellStyle name="40% - Accent6 5 8" xfId="5128" xr:uid="{00000000-0005-0000-0000-0000744F0000}"/>
    <cellStyle name="40% - Accent6 5 8 2" xfId="13406" xr:uid="{00000000-0005-0000-0000-0000754F0000}"/>
    <cellStyle name="40% - Accent6 5 8 2 2" xfId="26955" xr:uid="{00000000-0005-0000-0000-0000764F0000}"/>
    <cellStyle name="40% - Accent6 5 8 3" xfId="29131" xr:uid="{00000000-0005-0000-0000-0000774F0000}"/>
    <cellStyle name="40% - Accent6 5 9" xfId="5129" xr:uid="{00000000-0005-0000-0000-0000784F0000}"/>
    <cellStyle name="40% - Accent6 5 9 2" xfId="13987" xr:uid="{00000000-0005-0000-0000-0000794F0000}"/>
    <cellStyle name="40% - Accent6 5 9 2 2" xfId="27536" xr:uid="{00000000-0005-0000-0000-00007A4F0000}"/>
    <cellStyle name="40% - Accent6 5 9 3" xfId="22597" xr:uid="{00000000-0005-0000-0000-00007B4F0000}"/>
    <cellStyle name="40% - Accent6 6" xfId="5130" xr:uid="{00000000-0005-0000-0000-00007C4F0000}"/>
    <cellStyle name="40% - Accent6 6 10" xfId="5131" xr:uid="{00000000-0005-0000-0000-00007D4F0000}"/>
    <cellStyle name="40% - Accent6 6 10 2" xfId="15558" xr:uid="{00000000-0005-0000-0000-00007E4F0000}"/>
    <cellStyle name="40% - Accent6 6 10 2 2" xfId="29107" xr:uid="{00000000-0005-0000-0000-00007F4F0000}"/>
    <cellStyle name="40% - Accent6 6 10 3" xfId="24077" xr:uid="{00000000-0005-0000-0000-0000804F0000}"/>
    <cellStyle name="40% - Accent6 6 11" xfId="5132" xr:uid="{00000000-0005-0000-0000-0000814F0000}"/>
    <cellStyle name="40% - Accent6 6 11 2" xfId="15979" xr:uid="{00000000-0005-0000-0000-0000824F0000}"/>
    <cellStyle name="40% - Accent6 6 11 2 2" xfId="29386" xr:uid="{00000000-0005-0000-0000-0000834F0000}"/>
    <cellStyle name="40% - Accent6 6 11 3" xfId="22595" xr:uid="{00000000-0005-0000-0000-0000844F0000}"/>
    <cellStyle name="40% - Accent6 6 12" xfId="9559" xr:uid="{00000000-0005-0000-0000-0000854F0000}"/>
    <cellStyle name="40% - Accent6 6 12 2" xfId="24034" xr:uid="{00000000-0005-0000-0000-0000864F0000}"/>
    <cellStyle name="40% - Accent6 6 13" xfId="22596" xr:uid="{00000000-0005-0000-0000-0000874F0000}"/>
    <cellStyle name="40% - Accent6 6 2" xfId="5133" xr:uid="{00000000-0005-0000-0000-0000884F0000}"/>
    <cellStyle name="40% - Accent6 6 2 10" xfId="5134" xr:uid="{00000000-0005-0000-0000-0000894F0000}"/>
    <cellStyle name="40% - Accent6 6 2 10 2" xfId="16122" xr:uid="{00000000-0005-0000-0000-00008A4F0000}"/>
    <cellStyle name="40% - Accent6 6 2 10 2 2" xfId="29529" xr:uid="{00000000-0005-0000-0000-00008B4F0000}"/>
    <cellStyle name="40% - Accent6 6 2 10 3" xfId="22594" xr:uid="{00000000-0005-0000-0000-00008C4F0000}"/>
    <cellStyle name="40% - Accent6 6 2 11" xfId="9560" xr:uid="{00000000-0005-0000-0000-00008D4F0000}"/>
    <cellStyle name="40% - Accent6 6 2 11 2" xfId="24035" xr:uid="{00000000-0005-0000-0000-00008E4F0000}"/>
    <cellStyle name="40% - Accent6 6 2 12" xfId="24076" xr:uid="{00000000-0005-0000-0000-00008F4F0000}"/>
    <cellStyle name="40% - Accent6 6 2 2" xfId="5135" xr:uid="{00000000-0005-0000-0000-0000904F0000}"/>
    <cellStyle name="40% - Accent6 6 2 2 10" xfId="9561" xr:uid="{00000000-0005-0000-0000-0000914F0000}"/>
    <cellStyle name="40% - Accent6 6 2 2 10 2" xfId="24036" xr:uid="{00000000-0005-0000-0000-0000924F0000}"/>
    <cellStyle name="40% - Accent6 6 2 2 11" xfId="23255" xr:uid="{00000000-0005-0000-0000-0000934F0000}"/>
    <cellStyle name="40% - Accent6 6 2 2 2" xfId="5136" xr:uid="{00000000-0005-0000-0000-0000944F0000}"/>
    <cellStyle name="40% - Accent6 6 2 2 2 2" xfId="5137" xr:uid="{00000000-0005-0000-0000-0000954F0000}"/>
    <cellStyle name="40% - Accent6 6 2 2 2 2 2" xfId="11289" xr:uid="{00000000-0005-0000-0000-0000964F0000}"/>
    <cellStyle name="40% - Accent6 6 2 2 2 2 2 2" xfId="25231" xr:uid="{00000000-0005-0000-0000-0000974F0000}"/>
    <cellStyle name="40% - Accent6 6 2 2 2 2 3" xfId="22593" xr:uid="{00000000-0005-0000-0000-0000984F0000}"/>
    <cellStyle name="40% - Accent6 6 2 2 2 3" xfId="5138" xr:uid="{00000000-0005-0000-0000-0000994F0000}"/>
    <cellStyle name="40% - Accent6 6 2 2 2 3 2" xfId="13080" xr:uid="{00000000-0005-0000-0000-00009A4F0000}"/>
    <cellStyle name="40% - Accent6 6 2 2 2 3 2 2" xfId="26792" xr:uid="{00000000-0005-0000-0000-00009B4F0000}"/>
    <cellStyle name="40% - Accent6 6 2 2 2 3 3" xfId="24073" xr:uid="{00000000-0005-0000-0000-00009C4F0000}"/>
    <cellStyle name="40% - Accent6 6 2 2 2 4" xfId="5139" xr:uid="{00000000-0005-0000-0000-00009D4F0000}"/>
    <cellStyle name="40% - Accent6 6 2 2 2 4 2" xfId="15561" xr:uid="{00000000-0005-0000-0000-00009E4F0000}"/>
    <cellStyle name="40% - Accent6 6 2 2 2 4 2 2" xfId="29110" xr:uid="{00000000-0005-0000-0000-00009F4F0000}"/>
    <cellStyle name="40% - Accent6 6 2 2 2 4 3" xfId="22592" xr:uid="{00000000-0005-0000-0000-0000A04F0000}"/>
    <cellStyle name="40% - Accent6 6 2 2 2 5" xfId="5140" xr:uid="{00000000-0005-0000-0000-0000A14F0000}"/>
    <cellStyle name="40% - Accent6 6 2 2 2 5 2" xfId="16992" xr:uid="{00000000-0005-0000-0000-0000A24F0000}"/>
    <cellStyle name="40% - Accent6 6 2 2 2 5 2 2" xfId="30399" xr:uid="{00000000-0005-0000-0000-0000A34F0000}"/>
    <cellStyle name="40% - Accent6 6 2 2 2 5 3" xfId="24072" xr:uid="{00000000-0005-0000-0000-0000A44F0000}"/>
    <cellStyle name="40% - Accent6 6 2 2 2 6" xfId="9562" xr:uid="{00000000-0005-0000-0000-0000A54F0000}"/>
    <cellStyle name="40% - Accent6 6 2 2 2 6 2" xfId="24037" xr:uid="{00000000-0005-0000-0000-0000A64F0000}"/>
    <cellStyle name="40% - Accent6 6 2 2 2 7" xfId="24074" xr:uid="{00000000-0005-0000-0000-0000A74F0000}"/>
    <cellStyle name="40% - Accent6 6 2 2 3" xfId="5141" xr:uid="{00000000-0005-0000-0000-0000A84F0000}"/>
    <cellStyle name="40% - Accent6 6 2 2 3 2" xfId="5142" xr:uid="{00000000-0005-0000-0000-0000A94F0000}"/>
    <cellStyle name="40% - Accent6 6 2 2 3 2 2" xfId="15562" xr:uid="{00000000-0005-0000-0000-0000AA4F0000}"/>
    <cellStyle name="40% - Accent6 6 2 2 3 2 2 2" xfId="29111" xr:uid="{00000000-0005-0000-0000-0000AB4F0000}"/>
    <cellStyle name="40% - Accent6 6 2 2 3 2 3" xfId="24071" xr:uid="{00000000-0005-0000-0000-0000AC4F0000}"/>
    <cellStyle name="40% - Accent6 6 2 2 3 3" xfId="11288" xr:uid="{00000000-0005-0000-0000-0000AD4F0000}"/>
    <cellStyle name="40% - Accent6 6 2 2 3 3 2" xfId="25230" xr:uid="{00000000-0005-0000-0000-0000AE4F0000}"/>
    <cellStyle name="40% - Accent6 6 2 2 3 4" xfId="22591" xr:uid="{00000000-0005-0000-0000-0000AF4F0000}"/>
    <cellStyle name="40% - Accent6 6 2 2 4" xfId="5143" xr:uid="{00000000-0005-0000-0000-0000B04F0000}"/>
    <cellStyle name="40% - Accent6 6 2 2 4 2" xfId="12380" xr:uid="{00000000-0005-0000-0000-0000B14F0000}"/>
    <cellStyle name="40% - Accent6 6 2 2 4 2 2" xfId="26092" xr:uid="{00000000-0005-0000-0000-0000B24F0000}"/>
    <cellStyle name="40% - Accent6 6 2 2 4 3" xfId="22590" xr:uid="{00000000-0005-0000-0000-0000B34F0000}"/>
    <cellStyle name="40% - Accent6 6 2 2 5" xfId="5144" xr:uid="{00000000-0005-0000-0000-0000B44F0000}"/>
    <cellStyle name="40% - Accent6 6 2 2 5 2" xfId="13079" xr:uid="{00000000-0005-0000-0000-0000B54F0000}"/>
    <cellStyle name="40% - Accent6 6 2 2 5 2 2" xfId="26791" xr:uid="{00000000-0005-0000-0000-0000B64F0000}"/>
    <cellStyle name="40% - Accent6 6 2 2 5 3" xfId="24069" xr:uid="{00000000-0005-0000-0000-0000B74F0000}"/>
    <cellStyle name="40% - Accent6 6 2 2 6" xfId="5145" xr:uid="{00000000-0005-0000-0000-0000B84F0000}"/>
    <cellStyle name="40% - Accent6 6 2 2 6 2" xfId="13944" xr:uid="{00000000-0005-0000-0000-0000B94F0000}"/>
    <cellStyle name="40% - Accent6 6 2 2 6 2 2" xfId="27493" xr:uid="{00000000-0005-0000-0000-0000BA4F0000}"/>
    <cellStyle name="40% - Accent6 6 2 2 6 3" xfId="24070" xr:uid="{00000000-0005-0000-0000-0000BB4F0000}"/>
    <cellStyle name="40% - Accent6 6 2 2 7" xfId="5146" xr:uid="{00000000-0005-0000-0000-0000BC4F0000}"/>
    <cellStyle name="40% - Accent6 6 2 2 7 2" xfId="14525" xr:uid="{00000000-0005-0000-0000-0000BD4F0000}"/>
    <cellStyle name="40% - Accent6 6 2 2 7 2 2" xfId="28074" xr:uid="{00000000-0005-0000-0000-0000BE4F0000}"/>
    <cellStyle name="40% - Accent6 6 2 2 7 3" xfId="22589" xr:uid="{00000000-0005-0000-0000-0000BF4F0000}"/>
    <cellStyle name="40% - Accent6 6 2 2 8" xfId="5147" xr:uid="{00000000-0005-0000-0000-0000C04F0000}"/>
    <cellStyle name="40% - Accent6 6 2 2 8 2" xfId="15560" xr:uid="{00000000-0005-0000-0000-0000C14F0000}"/>
    <cellStyle name="40% - Accent6 6 2 2 8 2 2" xfId="29109" xr:uid="{00000000-0005-0000-0000-0000C24F0000}"/>
    <cellStyle name="40% - Accent6 6 2 2 8 3" xfId="22588" xr:uid="{00000000-0005-0000-0000-0000C34F0000}"/>
    <cellStyle name="40% - Accent6 6 2 2 9" xfId="5148" xr:uid="{00000000-0005-0000-0000-0000C44F0000}"/>
    <cellStyle name="40% - Accent6 6 2 2 9 2" xfId="16411" xr:uid="{00000000-0005-0000-0000-0000C54F0000}"/>
    <cellStyle name="40% - Accent6 6 2 2 9 2 2" xfId="29818" xr:uid="{00000000-0005-0000-0000-0000C64F0000}"/>
    <cellStyle name="40% - Accent6 6 2 2 9 3" xfId="24068" xr:uid="{00000000-0005-0000-0000-0000C74F0000}"/>
    <cellStyle name="40% - Accent6 6 2 3" xfId="5149" xr:uid="{00000000-0005-0000-0000-0000C84F0000}"/>
    <cellStyle name="40% - Accent6 6 2 3 2" xfId="5150" xr:uid="{00000000-0005-0000-0000-0000C94F0000}"/>
    <cellStyle name="40% - Accent6 6 2 3 2 2" xfId="11290" xr:uid="{00000000-0005-0000-0000-0000CA4F0000}"/>
    <cellStyle name="40% - Accent6 6 2 3 2 2 2" xfId="25232" xr:uid="{00000000-0005-0000-0000-0000CB4F0000}"/>
    <cellStyle name="40% - Accent6 6 2 3 2 3" xfId="22587" xr:uid="{00000000-0005-0000-0000-0000CC4F0000}"/>
    <cellStyle name="40% - Accent6 6 2 3 3" xfId="5151" xr:uid="{00000000-0005-0000-0000-0000CD4F0000}"/>
    <cellStyle name="40% - Accent6 6 2 3 3 2" xfId="13081" xr:uid="{00000000-0005-0000-0000-0000CE4F0000}"/>
    <cellStyle name="40% - Accent6 6 2 3 3 2 2" xfId="26793" xr:uid="{00000000-0005-0000-0000-0000CF4F0000}"/>
    <cellStyle name="40% - Accent6 6 2 3 3 3" xfId="26807" xr:uid="{00000000-0005-0000-0000-0000D04F0000}"/>
    <cellStyle name="40% - Accent6 6 2 3 4" xfId="5152" xr:uid="{00000000-0005-0000-0000-0000D14F0000}"/>
    <cellStyle name="40% - Accent6 6 2 3 4 2" xfId="15563" xr:uid="{00000000-0005-0000-0000-0000D24F0000}"/>
    <cellStyle name="40% - Accent6 6 2 3 4 2 2" xfId="29112" xr:uid="{00000000-0005-0000-0000-0000D34F0000}"/>
    <cellStyle name="40% - Accent6 6 2 3 4 3" xfId="22586" xr:uid="{00000000-0005-0000-0000-0000D44F0000}"/>
    <cellStyle name="40% - Accent6 6 2 3 5" xfId="5153" xr:uid="{00000000-0005-0000-0000-0000D54F0000}"/>
    <cellStyle name="40% - Accent6 6 2 3 5 2" xfId="16703" xr:uid="{00000000-0005-0000-0000-0000D64F0000}"/>
    <cellStyle name="40% - Accent6 6 2 3 5 2 2" xfId="30110" xr:uid="{00000000-0005-0000-0000-0000D74F0000}"/>
    <cellStyle name="40% - Accent6 6 2 3 5 3" xfId="22585" xr:uid="{00000000-0005-0000-0000-0000D84F0000}"/>
    <cellStyle name="40% - Accent6 6 2 3 6" xfId="9563" xr:uid="{00000000-0005-0000-0000-0000D94F0000}"/>
    <cellStyle name="40% - Accent6 6 2 3 6 2" xfId="24038" xr:uid="{00000000-0005-0000-0000-0000DA4F0000}"/>
    <cellStyle name="40% - Accent6 6 2 3 7" xfId="26806" xr:uid="{00000000-0005-0000-0000-0000DB4F0000}"/>
    <cellStyle name="40% - Accent6 6 2 4" xfId="5154" xr:uid="{00000000-0005-0000-0000-0000DC4F0000}"/>
    <cellStyle name="40% - Accent6 6 2 4 2" xfId="5155" xr:uid="{00000000-0005-0000-0000-0000DD4F0000}"/>
    <cellStyle name="40% - Accent6 6 2 4 2 2" xfId="15564" xr:uid="{00000000-0005-0000-0000-0000DE4F0000}"/>
    <cellStyle name="40% - Accent6 6 2 4 2 2 2" xfId="29113" xr:uid="{00000000-0005-0000-0000-0000DF4F0000}"/>
    <cellStyle name="40% - Accent6 6 2 4 2 3" xfId="24067" xr:uid="{00000000-0005-0000-0000-0000E04F0000}"/>
    <cellStyle name="40% - Accent6 6 2 4 3" xfId="11287" xr:uid="{00000000-0005-0000-0000-0000E14F0000}"/>
    <cellStyle name="40% - Accent6 6 2 4 3 2" xfId="25229" xr:uid="{00000000-0005-0000-0000-0000E24F0000}"/>
    <cellStyle name="40% - Accent6 6 2 4 4" xfId="24066" xr:uid="{00000000-0005-0000-0000-0000E34F0000}"/>
    <cellStyle name="40% - Accent6 6 2 5" xfId="5156" xr:uid="{00000000-0005-0000-0000-0000E44F0000}"/>
    <cellStyle name="40% - Accent6 6 2 5 2" xfId="12080" xr:uid="{00000000-0005-0000-0000-0000E54F0000}"/>
    <cellStyle name="40% - Accent6 6 2 5 2 2" xfId="25795" xr:uid="{00000000-0005-0000-0000-0000E64F0000}"/>
    <cellStyle name="40% - Accent6 6 2 5 3" xfId="22584" xr:uid="{00000000-0005-0000-0000-0000E74F0000}"/>
    <cellStyle name="40% - Accent6 6 2 6" xfId="5157" xr:uid="{00000000-0005-0000-0000-0000E84F0000}"/>
    <cellStyle name="40% - Accent6 6 2 6 2" xfId="13078" xr:uid="{00000000-0005-0000-0000-0000E94F0000}"/>
    <cellStyle name="40% - Accent6 6 2 6 2 2" xfId="26790" xr:uid="{00000000-0005-0000-0000-0000EA4F0000}"/>
    <cellStyle name="40% - Accent6 6 2 6 3" xfId="22583" xr:uid="{00000000-0005-0000-0000-0000EB4F0000}"/>
    <cellStyle name="40% - Accent6 6 2 7" xfId="5158" xr:uid="{00000000-0005-0000-0000-0000EC4F0000}"/>
    <cellStyle name="40% - Accent6 6 2 7 2" xfId="13655" xr:uid="{00000000-0005-0000-0000-0000ED4F0000}"/>
    <cellStyle name="40% - Accent6 6 2 7 2 2" xfId="27204" xr:uid="{00000000-0005-0000-0000-0000EE4F0000}"/>
    <cellStyle name="40% - Accent6 6 2 7 3" xfId="24065" xr:uid="{00000000-0005-0000-0000-0000EF4F0000}"/>
    <cellStyle name="40% - Accent6 6 2 8" xfId="5159" xr:uid="{00000000-0005-0000-0000-0000F04F0000}"/>
    <cellStyle name="40% - Accent6 6 2 8 2" xfId="14236" xr:uid="{00000000-0005-0000-0000-0000F14F0000}"/>
    <cellStyle name="40% - Accent6 6 2 8 2 2" xfId="27785" xr:uid="{00000000-0005-0000-0000-0000F24F0000}"/>
    <cellStyle name="40% - Accent6 6 2 8 3" xfId="22582" xr:uid="{00000000-0005-0000-0000-0000F34F0000}"/>
    <cellStyle name="40% - Accent6 6 2 9" xfId="5160" xr:uid="{00000000-0005-0000-0000-0000F44F0000}"/>
    <cellStyle name="40% - Accent6 6 2 9 2" xfId="15559" xr:uid="{00000000-0005-0000-0000-0000F54F0000}"/>
    <cellStyle name="40% - Accent6 6 2 9 2 2" xfId="29108" xr:uid="{00000000-0005-0000-0000-0000F64F0000}"/>
    <cellStyle name="40% - Accent6 6 2 9 3" xfId="24062" xr:uid="{00000000-0005-0000-0000-0000F74F0000}"/>
    <cellStyle name="40% - Accent6 6 3" xfId="5161" xr:uid="{00000000-0005-0000-0000-0000F84F0000}"/>
    <cellStyle name="40% - Accent6 6 3 10" xfId="9564" xr:uid="{00000000-0005-0000-0000-0000F94F0000}"/>
    <cellStyle name="40% - Accent6 6 3 10 2" xfId="24039" xr:uid="{00000000-0005-0000-0000-0000FA4F0000}"/>
    <cellStyle name="40% - Accent6 6 3 11" xfId="22581" xr:uid="{00000000-0005-0000-0000-0000FB4F0000}"/>
    <cellStyle name="40% - Accent6 6 3 2" xfId="5162" xr:uid="{00000000-0005-0000-0000-0000FC4F0000}"/>
    <cellStyle name="40% - Accent6 6 3 2 2" xfId="5163" xr:uid="{00000000-0005-0000-0000-0000FD4F0000}"/>
    <cellStyle name="40% - Accent6 6 3 2 2 2" xfId="11292" xr:uid="{00000000-0005-0000-0000-0000FE4F0000}"/>
    <cellStyle name="40% - Accent6 6 3 2 2 2 2" xfId="25234" xr:uid="{00000000-0005-0000-0000-0000FF4F0000}"/>
    <cellStyle name="40% - Accent6 6 3 2 2 3" xfId="22580" xr:uid="{00000000-0005-0000-0000-000000500000}"/>
    <cellStyle name="40% - Accent6 6 3 2 3" xfId="5164" xr:uid="{00000000-0005-0000-0000-000001500000}"/>
    <cellStyle name="40% - Accent6 6 3 2 3 2" xfId="13083" xr:uid="{00000000-0005-0000-0000-000002500000}"/>
    <cellStyle name="40% - Accent6 6 3 2 3 2 2" xfId="26795" xr:uid="{00000000-0005-0000-0000-000003500000}"/>
    <cellStyle name="40% - Accent6 6 3 2 3 3" xfId="24434" xr:uid="{00000000-0005-0000-0000-000004500000}"/>
    <cellStyle name="40% - Accent6 6 3 2 4" xfId="5165" xr:uid="{00000000-0005-0000-0000-000005500000}"/>
    <cellStyle name="40% - Accent6 6 3 2 4 2" xfId="15566" xr:uid="{00000000-0005-0000-0000-000006500000}"/>
    <cellStyle name="40% - Accent6 6 3 2 4 2 2" xfId="29115" xr:uid="{00000000-0005-0000-0000-000007500000}"/>
    <cellStyle name="40% - Accent6 6 3 2 4 3" xfId="29130" xr:uid="{00000000-0005-0000-0000-000008500000}"/>
    <cellStyle name="40% - Accent6 6 3 2 5" xfId="5166" xr:uid="{00000000-0005-0000-0000-000009500000}"/>
    <cellStyle name="40% - Accent6 6 3 2 5 2" xfId="16849" xr:uid="{00000000-0005-0000-0000-00000A500000}"/>
    <cellStyle name="40% - Accent6 6 3 2 5 2 2" xfId="30256" xr:uid="{00000000-0005-0000-0000-00000B500000}"/>
    <cellStyle name="40% - Accent6 6 3 2 5 3" xfId="22579" xr:uid="{00000000-0005-0000-0000-00000C500000}"/>
    <cellStyle name="40% - Accent6 6 3 2 6" xfId="9565" xr:uid="{00000000-0005-0000-0000-00000D500000}"/>
    <cellStyle name="40% - Accent6 6 3 2 6 2" xfId="24040" xr:uid="{00000000-0005-0000-0000-00000E500000}"/>
    <cellStyle name="40% - Accent6 6 3 2 7" xfId="25244" xr:uid="{00000000-0005-0000-0000-00000F500000}"/>
    <cellStyle name="40% - Accent6 6 3 3" xfId="5167" xr:uid="{00000000-0005-0000-0000-000010500000}"/>
    <cellStyle name="40% - Accent6 6 3 3 2" xfId="5168" xr:uid="{00000000-0005-0000-0000-000011500000}"/>
    <cellStyle name="40% - Accent6 6 3 3 2 2" xfId="15567" xr:uid="{00000000-0005-0000-0000-000012500000}"/>
    <cellStyle name="40% - Accent6 6 3 3 2 2 2" xfId="29116" xr:uid="{00000000-0005-0000-0000-000013500000}"/>
    <cellStyle name="40% - Accent6 6 3 3 2 3" xfId="24064" xr:uid="{00000000-0005-0000-0000-000014500000}"/>
    <cellStyle name="40% - Accent6 6 3 3 3" xfId="11291" xr:uid="{00000000-0005-0000-0000-000015500000}"/>
    <cellStyle name="40% - Accent6 6 3 3 3 2" xfId="25233" xr:uid="{00000000-0005-0000-0000-000016500000}"/>
    <cellStyle name="40% - Accent6 6 3 3 4" xfId="22578" xr:uid="{00000000-0005-0000-0000-000017500000}"/>
    <cellStyle name="40% - Accent6 6 3 4" xfId="5169" xr:uid="{00000000-0005-0000-0000-000018500000}"/>
    <cellStyle name="40% - Accent6 6 3 4 2" xfId="12237" xr:uid="{00000000-0005-0000-0000-000019500000}"/>
    <cellStyle name="40% - Accent6 6 3 4 2 2" xfId="25949" xr:uid="{00000000-0005-0000-0000-00001A500000}"/>
    <cellStyle name="40% - Accent6 6 3 4 3" xfId="22577" xr:uid="{00000000-0005-0000-0000-00001B500000}"/>
    <cellStyle name="40% - Accent6 6 3 5" xfId="5170" xr:uid="{00000000-0005-0000-0000-00001C500000}"/>
    <cellStyle name="40% - Accent6 6 3 5 2" xfId="13082" xr:uid="{00000000-0005-0000-0000-00001D500000}"/>
    <cellStyle name="40% - Accent6 6 3 5 2 2" xfId="26794" xr:uid="{00000000-0005-0000-0000-00001E500000}"/>
    <cellStyle name="40% - Accent6 6 3 5 3" xfId="24063" xr:uid="{00000000-0005-0000-0000-00001F500000}"/>
    <cellStyle name="40% - Accent6 6 3 6" xfId="5171" xr:uid="{00000000-0005-0000-0000-000020500000}"/>
    <cellStyle name="40% - Accent6 6 3 6 2" xfId="13801" xr:uid="{00000000-0005-0000-0000-000021500000}"/>
    <cellStyle name="40% - Accent6 6 3 6 2 2" xfId="27350" xr:uid="{00000000-0005-0000-0000-000022500000}"/>
    <cellStyle name="40% - Accent6 6 3 6 3" xfId="22576" xr:uid="{00000000-0005-0000-0000-000023500000}"/>
    <cellStyle name="40% - Accent6 6 3 7" xfId="5172" xr:uid="{00000000-0005-0000-0000-000024500000}"/>
    <cellStyle name="40% - Accent6 6 3 7 2" xfId="14382" xr:uid="{00000000-0005-0000-0000-000025500000}"/>
    <cellStyle name="40% - Accent6 6 3 7 2 2" xfId="27931" xr:uid="{00000000-0005-0000-0000-000026500000}"/>
    <cellStyle name="40% - Accent6 6 3 7 3" xfId="23251" xr:uid="{00000000-0005-0000-0000-000027500000}"/>
    <cellStyle name="40% - Accent6 6 3 8" xfId="5173" xr:uid="{00000000-0005-0000-0000-000028500000}"/>
    <cellStyle name="40% - Accent6 6 3 8 2" xfId="15565" xr:uid="{00000000-0005-0000-0000-000029500000}"/>
    <cellStyle name="40% - Accent6 6 3 8 2 2" xfId="29114" xr:uid="{00000000-0005-0000-0000-00002A500000}"/>
    <cellStyle name="40% - Accent6 6 3 8 3" xfId="24061" xr:uid="{00000000-0005-0000-0000-00002B500000}"/>
    <cellStyle name="40% - Accent6 6 3 9" xfId="5174" xr:uid="{00000000-0005-0000-0000-00002C500000}"/>
    <cellStyle name="40% - Accent6 6 3 9 2" xfId="16268" xr:uid="{00000000-0005-0000-0000-00002D500000}"/>
    <cellStyle name="40% - Accent6 6 3 9 2 2" xfId="29675" xr:uid="{00000000-0005-0000-0000-00002E500000}"/>
    <cellStyle name="40% - Accent6 6 3 9 3" xfId="22575" xr:uid="{00000000-0005-0000-0000-00002F500000}"/>
    <cellStyle name="40% - Accent6 6 4" xfId="5175" xr:uid="{00000000-0005-0000-0000-000030500000}"/>
    <cellStyle name="40% - Accent6 6 4 2" xfId="5176" xr:uid="{00000000-0005-0000-0000-000031500000}"/>
    <cellStyle name="40% - Accent6 6 4 2 2" xfId="11293" xr:uid="{00000000-0005-0000-0000-000032500000}"/>
    <cellStyle name="40% - Accent6 6 4 2 2 2" xfId="25235" xr:uid="{00000000-0005-0000-0000-000033500000}"/>
    <cellStyle name="40% - Accent6 6 4 2 3" xfId="22574" xr:uid="{00000000-0005-0000-0000-000034500000}"/>
    <cellStyle name="40% - Accent6 6 4 3" xfId="5177" xr:uid="{00000000-0005-0000-0000-000035500000}"/>
    <cellStyle name="40% - Accent6 6 4 3 2" xfId="13084" xr:uid="{00000000-0005-0000-0000-000036500000}"/>
    <cellStyle name="40% - Accent6 6 4 3 2 2" xfId="26796" xr:uid="{00000000-0005-0000-0000-000037500000}"/>
    <cellStyle name="40% - Accent6 6 4 3 3" xfId="24059" xr:uid="{00000000-0005-0000-0000-000038500000}"/>
    <cellStyle name="40% - Accent6 6 4 4" xfId="5178" xr:uid="{00000000-0005-0000-0000-000039500000}"/>
    <cellStyle name="40% - Accent6 6 4 4 2" xfId="15568" xr:uid="{00000000-0005-0000-0000-00003A500000}"/>
    <cellStyle name="40% - Accent6 6 4 4 2 2" xfId="29117" xr:uid="{00000000-0005-0000-0000-00003B500000}"/>
    <cellStyle name="40% - Accent6 6 4 4 3" xfId="22573" xr:uid="{00000000-0005-0000-0000-00003C500000}"/>
    <cellStyle name="40% - Accent6 6 4 5" xfId="5179" xr:uid="{00000000-0005-0000-0000-00003D500000}"/>
    <cellStyle name="40% - Accent6 6 4 5 2" xfId="16560" xr:uid="{00000000-0005-0000-0000-00003E500000}"/>
    <cellStyle name="40% - Accent6 6 4 5 2 2" xfId="29967" xr:uid="{00000000-0005-0000-0000-00003F500000}"/>
    <cellStyle name="40% - Accent6 6 4 5 3" xfId="24058" xr:uid="{00000000-0005-0000-0000-000040500000}"/>
    <cellStyle name="40% - Accent6 6 4 6" xfId="9566" xr:uid="{00000000-0005-0000-0000-000041500000}"/>
    <cellStyle name="40% - Accent6 6 4 6 2" xfId="24041" xr:uid="{00000000-0005-0000-0000-000042500000}"/>
    <cellStyle name="40% - Accent6 6 4 7" xfId="24060" xr:uid="{00000000-0005-0000-0000-000043500000}"/>
    <cellStyle name="40% - Accent6 6 5" xfId="5180" xr:uid="{00000000-0005-0000-0000-000044500000}"/>
    <cellStyle name="40% - Accent6 6 5 2" xfId="5181" xr:uid="{00000000-0005-0000-0000-000045500000}"/>
    <cellStyle name="40% - Accent6 6 5 2 2" xfId="15569" xr:uid="{00000000-0005-0000-0000-000046500000}"/>
    <cellStyle name="40% - Accent6 6 5 2 2 2" xfId="29118" xr:uid="{00000000-0005-0000-0000-000047500000}"/>
    <cellStyle name="40% - Accent6 6 5 2 3" xfId="24056" xr:uid="{00000000-0005-0000-0000-000048500000}"/>
    <cellStyle name="40% - Accent6 6 5 3" xfId="11286" xr:uid="{00000000-0005-0000-0000-000049500000}"/>
    <cellStyle name="40% - Accent6 6 5 3 2" xfId="25228" xr:uid="{00000000-0005-0000-0000-00004A500000}"/>
    <cellStyle name="40% - Accent6 6 5 4" xfId="22572" xr:uid="{00000000-0005-0000-0000-00004B500000}"/>
    <cellStyle name="40% - Accent6 6 6" xfId="5182" xr:uid="{00000000-0005-0000-0000-00004C500000}"/>
    <cellStyle name="40% - Accent6 6 6 2" xfId="11935" xr:uid="{00000000-0005-0000-0000-00004D500000}"/>
    <cellStyle name="40% - Accent6 6 6 2 2" xfId="25650" xr:uid="{00000000-0005-0000-0000-00004E500000}"/>
    <cellStyle name="40% - Accent6 6 6 3" xfId="24057" xr:uid="{00000000-0005-0000-0000-00004F500000}"/>
    <cellStyle name="40% - Accent6 6 7" xfId="5183" xr:uid="{00000000-0005-0000-0000-000050500000}"/>
    <cellStyle name="40% - Accent6 6 7 2" xfId="13077" xr:uid="{00000000-0005-0000-0000-000051500000}"/>
    <cellStyle name="40% - Accent6 6 7 2 2" xfId="26789" xr:uid="{00000000-0005-0000-0000-000052500000}"/>
    <cellStyle name="40% - Accent6 6 7 3" xfId="22571" xr:uid="{00000000-0005-0000-0000-000053500000}"/>
    <cellStyle name="40% - Accent6 6 8" xfId="5184" xr:uid="{00000000-0005-0000-0000-000054500000}"/>
    <cellStyle name="40% - Accent6 6 8 2" xfId="13512" xr:uid="{00000000-0005-0000-0000-000055500000}"/>
    <cellStyle name="40% - Accent6 6 8 2 2" xfId="27061" xr:uid="{00000000-0005-0000-0000-000056500000}"/>
    <cellStyle name="40% - Accent6 6 8 3" xfId="22570" xr:uid="{00000000-0005-0000-0000-000057500000}"/>
    <cellStyle name="40% - Accent6 6 9" xfId="5185" xr:uid="{00000000-0005-0000-0000-000058500000}"/>
    <cellStyle name="40% - Accent6 6 9 2" xfId="14093" xr:uid="{00000000-0005-0000-0000-000059500000}"/>
    <cellStyle name="40% - Accent6 6 9 2 2" xfId="27642" xr:uid="{00000000-0005-0000-0000-00005A500000}"/>
    <cellStyle name="40% - Accent6 6 9 3" xfId="24055" xr:uid="{00000000-0005-0000-0000-00005B500000}"/>
    <cellStyle name="40% - Accent6 7" xfId="5186" xr:uid="{00000000-0005-0000-0000-00005C500000}"/>
    <cellStyle name="40% - Accent6 7 10" xfId="5187" xr:uid="{00000000-0005-0000-0000-00005D500000}"/>
    <cellStyle name="40% - Accent6 7 10 2" xfId="15999" xr:uid="{00000000-0005-0000-0000-00005E500000}"/>
    <cellStyle name="40% - Accent6 7 10 2 2" xfId="29406" xr:uid="{00000000-0005-0000-0000-00005F500000}"/>
    <cellStyle name="40% - Accent6 7 10 3" xfId="22569" xr:uid="{00000000-0005-0000-0000-000060500000}"/>
    <cellStyle name="40% - Accent6 7 11" xfId="9567" xr:uid="{00000000-0005-0000-0000-000061500000}"/>
    <cellStyle name="40% - Accent6 7 11 2" xfId="24042" xr:uid="{00000000-0005-0000-0000-000062500000}"/>
    <cellStyle name="40% - Accent6 7 12" xfId="26804" xr:uid="{00000000-0005-0000-0000-000063500000}"/>
    <cellStyle name="40% - Accent6 7 2" xfId="5188" xr:uid="{00000000-0005-0000-0000-000064500000}"/>
    <cellStyle name="40% - Accent6 7 2 10" xfId="9568" xr:uid="{00000000-0005-0000-0000-000065500000}"/>
    <cellStyle name="40% - Accent6 7 2 10 2" xfId="24043" xr:uid="{00000000-0005-0000-0000-000066500000}"/>
    <cellStyle name="40% - Accent6 7 2 11" xfId="26805" xr:uid="{00000000-0005-0000-0000-000067500000}"/>
    <cellStyle name="40% - Accent6 7 2 2" xfId="5189" xr:uid="{00000000-0005-0000-0000-000068500000}"/>
    <cellStyle name="40% - Accent6 7 2 2 2" xfId="5190" xr:uid="{00000000-0005-0000-0000-000069500000}"/>
    <cellStyle name="40% - Accent6 7 2 2 2 2" xfId="11296" xr:uid="{00000000-0005-0000-0000-00006A500000}"/>
    <cellStyle name="40% - Accent6 7 2 2 2 2 2" xfId="25238" xr:uid="{00000000-0005-0000-0000-00006B500000}"/>
    <cellStyle name="40% - Accent6 7 2 2 2 3" xfId="22567" xr:uid="{00000000-0005-0000-0000-00006C500000}"/>
    <cellStyle name="40% - Accent6 7 2 2 3" xfId="5191" xr:uid="{00000000-0005-0000-0000-00006D500000}"/>
    <cellStyle name="40% - Accent6 7 2 2 3 2" xfId="13087" xr:uid="{00000000-0005-0000-0000-00006E500000}"/>
    <cellStyle name="40% - Accent6 7 2 2 3 2 2" xfId="26799" xr:uid="{00000000-0005-0000-0000-00006F500000}"/>
    <cellStyle name="40% - Accent6 7 2 2 3 3" xfId="24053" xr:uid="{00000000-0005-0000-0000-000070500000}"/>
    <cellStyle name="40% - Accent6 7 2 2 4" xfId="5192" xr:uid="{00000000-0005-0000-0000-000071500000}"/>
    <cellStyle name="40% - Accent6 7 2 2 4 2" xfId="15572" xr:uid="{00000000-0005-0000-0000-000072500000}"/>
    <cellStyle name="40% - Accent6 7 2 2 4 2 2" xfId="29121" xr:uid="{00000000-0005-0000-0000-000073500000}"/>
    <cellStyle name="40% - Accent6 7 2 2 4 3" xfId="24054" xr:uid="{00000000-0005-0000-0000-000074500000}"/>
    <cellStyle name="40% - Accent6 7 2 2 5" xfId="5193" xr:uid="{00000000-0005-0000-0000-000075500000}"/>
    <cellStyle name="40% - Accent6 7 2 2 5 2" xfId="16869" xr:uid="{00000000-0005-0000-0000-000076500000}"/>
    <cellStyle name="40% - Accent6 7 2 2 5 2 2" xfId="30276" xr:uid="{00000000-0005-0000-0000-000077500000}"/>
    <cellStyle name="40% - Accent6 7 2 2 5 3" xfId="22566" xr:uid="{00000000-0005-0000-0000-000078500000}"/>
    <cellStyle name="40% - Accent6 7 2 2 6" xfId="9569" xr:uid="{00000000-0005-0000-0000-000079500000}"/>
    <cellStyle name="40% - Accent6 7 2 2 6 2" xfId="24044" xr:uid="{00000000-0005-0000-0000-00007A500000}"/>
    <cellStyle name="40% - Accent6 7 2 2 7" xfId="22568" xr:uid="{00000000-0005-0000-0000-00007B500000}"/>
    <cellStyle name="40% - Accent6 7 2 3" xfId="5194" xr:uid="{00000000-0005-0000-0000-00007C500000}"/>
    <cellStyle name="40% - Accent6 7 2 3 2" xfId="5195" xr:uid="{00000000-0005-0000-0000-00007D500000}"/>
    <cellStyle name="40% - Accent6 7 2 3 2 2" xfId="15573" xr:uid="{00000000-0005-0000-0000-00007E500000}"/>
    <cellStyle name="40% - Accent6 7 2 3 2 2 2" xfId="29122" xr:uid="{00000000-0005-0000-0000-00007F500000}"/>
    <cellStyle name="40% - Accent6 7 2 3 2 3" xfId="24052" xr:uid="{00000000-0005-0000-0000-000080500000}"/>
    <cellStyle name="40% - Accent6 7 2 3 3" xfId="11295" xr:uid="{00000000-0005-0000-0000-000081500000}"/>
    <cellStyle name="40% - Accent6 7 2 3 3 2" xfId="25237" xr:uid="{00000000-0005-0000-0000-000082500000}"/>
    <cellStyle name="40% - Accent6 7 2 3 4" xfId="22565" xr:uid="{00000000-0005-0000-0000-000083500000}"/>
    <cellStyle name="40% - Accent6 7 2 4" xfId="5196" xr:uid="{00000000-0005-0000-0000-000084500000}"/>
    <cellStyle name="40% - Accent6 7 2 4 2" xfId="12257" xr:uid="{00000000-0005-0000-0000-000085500000}"/>
    <cellStyle name="40% - Accent6 7 2 4 2 2" xfId="25969" xr:uid="{00000000-0005-0000-0000-000086500000}"/>
    <cellStyle name="40% - Accent6 7 2 4 3" xfId="22564" xr:uid="{00000000-0005-0000-0000-000087500000}"/>
    <cellStyle name="40% - Accent6 7 2 5" xfId="5197" xr:uid="{00000000-0005-0000-0000-000088500000}"/>
    <cellStyle name="40% - Accent6 7 2 5 2" xfId="13086" xr:uid="{00000000-0005-0000-0000-000089500000}"/>
    <cellStyle name="40% - Accent6 7 2 5 2 2" xfId="26798" xr:uid="{00000000-0005-0000-0000-00008A500000}"/>
    <cellStyle name="40% - Accent6 7 2 5 3" xfId="24049" xr:uid="{00000000-0005-0000-0000-00008B500000}"/>
    <cellStyle name="40% - Accent6 7 2 6" xfId="5198" xr:uid="{00000000-0005-0000-0000-00008C500000}"/>
    <cellStyle name="40% - Accent6 7 2 6 2" xfId="13821" xr:uid="{00000000-0005-0000-0000-00008D500000}"/>
    <cellStyle name="40% - Accent6 7 2 6 2 2" xfId="27370" xr:uid="{00000000-0005-0000-0000-00008E500000}"/>
    <cellStyle name="40% - Accent6 7 2 6 3" xfId="22563" xr:uid="{00000000-0005-0000-0000-00008F500000}"/>
    <cellStyle name="40% - Accent6 7 2 7" xfId="5199" xr:uid="{00000000-0005-0000-0000-000090500000}"/>
    <cellStyle name="40% - Accent6 7 2 7 2" xfId="14402" xr:uid="{00000000-0005-0000-0000-000091500000}"/>
    <cellStyle name="40% - Accent6 7 2 7 2 2" xfId="27951" xr:uid="{00000000-0005-0000-0000-000092500000}"/>
    <cellStyle name="40% - Accent6 7 2 7 3" xfId="25243" xr:uid="{00000000-0005-0000-0000-000093500000}"/>
    <cellStyle name="40% - Accent6 7 2 8" xfId="5200" xr:uid="{00000000-0005-0000-0000-000094500000}"/>
    <cellStyle name="40% - Accent6 7 2 8 2" xfId="15571" xr:uid="{00000000-0005-0000-0000-000095500000}"/>
    <cellStyle name="40% - Accent6 7 2 8 2 2" xfId="29120" xr:uid="{00000000-0005-0000-0000-000096500000}"/>
    <cellStyle name="40% - Accent6 7 2 8 3" xfId="22562" xr:uid="{00000000-0005-0000-0000-000097500000}"/>
    <cellStyle name="40% - Accent6 7 2 9" xfId="5201" xr:uid="{00000000-0005-0000-0000-000098500000}"/>
    <cellStyle name="40% - Accent6 7 2 9 2" xfId="16288" xr:uid="{00000000-0005-0000-0000-000099500000}"/>
    <cellStyle name="40% - Accent6 7 2 9 2 2" xfId="29695" xr:uid="{00000000-0005-0000-0000-00009A500000}"/>
    <cellStyle name="40% - Accent6 7 2 9 3" xfId="24433" xr:uid="{00000000-0005-0000-0000-00009B500000}"/>
    <cellStyle name="40% - Accent6 7 3" xfId="5202" xr:uid="{00000000-0005-0000-0000-00009C500000}"/>
    <cellStyle name="40% - Accent6 7 3 2" xfId="5203" xr:uid="{00000000-0005-0000-0000-00009D500000}"/>
    <cellStyle name="40% - Accent6 7 3 2 2" xfId="11297" xr:uid="{00000000-0005-0000-0000-00009E500000}"/>
    <cellStyle name="40% - Accent6 7 3 2 2 2" xfId="25239" xr:uid="{00000000-0005-0000-0000-00009F500000}"/>
    <cellStyle name="40% - Accent6 7 3 2 3" xfId="22561" xr:uid="{00000000-0005-0000-0000-0000A0500000}"/>
    <cellStyle name="40% - Accent6 7 3 3" xfId="5204" xr:uid="{00000000-0005-0000-0000-0000A1500000}"/>
    <cellStyle name="40% - Accent6 7 3 3 2" xfId="13088" xr:uid="{00000000-0005-0000-0000-0000A2500000}"/>
    <cellStyle name="40% - Accent6 7 3 3 2 2" xfId="26800" xr:uid="{00000000-0005-0000-0000-0000A3500000}"/>
    <cellStyle name="40% - Accent6 7 3 3 3" xfId="22560" xr:uid="{00000000-0005-0000-0000-0000A4500000}"/>
    <cellStyle name="40% - Accent6 7 3 4" xfId="5205" xr:uid="{00000000-0005-0000-0000-0000A5500000}"/>
    <cellStyle name="40% - Accent6 7 3 4 2" xfId="15574" xr:uid="{00000000-0005-0000-0000-0000A6500000}"/>
    <cellStyle name="40% - Accent6 7 3 4 2 2" xfId="29123" xr:uid="{00000000-0005-0000-0000-0000A7500000}"/>
    <cellStyle name="40% - Accent6 7 3 4 3" xfId="24051" xr:uid="{00000000-0005-0000-0000-0000A8500000}"/>
    <cellStyle name="40% - Accent6 7 3 5" xfId="5206" xr:uid="{00000000-0005-0000-0000-0000A9500000}"/>
    <cellStyle name="40% - Accent6 7 3 5 2" xfId="16580" xr:uid="{00000000-0005-0000-0000-0000AA500000}"/>
    <cellStyle name="40% - Accent6 7 3 5 2 2" xfId="29987" xr:uid="{00000000-0005-0000-0000-0000AB500000}"/>
    <cellStyle name="40% - Accent6 7 3 5 3" xfId="22559" xr:uid="{00000000-0005-0000-0000-0000AC500000}"/>
    <cellStyle name="40% - Accent6 7 3 6" xfId="9570" xr:uid="{00000000-0005-0000-0000-0000AD500000}"/>
    <cellStyle name="40% - Accent6 7 3 6 2" xfId="24045" xr:uid="{00000000-0005-0000-0000-0000AE500000}"/>
    <cellStyle name="40% - Accent6 7 3 7" xfId="29129" xr:uid="{00000000-0005-0000-0000-0000AF500000}"/>
    <cellStyle name="40% - Accent6 7 4" xfId="5207" xr:uid="{00000000-0005-0000-0000-0000B0500000}"/>
    <cellStyle name="40% - Accent6 7 4 2" xfId="5208" xr:uid="{00000000-0005-0000-0000-0000B1500000}"/>
    <cellStyle name="40% - Accent6 7 4 2 2" xfId="15575" xr:uid="{00000000-0005-0000-0000-0000B2500000}"/>
    <cellStyle name="40% - Accent6 7 4 2 2 2" xfId="29124" xr:uid="{00000000-0005-0000-0000-0000B3500000}"/>
    <cellStyle name="40% - Accent6 7 4 2 3" xfId="22558" xr:uid="{00000000-0005-0000-0000-0000B4500000}"/>
    <cellStyle name="40% - Accent6 7 4 3" xfId="11294" xr:uid="{00000000-0005-0000-0000-0000B5500000}"/>
    <cellStyle name="40% - Accent6 7 4 3 2" xfId="25236" xr:uid="{00000000-0005-0000-0000-0000B6500000}"/>
    <cellStyle name="40% - Accent6 7 4 4" xfId="24050" xr:uid="{00000000-0005-0000-0000-0000B7500000}"/>
    <cellStyle name="40% - Accent6 7 5" xfId="5209" xr:uid="{00000000-0005-0000-0000-0000B8500000}"/>
    <cellStyle name="40% - Accent6 7 5 2" xfId="11955" xr:uid="{00000000-0005-0000-0000-0000B9500000}"/>
    <cellStyle name="40% - Accent6 7 5 2 2" xfId="25670" xr:uid="{00000000-0005-0000-0000-0000BA500000}"/>
    <cellStyle name="40% - Accent6 7 5 3" xfId="23248" xr:uid="{00000000-0005-0000-0000-0000BB500000}"/>
    <cellStyle name="40% - Accent6 7 6" xfId="5210" xr:uid="{00000000-0005-0000-0000-0000BC500000}"/>
    <cellStyle name="40% - Accent6 7 6 2" xfId="13085" xr:uid="{00000000-0005-0000-0000-0000BD500000}"/>
    <cellStyle name="40% - Accent6 7 6 2 2" xfId="26797" xr:uid="{00000000-0005-0000-0000-0000BE500000}"/>
    <cellStyle name="40% - Accent6 7 6 3" xfId="22557" xr:uid="{00000000-0005-0000-0000-0000BF500000}"/>
    <cellStyle name="40% - Accent6 7 7" xfId="5211" xr:uid="{00000000-0005-0000-0000-0000C0500000}"/>
    <cellStyle name="40% - Accent6 7 7 2" xfId="13532" xr:uid="{00000000-0005-0000-0000-0000C1500000}"/>
    <cellStyle name="40% - Accent6 7 7 2 2" xfId="27081" xr:uid="{00000000-0005-0000-0000-0000C2500000}"/>
    <cellStyle name="40% - Accent6 7 7 3" xfId="22556" xr:uid="{00000000-0005-0000-0000-0000C3500000}"/>
    <cellStyle name="40% - Accent6 7 8" xfId="5212" xr:uid="{00000000-0005-0000-0000-0000C4500000}"/>
    <cellStyle name="40% - Accent6 7 8 2" xfId="14113" xr:uid="{00000000-0005-0000-0000-0000C5500000}"/>
    <cellStyle name="40% - Accent6 7 8 2 2" xfId="27662" xr:uid="{00000000-0005-0000-0000-0000C6500000}"/>
    <cellStyle name="40% - Accent6 7 8 3" xfId="22555" xr:uid="{00000000-0005-0000-0000-0000C7500000}"/>
    <cellStyle name="40% - Accent6 7 9" xfId="5213" xr:uid="{00000000-0005-0000-0000-0000C8500000}"/>
    <cellStyle name="40% - Accent6 7 9 2" xfId="15570" xr:uid="{00000000-0005-0000-0000-0000C9500000}"/>
    <cellStyle name="40% - Accent6 7 9 2 2" xfId="29119" xr:uid="{00000000-0005-0000-0000-0000CA500000}"/>
    <cellStyle name="40% - Accent6 7 9 3" xfId="22554" xr:uid="{00000000-0005-0000-0000-0000CB500000}"/>
    <cellStyle name="40% - Accent6 8" xfId="5214" xr:uid="{00000000-0005-0000-0000-0000CC500000}"/>
    <cellStyle name="40% - Accent6 8 10" xfId="9571" xr:uid="{00000000-0005-0000-0000-0000CD500000}"/>
    <cellStyle name="40% - Accent6 8 10 2" xfId="24046" xr:uid="{00000000-0005-0000-0000-0000CE500000}"/>
    <cellStyle name="40% - Accent6 8 11" xfId="22553" xr:uid="{00000000-0005-0000-0000-0000CF500000}"/>
    <cellStyle name="40% - Accent6 8 2" xfId="5215" xr:uid="{00000000-0005-0000-0000-0000D0500000}"/>
    <cellStyle name="40% - Accent6 8 2 2" xfId="5216" xr:uid="{00000000-0005-0000-0000-0000D1500000}"/>
    <cellStyle name="40% - Accent6 8 2 2 2" xfId="11299" xr:uid="{00000000-0005-0000-0000-0000D2500000}"/>
    <cellStyle name="40% - Accent6 8 2 2 2 2" xfId="25241" xr:uid="{00000000-0005-0000-0000-0000D3500000}"/>
    <cellStyle name="40% - Accent6 8 2 2 3" xfId="22551" xr:uid="{00000000-0005-0000-0000-0000D4500000}"/>
    <cellStyle name="40% - Accent6 8 2 3" xfId="5217" xr:uid="{00000000-0005-0000-0000-0000D5500000}"/>
    <cellStyle name="40% - Accent6 8 2 3 2" xfId="13090" xr:uid="{00000000-0005-0000-0000-0000D6500000}"/>
    <cellStyle name="40% - Accent6 8 2 3 2 2" xfId="26802" xr:uid="{00000000-0005-0000-0000-0000D7500000}"/>
    <cellStyle name="40% - Accent6 8 2 3 3" xfId="22550" xr:uid="{00000000-0005-0000-0000-0000D8500000}"/>
    <cellStyle name="40% - Accent6 8 2 4" xfId="5218" xr:uid="{00000000-0005-0000-0000-0000D9500000}"/>
    <cellStyle name="40% - Accent6 8 2 4 2" xfId="15577" xr:uid="{00000000-0005-0000-0000-0000DA500000}"/>
    <cellStyle name="40% - Accent6 8 2 4 2 2" xfId="29126" xr:uid="{00000000-0005-0000-0000-0000DB500000}"/>
    <cellStyle name="40% - Accent6 8 2 4 3" xfId="22549" xr:uid="{00000000-0005-0000-0000-0000DC500000}"/>
    <cellStyle name="40% - Accent6 8 2 5" xfId="5219" xr:uid="{00000000-0005-0000-0000-0000DD500000}"/>
    <cellStyle name="40% - Accent6 8 2 5 2" xfId="16723" xr:uid="{00000000-0005-0000-0000-0000DE500000}"/>
    <cellStyle name="40% - Accent6 8 2 5 2 2" xfId="30130" xr:uid="{00000000-0005-0000-0000-0000DF500000}"/>
    <cellStyle name="40% - Accent6 8 2 5 3" xfId="22548" xr:uid="{00000000-0005-0000-0000-0000E0500000}"/>
    <cellStyle name="40% - Accent6 8 2 6" xfId="9572" xr:uid="{00000000-0005-0000-0000-0000E1500000}"/>
    <cellStyle name="40% - Accent6 8 2 6 2" xfId="24047" xr:uid="{00000000-0005-0000-0000-0000E2500000}"/>
    <cellStyle name="40% - Accent6 8 2 7" xfId="22552" xr:uid="{00000000-0005-0000-0000-0000E3500000}"/>
    <cellStyle name="40% - Accent6 8 3" xfId="5220" xr:uid="{00000000-0005-0000-0000-0000E4500000}"/>
    <cellStyle name="40% - Accent6 8 3 2" xfId="5221" xr:uid="{00000000-0005-0000-0000-0000E5500000}"/>
    <cellStyle name="40% - Accent6 8 3 2 2" xfId="15578" xr:uid="{00000000-0005-0000-0000-0000E6500000}"/>
    <cellStyle name="40% - Accent6 8 3 2 2 2" xfId="29127" xr:uid="{00000000-0005-0000-0000-0000E7500000}"/>
    <cellStyle name="40% - Accent6 8 3 2 3" xfId="22546" xr:uid="{00000000-0005-0000-0000-0000E8500000}"/>
    <cellStyle name="40% - Accent6 8 3 3" xfId="11298" xr:uid="{00000000-0005-0000-0000-0000E9500000}"/>
    <cellStyle name="40% - Accent6 8 3 3 2" xfId="25240" xr:uid="{00000000-0005-0000-0000-0000EA500000}"/>
    <cellStyle name="40% - Accent6 8 3 4" xfId="22547" xr:uid="{00000000-0005-0000-0000-0000EB500000}"/>
    <cellStyle name="40% - Accent6 8 4" xfId="5222" xr:uid="{00000000-0005-0000-0000-0000EC500000}"/>
    <cellStyle name="40% - Accent6 8 4 2" xfId="12101" xr:uid="{00000000-0005-0000-0000-0000ED500000}"/>
    <cellStyle name="40% - Accent6 8 4 2 2" xfId="25815" xr:uid="{00000000-0005-0000-0000-0000EE500000}"/>
    <cellStyle name="40% - Accent6 8 4 3" xfId="22545" xr:uid="{00000000-0005-0000-0000-0000EF500000}"/>
    <cellStyle name="40% - Accent6 8 5" xfId="5223" xr:uid="{00000000-0005-0000-0000-0000F0500000}"/>
    <cellStyle name="40% - Accent6 8 5 2" xfId="13089" xr:uid="{00000000-0005-0000-0000-0000F1500000}"/>
    <cellStyle name="40% - Accent6 8 5 2 2" xfId="26801" xr:uid="{00000000-0005-0000-0000-0000F2500000}"/>
    <cellStyle name="40% - Accent6 8 5 3" xfId="22544" xr:uid="{00000000-0005-0000-0000-0000F3500000}"/>
    <cellStyle name="40% - Accent6 8 6" xfId="5224" xr:uid="{00000000-0005-0000-0000-0000F4500000}"/>
    <cellStyle name="40% - Accent6 8 6 2" xfId="13675" xr:uid="{00000000-0005-0000-0000-0000F5500000}"/>
    <cellStyle name="40% - Accent6 8 6 2 2" xfId="27224" xr:uid="{00000000-0005-0000-0000-0000F6500000}"/>
    <cellStyle name="40% - Accent6 8 6 3" xfId="22543" xr:uid="{00000000-0005-0000-0000-0000F7500000}"/>
    <cellStyle name="40% - Accent6 8 7" xfId="5225" xr:uid="{00000000-0005-0000-0000-0000F8500000}"/>
    <cellStyle name="40% - Accent6 8 7 2" xfId="14256" xr:uid="{00000000-0005-0000-0000-0000F9500000}"/>
    <cellStyle name="40% - Accent6 8 7 2 2" xfId="27805" xr:uid="{00000000-0005-0000-0000-0000FA500000}"/>
    <cellStyle name="40% - Accent6 8 7 3" xfId="22542" xr:uid="{00000000-0005-0000-0000-0000FB500000}"/>
    <cellStyle name="40% - Accent6 8 8" xfId="5226" xr:uid="{00000000-0005-0000-0000-0000FC500000}"/>
    <cellStyle name="40% - Accent6 8 8 2" xfId="15576" xr:uid="{00000000-0005-0000-0000-0000FD500000}"/>
    <cellStyle name="40% - Accent6 8 8 2 2" xfId="29125" xr:uid="{00000000-0005-0000-0000-0000FE500000}"/>
    <cellStyle name="40% - Accent6 8 8 3" xfId="22541" xr:uid="{00000000-0005-0000-0000-0000FF500000}"/>
    <cellStyle name="40% - Accent6 8 9" xfId="5227" xr:uid="{00000000-0005-0000-0000-000000510000}"/>
    <cellStyle name="40% - Accent6 8 9 2" xfId="16142" xr:uid="{00000000-0005-0000-0000-000001510000}"/>
    <cellStyle name="40% - Accent6 8 9 2 2" xfId="29549" xr:uid="{00000000-0005-0000-0000-000002510000}"/>
    <cellStyle name="40% - Accent6 8 9 3" xfId="22540" xr:uid="{00000000-0005-0000-0000-000003510000}"/>
    <cellStyle name="40% - Accent6 9" xfId="5228" xr:uid="{00000000-0005-0000-0000-000004510000}"/>
    <cellStyle name="40% - Accent6 9 2" xfId="5229" xr:uid="{00000000-0005-0000-0000-000005510000}"/>
    <cellStyle name="40% - Accent6 9 2 2" xfId="11300" xr:uid="{00000000-0005-0000-0000-000006510000}"/>
    <cellStyle name="40% - Accent6 9 2 2 2" xfId="25242" xr:uid="{00000000-0005-0000-0000-000007510000}"/>
    <cellStyle name="40% - Accent6 9 2 3" xfId="22538" xr:uid="{00000000-0005-0000-0000-000008510000}"/>
    <cellStyle name="40% - Accent6 9 3" xfId="5230" xr:uid="{00000000-0005-0000-0000-000009510000}"/>
    <cellStyle name="40% - Accent6 9 3 2" xfId="13091" xr:uid="{00000000-0005-0000-0000-00000A510000}"/>
    <cellStyle name="40% - Accent6 9 3 2 2" xfId="26803" xr:uid="{00000000-0005-0000-0000-00000B510000}"/>
    <cellStyle name="40% - Accent6 9 3 3" xfId="22537" xr:uid="{00000000-0005-0000-0000-00000C510000}"/>
    <cellStyle name="40% - Accent6 9 4" xfId="5231" xr:uid="{00000000-0005-0000-0000-00000D510000}"/>
    <cellStyle name="40% - Accent6 9 4 2" xfId="15579" xr:uid="{00000000-0005-0000-0000-00000E510000}"/>
    <cellStyle name="40% - Accent6 9 4 2 2" xfId="29128" xr:uid="{00000000-0005-0000-0000-00000F510000}"/>
    <cellStyle name="40% - Accent6 9 4 3" xfId="22536" xr:uid="{00000000-0005-0000-0000-000010510000}"/>
    <cellStyle name="40% - Accent6 9 5" xfId="5232" xr:uid="{00000000-0005-0000-0000-000011510000}"/>
    <cellStyle name="40% - Accent6 9 5 2" xfId="17107" xr:uid="{00000000-0005-0000-0000-000012510000}"/>
    <cellStyle name="40% - Accent6 9 5 2 2" xfId="30466" xr:uid="{00000000-0005-0000-0000-000013510000}"/>
    <cellStyle name="40% - Accent6 9 5 3" xfId="22535" xr:uid="{00000000-0005-0000-0000-000014510000}"/>
    <cellStyle name="40% - Accent6 9 6" xfId="9573" xr:uid="{00000000-0005-0000-0000-000015510000}"/>
    <cellStyle name="40% - Accent6 9 6 2" xfId="24048" xr:uid="{00000000-0005-0000-0000-000016510000}"/>
    <cellStyle name="40% - Accent6 9 7" xfId="22539" xr:uid="{00000000-0005-0000-0000-000017510000}"/>
    <cellStyle name="60% - Accent1" xfId="30" builtinId="32" customBuiltin="1"/>
    <cellStyle name="60% - Accent1 10" xfId="5233" xr:uid="{00000000-0005-0000-0000-000019510000}"/>
    <cellStyle name="60% - Accent1 10 2" xfId="9575" xr:uid="{00000000-0005-0000-0000-00001A510000}"/>
    <cellStyle name="60% - Accent1 10 3" xfId="22534" xr:uid="{00000000-0005-0000-0000-00001B510000}"/>
    <cellStyle name="60% - Accent1 11" xfId="5234" xr:uid="{00000000-0005-0000-0000-00001C510000}"/>
    <cellStyle name="60% - Accent1 11 2" xfId="9576" xr:uid="{00000000-0005-0000-0000-00001D510000}"/>
    <cellStyle name="60% - Accent1 11 3" xfId="22533" xr:uid="{00000000-0005-0000-0000-00001E510000}"/>
    <cellStyle name="60% - Accent1 12" xfId="5235" xr:uid="{00000000-0005-0000-0000-00001F510000}"/>
    <cellStyle name="60% - Accent1 12 2" xfId="5236" xr:uid="{00000000-0005-0000-0000-000020510000}"/>
    <cellStyle name="60% - Accent1 12 2 2" xfId="15580" xr:uid="{00000000-0005-0000-0000-000021510000}"/>
    <cellStyle name="60% - Accent1 12 2 3" xfId="22531" xr:uid="{00000000-0005-0000-0000-000022510000}"/>
    <cellStyle name="60% - Accent1 12 3" xfId="10474" xr:uid="{00000000-0005-0000-0000-000023510000}"/>
    <cellStyle name="60% - Accent1 12 4" xfId="22532" xr:uid="{00000000-0005-0000-0000-000024510000}"/>
    <cellStyle name="60% - Accent1 13" xfId="5237" xr:uid="{00000000-0005-0000-0000-000025510000}"/>
    <cellStyle name="60% - Accent1 13 2" xfId="11301" xr:uid="{00000000-0005-0000-0000-000026510000}"/>
    <cellStyle name="60% - Accent1 13 3" xfId="22530" xr:uid="{00000000-0005-0000-0000-000027510000}"/>
    <cellStyle name="60% - Accent1 14" xfId="5238" xr:uid="{00000000-0005-0000-0000-000028510000}"/>
    <cellStyle name="60% - Accent1 14 2" xfId="9574" xr:uid="{00000000-0005-0000-0000-000029510000}"/>
    <cellStyle name="60% - Accent1 14 3" xfId="22529" xr:uid="{00000000-0005-0000-0000-00002A510000}"/>
    <cellStyle name="60% - Accent1 2" xfId="5239" xr:uid="{00000000-0005-0000-0000-00002B510000}"/>
    <cellStyle name="60% - Accent1 2 2" xfId="9577" xr:uid="{00000000-0005-0000-0000-00002C510000}"/>
    <cellStyle name="60% - Accent1 2 3" xfId="22528" xr:uid="{00000000-0005-0000-0000-00002D510000}"/>
    <cellStyle name="60% - Accent1 2 4" xfId="33064" xr:uid="{00000000-0005-0000-0000-00002E510000}"/>
    <cellStyle name="60% - Accent1 3" xfId="5240" xr:uid="{00000000-0005-0000-0000-00002F510000}"/>
    <cellStyle name="60% - Accent1 3 2" xfId="5241" xr:uid="{00000000-0005-0000-0000-000030510000}"/>
    <cellStyle name="60% - Accent1 3 2 2" xfId="9579" xr:uid="{00000000-0005-0000-0000-000031510000}"/>
    <cellStyle name="60% - Accent1 3 2 3" xfId="22526" xr:uid="{00000000-0005-0000-0000-000032510000}"/>
    <cellStyle name="60% - Accent1 3 3" xfId="9578" xr:uid="{00000000-0005-0000-0000-000033510000}"/>
    <cellStyle name="60% - Accent1 3 4" xfId="22527" xr:uid="{00000000-0005-0000-0000-000034510000}"/>
    <cellStyle name="60% - Accent1 3 5" xfId="33104" xr:uid="{00000000-0005-0000-0000-000035510000}"/>
    <cellStyle name="60% - Accent1 4" xfId="5242" xr:uid="{00000000-0005-0000-0000-000036510000}"/>
    <cellStyle name="60% - Accent1 4 2" xfId="5243" xr:uid="{00000000-0005-0000-0000-000037510000}"/>
    <cellStyle name="60% - Accent1 4 2 2" xfId="13093" xr:uid="{00000000-0005-0000-0000-000038510000}"/>
    <cellStyle name="60% - Accent1 4 2 3" xfId="22524" xr:uid="{00000000-0005-0000-0000-000039510000}"/>
    <cellStyle name="60% - Accent1 4 3" xfId="5244" xr:uid="{00000000-0005-0000-0000-00003A510000}"/>
    <cellStyle name="60% - Accent1 4 3 2" xfId="13092" xr:uid="{00000000-0005-0000-0000-00003B510000}"/>
    <cellStyle name="60% - Accent1 4 3 3" xfId="22523" xr:uid="{00000000-0005-0000-0000-00003C510000}"/>
    <cellStyle name="60% - Accent1 4 4" xfId="9580" xr:uid="{00000000-0005-0000-0000-00003D510000}"/>
    <cellStyle name="60% - Accent1 4 5" xfId="22525" xr:uid="{00000000-0005-0000-0000-00003E510000}"/>
    <cellStyle name="60% - Accent1 5" xfId="5245" xr:uid="{00000000-0005-0000-0000-00003F510000}"/>
    <cellStyle name="60% - Accent1 5 2" xfId="5246" xr:uid="{00000000-0005-0000-0000-000040510000}"/>
    <cellStyle name="60% - Accent1 5 2 2" xfId="9582" xr:uid="{00000000-0005-0000-0000-000041510000}"/>
    <cellStyle name="60% - Accent1 5 2 3" xfId="22521" xr:uid="{00000000-0005-0000-0000-000042510000}"/>
    <cellStyle name="60% - Accent1 5 3" xfId="9581" xr:uid="{00000000-0005-0000-0000-000043510000}"/>
    <cellStyle name="60% - Accent1 5 4" xfId="22522" xr:uid="{00000000-0005-0000-0000-000044510000}"/>
    <cellStyle name="60% - Accent1 6" xfId="5247" xr:uid="{00000000-0005-0000-0000-000045510000}"/>
    <cellStyle name="60% - Accent1 6 2" xfId="9583" xr:uid="{00000000-0005-0000-0000-000046510000}"/>
    <cellStyle name="60% - Accent1 6 3" xfId="22520" xr:uid="{00000000-0005-0000-0000-000047510000}"/>
    <cellStyle name="60% - Accent1 7" xfId="5248" xr:uid="{00000000-0005-0000-0000-000048510000}"/>
    <cellStyle name="60% - Accent1 7 2" xfId="9584" xr:uid="{00000000-0005-0000-0000-000049510000}"/>
    <cellStyle name="60% - Accent1 7 3" xfId="22519" xr:uid="{00000000-0005-0000-0000-00004A510000}"/>
    <cellStyle name="60% - Accent1 8" xfId="5249" xr:uid="{00000000-0005-0000-0000-00004B510000}"/>
    <cellStyle name="60% - Accent1 8 2" xfId="9585" xr:uid="{00000000-0005-0000-0000-00004C510000}"/>
    <cellStyle name="60% - Accent1 8 3" xfId="22518" xr:uid="{00000000-0005-0000-0000-00004D510000}"/>
    <cellStyle name="60% - Accent1 9" xfId="5250" xr:uid="{00000000-0005-0000-0000-00004E510000}"/>
    <cellStyle name="60% - Accent1 9 2" xfId="9586" xr:uid="{00000000-0005-0000-0000-00004F510000}"/>
    <cellStyle name="60% - Accent1 9 3" xfId="22517" xr:uid="{00000000-0005-0000-0000-000050510000}"/>
    <cellStyle name="60% - Accent2" xfId="34" builtinId="36" customBuiltin="1"/>
    <cellStyle name="60% - Accent2 10" xfId="5251" xr:uid="{00000000-0005-0000-0000-000052510000}"/>
    <cellStyle name="60% - Accent2 10 2" xfId="9588" xr:uid="{00000000-0005-0000-0000-000053510000}"/>
    <cellStyle name="60% - Accent2 10 3" xfId="22516" xr:uid="{00000000-0005-0000-0000-000054510000}"/>
    <cellStyle name="60% - Accent2 11" xfId="5252" xr:uid="{00000000-0005-0000-0000-000055510000}"/>
    <cellStyle name="60% - Accent2 11 2" xfId="9589" xr:uid="{00000000-0005-0000-0000-000056510000}"/>
    <cellStyle name="60% - Accent2 11 3" xfId="22515" xr:uid="{00000000-0005-0000-0000-000057510000}"/>
    <cellStyle name="60% - Accent2 12" xfId="5253" xr:uid="{00000000-0005-0000-0000-000058510000}"/>
    <cellStyle name="60% - Accent2 12 2" xfId="5254" xr:uid="{00000000-0005-0000-0000-000059510000}"/>
    <cellStyle name="60% - Accent2 12 2 2" xfId="15581" xr:uid="{00000000-0005-0000-0000-00005A510000}"/>
    <cellStyle name="60% - Accent2 12 2 3" xfId="22513" xr:uid="{00000000-0005-0000-0000-00005B510000}"/>
    <cellStyle name="60% - Accent2 12 3" xfId="10475" xr:uid="{00000000-0005-0000-0000-00005C510000}"/>
    <cellStyle name="60% - Accent2 12 4" xfId="22514" xr:uid="{00000000-0005-0000-0000-00005D510000}"/>
    <cellStyle name="60% - Accent2 13" xfId="5255" xr:uid="{00000000-0005-0000-0000-00005E510000}"/>
    <cellStyle name="60% - Accent2 13 2" xfId="11302" xr:uid="{00000000-0005-0000-0000-00005F510000}"/>
    <cellStyle name="60% - Accent2 13 3" xfId="22512" xr:uid="{00000000-0005-0000-0000-000060510000}"/>
    <cellStyle name="60% - Accent2 14" xfId="5256" xr:uid="{00000000-0005-0000-0000-000061510000}"/>
    <cellStyle name="60% - Accent2 14 2" xfId="9587" xr:uid="{00000000-0005-0000-0000-000062510000}"/>
    <cellStyle name="60% - Accent2 14 3" xfId="22511" xr:uid="{00000000-0005-0000-0000-000063510000}"/>
    <cellStyle name="60% - Accent2 2" xfId="5257" xr:uid="{00000000-0005-0000-0000-000064510000}"/>
    <cellStyle name="60% - Accent2 2 2" xfId="9590" xr:uid="{00000000-0005-0000-0000-000065510000}"/>
    <cellStyle name="60% - Accent2 2 3" xfId="22510" xr:uid="{00000000-0005-0000-0000-000066510000}"/>
    <cellStyle name="60% - Accent2 2 4" xfId="33068" xr:uid="{00000000-0005-0000-0000-000067510000}"/>
    <cellStyle name="60% - Accent2 3" xfId="5258" xr:uid="{00000000-0005-0000-0000-000068510000}"/>
    <cellStyle name="60% - Accent2 3 2" xfId="5259" xr:uid="{00000000-0005-0000-0000-000069510000}"/>
    <cellStyle name="60% - Accent2 3 2 2" xfId="9592" xr:uid="{00000000-0005-0000-0000-00006A510000}"/>
    <cellStyle name="60% - Accent2 3 2 3" xfId="22508" xr:uid="{00000000-0005-0000-0000-00006B510000}"/>
    <cellStyle name="60% - Accent2 3 3" xfId="9591" xr:uid="{00000000-0005-0000-0000-00006C510000}"/>
    <cellStyle name="60% - Accent2 3 4" xfId="22509" xr:uid="{00000000-0005-0000-0000-00006D510000}"/>
    <cellStyle name="60% - Accent2 3 5" xfId="33105" xr:uid="{00000000-0005-0000-0000-00006E510000}"/>
    <cellStyle name="60% - Accent2 4" xfId="5260" xr:uid="{00000000-0005-0000-0000-00006F510000}"/>
    <cellStyle name="60% - Accent2 4 2" xfId="5261" xr:uid="{00000000-0005-0000-0000-000070510000}"/>
    <cellStyle name="60% - Accent2 4 2 2" xfId="13095" xr:uid="{00000000-0005-0000-0000-000071510000}"/>
    <cellStyle name="60% - Accent2 4 2 3" xfId="22506" xr:uid="{00000000-0005-0000-0000-000072510000}"/>
    <cellStyle name="60% - Accent2 4 3" xfId="5262" xr:uid="{00000000-0005-0000-0000-000073510000}"/>
    <cellStyle name="60% - Accent2 4 3 2" xfId="13094" xr:uid="{00000000-0005-0000-0000-000074510000}"/>
    <cellStyle name="60% - Accent2 4 3 3" xfId="22505" xr:uid="{00000000-0005-0000-0000-000075510000}"/>
    <cellStyle name="60% - Accent2 4 4" xfId="9593" xr:uid="{00000000-0005-0000-0000-000076510000}"/>
    <cellStyle name="60% - Accent2 4 5" xfId="22507" xr:uid="{00000000-0005-0000-0000-000077510000}"/>
    <cellStyle name="60% - Accent2 5" xfId="5263" xr:uid="{00000000-0005-0000-0000-000078510000}"/>
    <cellStyle name="60% - Accent2 5 2" xfId="5264" xr:uid="{00000000-0005-0000-0000-000079510000}"/>
    <cellStyle name="60% - Accent2 5 2 2" xfId="9595" xr:uid="{00000000-0005-0000-0000-00007A510000}"/>
    <cellStyle name="60% - Accent2 5 2 3" xfId="22503" xr:uid="{00000000-0005-0000-0000-00007B510000}"/>
    <cellStyle name="60% - Accent2 5 3" xfId="9594" xr:uid="{00000000-0005-0000-0000-00007C510000}"/>
    <cellStyle name="60% - Accent2 5 4" xfId="22504" xr:uid="{00000000-0005-0000-0000-00007D510000}"/>
    <cellStyle name="60% - Accent2 6" xfId="5265" xr:uid="{00000000-0005-0000-0000-00007E510000}"/>
    <cellStyle name="60% - Accent2 6 2" xfId="9596" xr:uid="{00000000-0005-0000-0000-00007F510000}"/>
    <cellStyle name="60% - Accent2 6 3" xfId="22502" xr:uid="{00000000-0005-0000-0000-000080510000}"/>
    <cellStyle name="60% - Accent2 7" xfId="5266" xr:uid="{00000000-0005-0000-0000-000081510000}"/>
    <cellStyle name="60% - Accent2 7 2" xfId="9597" xr:uid="{00000000-0005-0000-0000-000082510000}"/>
    <cellStyle name="60% - Accent2 7 3" xfId="22501" xr:uid="{00000000-0005-0000-0000-000083510000}"/>
    <cellStyle name="60% - Accent2 8" xfId="5267" xr:uid="{00000000-0005-0000-0000-000084510000}"/>
    <cellStyle name="60% - Accent2 8 2" xfId="9598" xr:uid="{00000000-0005-0000-0000-000085510000}"/>
    <cellStyle name="60% - Accent2 8 3" xfId="22500" xr:uid="{00000000-0005-0000-0000-000086510000}"/>
    <cellStyle name="60% - Accent2 9" xfId="5268" xr:uid="{00000000-0005-0000-0000-000087510000}"/>
    <cellStyle name="60% - Accent2 9 2" xfId="9599" xr:uid="{00000000-0005-0000-0000-000088510000}"/>
    <cellStyle name="60% - Accent2 9 3" xfId="22499" xr:uid="{00000000-0005-0000-0000-000089510000}"/>
    <cellStyle name="60% - Accent3" xfId="38" builtinId="40" customBuiltin="1"/>
    <cellStyle name="60% - Accent3 10" xfId="5269" xr:uid="{00000000-0005-0000-0000-00008B510000}"/>
    <cellStyle name="60% - Accent3 10 2" xfId="9601" xr:uid="{00000000-0005-0000-0000-00008C510000}"/>
    <cellStyle name="60% - Accent3 10 3" xfId="22498" xr:uid="{00000000-0005-0000-0000-00008D510000}"/>
    <cellStyle name="60% - Accent3 11" xfId="5270" xr:uid="{00000000-0005-0000-0000-00008E510000}"/>
    <cellStyle name="60% - Accent3 11 2" xfId="9602" xr:uid="{00000000-0005-0000-0000-00008F510000}"/>
    <cellStyle name="60% - Accent3 11 3" xfId="22497" xr:uid="{00000000-0005-0000-0000-000090510000}"/>
    <cellStyle name="60% - Accent3 12" xfId="5271" xr:uid="{00000000-0005-0000-0000-000091510000}"/>
    <cellStyle name="60% - Accent3 12 2" xfId="5272" xr:uid="{00000000-0005-0000-0000-000092510000}"/>
    <cellStyle name="60% - Accent3 12 2 2" xfId="15582" xr:uid="{00000000-0005-0000-0000-000093510000}"/>
    <cellStyle name="60% - Accent3 12 2 3" xfId="22495" xr:uid="{00000000-0005-0000-0000-000094510000}"/>
    <cellStyle name="60% - Accent3 12 3" xfId="10476" xr:uid="{00000000-0005-0000-0000-000095510000}"/>
    <cellStyle name="60% - Accent3 12 4" xfId="22496" xr:uid="{00000000-0005-0000-0000-000096510000}"/>
    <cellStyle name="60% - Accent3 13" xfId="5273" xr:uid="{00000000-0005-0000-0000-000097510000}"/>
    <cellStyle name="60% - Accent3 13 2" xfId="11303" xr:uid="{00000000-0005-0000-0000-000098510000}"/>
    <cellStyle name="60% - Accent3 13 3" xfId="22494" xr:uid="{00000000-0005-0000-0000-000099510000}"/>
    <cellStyle name="60% - Accent3 14" xfId="5274" xr:uid="{00000000-0005-0000-0000-00009A510000}"/>
    <cellStyle name="60% - Accent3 14 2" xfId="9600" xr:uid="{00000000-0005-0000-0000-00009B510000}"/>
    <cellStyle name="60% - Accent3 14 3" xfId="22493" xr:uid="{00000000-0005-0000-0000-00009C510000}"/>
    <cellStyle name="60% - Accent3 2" xfId="5275" xr:uid="{00000000-0005-0000-0000-00009D510000}"/>
    <cellStyle name="60% - Accent3 2 2" xfId="9603" xr:uid="{00000000-0005-0000-0000-00009E510000}"/>
    <cellStyle name="60% - Accent3 2 3" xfId="22492" xr:uid="{00000000-0005-0000-0000-00009F510000}"/>
    <cellStyle name="60% - Accent3 2 4" xfId="33072" xr:uid="{00000000-0005-0000-0000-0000A0510000}"/>
    <cellStyle name="60% - Accent3 3" xfId="5276" xr:uid="{00000000-0005-0000-0000-0000A1510000}"/>
    <cellStyle name="60% - Accent3 3 2" xfId="5277" xr:uid="{00000000-0005-0000-0000-0000A2510000}"/>
    <cellStyle name="60% - Accent3 3 2 2" xfId="9605" xr:uid="{00000000-0005-0000-0000-0000A3510000}"/>
    <cellStyle name="60% - Accent3 3 2 3" xfId="22490" xr:uid="{00000000-0005-0000-0000-0000A4510000}"/>
    <cellStyle name="60% - Accent3 3 3" xfId="9604" xr:uid="{00000000-0005-0000-0000-0000A5510000}"/>
    <cellStyle name="60% - Accent3 3 4" xfId="22491" xr:uid="{00000000-0005-0000-0000-0000A6510000}"/>
    <cellStyle name="60% - Accent3 3 5" xfId="33106" xr:uid="{00000000-0005-0000-0000-0000A7510000}"/>
    <cellStyle name="60% - Accent3 4" xfId="5278" xr:uid="{00000000-0005-0000-0000-0000A8510000}"/>
    <cellStyle name="60% - Accent3 4 2" xfId="5279" xr:uid="{00000000-0005-0000-0000-0000A9510000}"/>
    <cellStyle name="60% - Accent3 4 2 2" xfId="13097" xr:uid="{00000000-0005-0000-0000-0000AA510000}"/>
    <cellStyle name="60% - Accent3 4 2 3" xfId="22488" xr:uid="{00000000-0005-0000-0000-0000AB510000}"/>
    <cellStyle name="60% - Accent3 4 3" xfId="5280" xr:uid="{00000000-0005-0000-0000-0000AC510000}"/>
    <cellStyle name="60% - Accent3 4 3 2" xfId="13096" xr:uid="{00000000-0005-0000-0000-0000AD510000}"/>
    <cellStyle name="60% - Accent3 4 3 3" xfId="22487" xr:uid="{00000000-0005-0000-0000-0000AE510000}"/>
    <cellStyle name="60% - Accent3 4 4" xfId="9606" xr:uid="{00000000-0005-0000-0000-0000AF510000}"/>
    <cellStyle name="60% - Accent3 4 5" xfId="22489" xr:uid="{00000000-0005-0000-0000-0000B0510000}"/>
    <cellStyle name="60% - Accent3 5" xfId="5281" xr:uid="{00000000-0005-0000-0000-0000B1510000}"/>
    <cellStyle name="60% - Accent3 5 2" xfId="5282" xr:uid="{00000000-0005-0000-0000-0000B2510000}"/>
    <cellStyle name="60% - Accent3 5 2 2" xfId="9608" xr:uid="{00000000-0005-0000-0000-0000B3510000}"/>
    <cellStyle name="60% - Accent3 5 2 3" xfId="22485" xr:uid="{00000000-0005-0000-0000-0000B4510000}"/>
    <cellStyle name="60% - Accent3 5 3" xfId="9607" xr:uid="{00000000-0005-0000-0000-0000B5510000}"/>
    <cellStyle name="60% - Accent3 5 4" xfId="22486" xr:uid="{00000000-0005-0000-0000-0000B6510000}"/>
    <cellStyle name="60% - Accent3 6" xfId="5283" xr:uid="{00000000-0005-0000-0000-0000B7510000}"/>
    <cellStyle name="60% - Accent3 6 2" xfId="9609" xr:uid="{00000000-0005-0000-0000-0000B8510000}"/>
    <cellStyle name="60% - Accent3 6 3" xfId="22484" xr:uid="{00000000-0005-0000-0000-0000B9510000}"/>
    <cellStyle name="60% - Accent3 7" xfId="5284" xr:uid="{00000000-0005-0000-0000-0000BA510000}"/>
    <cellStyle name="60% - Accent3 7 2" xfId="9610" xr:uid="{00000000-0005-0000-0000-0000BB510000}"/>
    <cellStyle name="60% - Accent3 7 3" xfId="22483" xr:uid="{00000000-0005-0000-0000-0000BC510000}"/>
    <cellStyle name="60% - Accent3 8" xfId="5285" xr:uid="{00000000-0005-0000-0000-0000BD510000}"/>
    <cellStyle name="60% - Accent3 8 2" xfId="9611" xr:uid="{00000000-0005-0000-0000-0000BE510000}"/>
    <cellStyle name="60% - Accent3 8 3" xfId="22482" xr:uid="{00000000-0005-0000-0000-0000BF510000}"/>
    <cellStyle name="60% - Accent3 9" xfId="5286" xr:uid="{00000000-0005-0000-0000-0000C0510000}"/>
    <cellStyle name="60% - Accent3 9 2" xfId="9612" xr:uid="{00000000-0005-0000-0000-0000C1510000}"/>
    <cellStyle name="60% - Accent3 9 3" xfId="22481" xr:uid="{00000000-0005-0000-0000-0000C2510000}"/>
    <cellStyle name="60% - Accent4" xfId="42" builtinId="44" customBuiltin="1"/>
    <cellStyle name="60% - Accent4 10" xfId="5287" xr:uid="{00000000-0005-0000-0000-0000C4510000}"/>
    <cellStyle name="60% - Accent4 10 2" xfId="9614" xr:uid="{00000000-0005-0000-0000-0000C5510000}"/>
    <cellStyle name="60% - Accent4 10 3" xfId="22480" xr:uid="{00000000-0005-0000-0000-0000C6510000}"/>
    <cellStyle name="60% - Accent4 11" xfId="5288" xr:uid="{00000000-0005-0000-0000-0000C7510000}"/>
    <cellStyle name="60% - Accent4 11 2" xfId="9615" xr:uid="{00000000-0005-0000-0000-0000C8510000}"/>
    <cellStyle name="60% - Accent4 11 3" xfId="22479" xr:uid="{00000000-0005-0000-0000-0000C9510000}"/>
    <cellStyle name="60% - Accent4 12" xfId="5289" xr:uid="{00000000-0005-0000-0000-0000CA510000}"/>
    <cellStyle name="60% - Accent4 12 2" xfId="5290" xr:uid="{00000000-0005-0000-0000-0000CB510000}"/>
    <cellStyle name="60% - Accent4 12 2 2" xfId="15583" xr:uid="{00000000-0005-0000-0000-0000CC510000}"/>
    <cellStyle name="60% - Accent4 12 2 3" xfId="22477" xr:uid="{00000000-0005-0000-0000-0000CD510000}"/>
    <cellStyle name="60% - Accent4 12 3" xfId="10477" xr:uid="{00000000-0005-0000-0000-0000CE510000}"/>
    <cellStyle name="60% - Accent4 12 4" xfId="22478" xr:uid="{00000000-0005-0000-0000-0000CF510000}"/>
    <cellStyle name="60% - Accent4 13" xfId="5291" xr:uid="{00000000-0005-0000-0000-0000D0510000}"/>
    <cellStyle name="60% - Accent4 13 2" xfId="11304" xr:uid="{00000000-0005-0000-0000-0000D1510000}"/>
    <cellStyle name="60% - Accent4 13 3" xfId="22476" xr:uid="{00000000-0005-0000-0000-0000D2510000}"/>
    <cellStyle name="60% - Accent4 14" xfId="5292" xr:uid="{00000000-0005-0000-0000-0000D3510000}"/>
    <cellStyle name="60% - Accent4 14 2" xfId="9613" xr:uid="{00000000-0005-0000-0000-0000D4510000}"/>
    <cellStyle name="60% - Accent4 14 3" xfId="22475" xr:uid="{00000000-0005-0000-0000-0000D5510000}"/>
    <cellStyle name="60% - Accent4 2" xfId="5293" xr:uid="{00000000-0005-0000-0000-0000D6510000}"/>
    <cellStyle name="60% - Accent4 2 2" xfId="9616" xr:uid="{00000000-0005-0000-0000-0000D7510000}"/>
    <cellStyle name="60% - Accent4 2 3" xfId="22474" xr:uid="{00000000-0005-0000-0000-0000D8510000}"/>
    <cellStyle name="60% - Accent4 2 4" xfId="33076" xr:uid="{00000000-0005-0000-0000-0000D9510000}"/>
    <cellStyle name="60% - Accent4 3" xfId="5294" xr:uid="{00000000-0005-0000-0000-0000DA510000}"/>
    <cellStyle name="60% - Accent4 3 2" xfId="5295" xr:uid="{00000000-0005-0000-0000-0000DB510000}"/>
    <cellStyle name="60% - Accent4 3 2 2" xfId="9618" xr:uid="{00000000-0005-0000-0000-0000DC510000}"/>
    <cellStyle name="60% - Accent4 3 2 3" xfId="22472" xr:uid="{00000000-0005-0000-0000-0000DD510000}"/>
    <cellStyle name="60% - Accent4 3 3" xfId="9617" xr:uid="{00000000-0005-0000-0000-0000DE510000}"/>
    <cellStyle name="60% - Accent4 3 4" xfId="22473" xr:uid="{00000000-0005-0000-0000-0000DF510000}"/>
    <cellStyle name="60% - Accent4 3 5" xfId="33107" xr:uid="{00000000-0005-0000-0000-0000E0510000}"/>
    <cellStyle name="60% - Accent4 4" xfId="5296" xr:uid="{00000000-0005-0000-0000-0000E1510000}"/>
    <cellStyle name="60% - Accent4 4 2" xfId="5297" xr:uid="{00000000-0005-0000-0000-0000E2510000}"/>
    <cellStyle name="60% - Accent4 4 2 2" xfId="13099" xr:uid="{00000000-0005-0000-0000-0000E3510000}"/>
    <cellStyle name="60% - Accent4 4 2 3" xfId="22470" xr:uid="{00000000-0005-0000-0000-0000E4510000}"/>
    <cellStyle name="60% - Accent4 4 3" xfId="5298" xr:uid="{00000000-0005-0000-0000-0000E5510000}"/>
    <cellStyle name="60% - Accent4 4 3 2" xfId="13098" xr:uid="{00000000-0005-0000-0000-0000E6510000}"/>
    <cellStyle name="60% - Accent4 4 3 3" xfId="22469" xr:uid="{00000000-0005-0000-0000-0000E7510000}"/>
    <cellStyle name="60% - Accent4 4 4" xfId="9619" xr:uid="{00000000-0005-0000-0000-0000E8510000}"/>
    <cellStyle name="60% - Accent4 4 5" xfId="22471" xr:uid="{00000000-0005-0000-0000-0000E9510000}"/>
    <cellStyle name="60% - Accent4 5" xfId="5299" xr:uid="{00000000-0005-0000-0000-0000EA510000}"/>
    <cellStyle name="60% - Accent4 5 2" xfId="5300" xr:uid="{00000000-0005-0000-0000-0000EB510000}"/>
    <cellStyle name="60% - Accent4 5 2 2" xfId="9621" xr:uid="{00000000-0005-0000-0000-0000EC510000}"/>
    <cellStyle name="60% - Accent4 5 2 3" xfId="22467" xr:uid="{00000000-0005-0000-0000-0000ED510000}"/>
    <cellStyle name="60% - Accent4 5 3" xfId="9620" xr:uid="{00000000-0005-0000-0000-0000EE510000}"/>
    <cellStyle name="60% - Accent4 5 4" xfId="22468" xr:uid="{00000000-0005-0000-0000-0000EF510000}"/>
    <cellStyle name="60% - Accent4 6" xfId="5301" xr:uid="{00000000-0005-0000-0000-0000F0510000}"/>
    <cellStyle name="60% - Accent4 6 2" xfId="9622" xr:uid="{00000000-0005-0000-0000-0000F1510000}"/>
    <cellStyle name="60% - Accent4 6 3" xfId="22466" xr:uid="{00000000-0005-0000-0000-0000F2510000}"/>
    <cellStyle name="60% - Accent4 7" xfId="5302" xr:uid="{00000000-0005-0000-0000-0000F3510000}"/>
    <cellStyle name="60% - Accent4 7 2" xfId="9623" xr:uid="{00000000-0005-0000-0000-0000F4510000}"/>
    <cellStyle name="60% - Accent4 7 3" xfId="22465" xr:uid="{00000000-0005-0000-0000-0000F5510000}"/>
    <cellStyle name="60% - Accent4 8" xfId="5303" xr:uid="{00000000-0005-0000-0000-0000F6510000}"/>
    <cellStyle name="60% - Accent4 8 2" xfId="9624" xr:uid="{00000000-0005-0000-0000-0000F7510000}"/>
    <cellStyle name="60% - Accent4 8 3" xfId="22464" xr:uid="{00000000-0005-0000-0000-0000F8510000}"/>
    <cellStyle name="60% - Accent4 9" xfId="5304" xr:uid="{00000000-0005-0000-0000-0000F9510000}"/>
    <cellStyle name="60% - Accent4 9 2" xfId="9625" xr:uid="{00000000-0005-0000-0000-0000FA510000}"/>
    <cellStyle name="60% - Accent4 9 3" xfId="22463" xr:uid="{00000000-0005-0000-0000-0000FB510000}"/>
    <cellStyle name="60% - Accent5" xfId="45" builtinId="48" customBuiltin="1"/>
    <cellStyle name="60% - Accent5 10" xfId="5305" xr:uid="{00000000-0005-0000-0000-0000FD510000}"/>
    <cellStyle name="60% - Accent5 10 2" xfId="9627" xr:uid="{00000000-0005-0000-0000-0000FE510000}"/>
    <cellStyle name="60% - Accent5 10 3" xfId="22462" xr:uid="{00000000-0005-0000-0000-0000FF510000}"/>
    <cellStyle name="60% - Accent5 11" xfId="5306" xr:uid="{00000000-0005-0000-0000-000000520000}"/>
    <cellStyle name="60% - Accent5 11 2" xfId="9628" xr:uid="{00000000-0005-0000-0000-000001520000}"/>
    <cellStyle name="60% - Accent5 11 3" xfId="22461" xr:uid="{00000000-0005-0000-0000-000002520000}"/>
    <cellStyle name="60% - Accent5 12" xfId="5307" xr:uid="{00000000-0005-0000-0000-000003520000}"/>
    <cellStyle name="60% - Accent5 12 2" xfId="5308" xr:uid="{00000000-0005-0000-0000-000004520000}"/>
    <cellStyle name="60% - Accent5 12 2 2" xfId="15584" xr:uid="{00000000-0005-0000-0000-000005520000}"/>
    <cellStyle name="60% - Accent5 12 2 3" xfId="22459" xr:uid="{00000000-0005-0000-0000-000006520000}"/>
    <cellStyle name="60% - Accent5 12 3" xfId="10478" xr:uid="{00000000-0005-0000-0000-000007520000}"/>
    <cellStyle name="60% - Accent5 12 4" xfId="22460" xr:uid="{00000000-0005-0000-0000-000008520000}"/>
    <cellStyle name="60% - Accent5 13" xfId="5309" xr:uid="{00000000-0005-0000-0000-000009520000}"/>
    <cellStyle name="60% - Accent5 13 2" xfId="11305" xr:uid="{00000000-0005-0000-0000-00000A520000}"/>
    <cellStyle name="60% - Accent5 13 3" xfId="22458" xr:uid="{00000000-0005-0000-0000-00000B520000}"/>
    <cellStyle name="60% - Accent5 14" xfId="5310" xr:uid="{00000000-0005-0000-0000-00000C520000}"/>
    <cellStyle name="60% - Accent5 14 2" xfId="9626" xr:uid="{00000000-0005-0000-0000-00000D520000}"/>
    <cellStyle name="60% - Accent5 14 3" xfId="22457" xr:uid="{00000000-0005-0000-0000-00000E520000}"/>
    <cellStyle name="60% - Accent5 2" xfId="5311" xr:uid="{00000000-0005-0000-0000-00000F520000}"/>
    <cellStyle name="60% - Accent5 2 2" xfId="9629" xr:uid="{00000000-0005-0000-0000-000010520000}"/>
    <cellStyle name="60% - Accent5 2 3" xfId="22456" xr:uid="{00000000-0005-0000-0000-000011520000}"/>
    <cellStyle name="60% - Accent5 2 4" xfId="33080" xr:uid="{00000000-0005-0000-0000-000012520000}"/>
    <cellStyle name="60% - Accent5 3" xfId="5312" xr:uid="{00000000-0005-0000-0000-000013520000}"/>
    <cellStyle name="60% - Accent5 3 2" xfId="5313" xr:uid="{00000000-0005-0000-0000-000014520000}"/>
    <cellStyle name="60% - Accent5 3 2 2" xfId="9631" xr:uid="{00000000-0005-0000-0000-000015520000}"/>
    <cellStyle name="60% - Accent5 3 2 3" xfId="22454" xr:uid="{00000000-0005-0000-0000-000016520000}"/>
    <cellStyle name="60% - Accent5 3 3" xfId="9630" xr:uid="{00000000-0005-0000-0000-000017520000}"/>
    <cellStyle name="60% - Accent5 3 4" xfId="22455" xr:uid="{00000000-0005-0000-0000-000018520000}"/>
    <cellStyle name="60% - Accent5 3 5" xfId="33108" xr:uid="{00000000-0005-0000-0000-000019520000}"/>
    <cellStyle name="60% - Accent5 4" xfId="5314" xr:uid="{00000000-0005-0000-0000-00001A520000}"/>
    <cellStyle name="60% - Accent5 4 2" xfId="5315" xr:uid="{00000000-0005-0000-0000-00001B520000}"/>
    <cellStyle name="60% - Accent5 4 2 2" xfId="13101" xr:uid="{00000000-0005-0000-0000-00001C520000}"/>
    <cellStyle name="60% - Accent5 4 2 3" xfId="22452" xr:uid="{00000000-0005-0000-0000-00001D520000}"/>
    <cellStyle name="60% - Accent5 4 3" xfId="5316" xr:uid="{00000000-0005-0000-0000-00001E520000}"/>
    <cellStyle name="60% - Accent5 4 3 2" xfId="13100" xr:uid="{00000000-0005-0000-0000-00001F520000}"/>
    <cellStyle name="60% - Accent5 4 3 3" xfId="22451" xr:uid="{00000000-0005-0000-0000-000020520000}"/>
    <cellStyle name="60% - Accent5 4 4" xfId="9632" xr:uid="{00000000-0005-0000-0000-000021520000}"/>
    <cellStyle name="60% - Accent5 4 5" xfId="22453" xr:uid="{00000000-0005-0000-0000-000022520000}"/>
    <cellStyle name="60% - Accent5 5" xfId="5317" xr:uid="{00000000-0005-0000-0000-000023520000}"/>
    <cellStyle name="60% - Accent5 5 2" xfId="5318" xr:uid="{00000000-0005-0000-0000-000024520000}"/>
    <cellStyle name="60% - Accent5 5 2 2" xfId="9634" xr:uid="{00000000-0005-0000-0000-000025520000}"/>
    <cellStyle name="60% - Accent5 5 2 3" xfId="22449" xr:uid="{00000000-0005-0000-0000-000026520000}"/>
    <cellStyle name="60% - Accent5 5 3" xfId="9633" xr:uid="{00000000-0005-0000-0000-000027520000}"/>
    <cellStyle name="60% - Accent5 5 4" xfId="22450" xr:uid="{00000000-0005-0000-0000-000028520000}"/>
    <cellStyle name="60% - Accent5 6" xfId="5319" xr:uid="{00000000-0005-0000-0000-000029520000}"/>
    <cellStyle name="60% - Accent5 6 2" xfId="9635" xr:uid="{00000000-0005-0000-0000-00002A520000}"/>
    <cellStyle name="60% - Accent5 6 3" xfId="22448" xr:uid="{00000000-0005-0000-0000-00002B520000}"/>
    <cellStyle name="60% - Accent5 7" xfId="5320" xr:uid="{00000000-0005-0000-0000-00002C520000}"/>
    <cellStyle name="60% - Accent5 7 2" xfId="9636" xr:uid="{00000000-0005-0000-0000-00002D520000}"/>
    <cellStyle name="60% - Accent5 7 3" xfId="22447" xr:uid="{00000000-0005-0000-0000-00002E520000}"/>
    <cellStyle name="60% - Accent5 8" xfId="5321" xr:uid="{00000000-0005-0000-0000-00002F520000}"/>
    <cellStyle name="60% - Accent5 8 2" xfId="9637" xr:uid="{00000000-0005-0000-0000-000030520000}"/>
    <cellStyle name="60% - Accent5 8 3" xfId="22446" xr:uid="{00000000-0005-0000-0000-000031520000}"/>
    <cellStyle name="60% - Accent5 9" xfId="5322" xr:uid="{00000000-0005-0000-0000-000032520000}"/>
    <cellStyle name="60% - Accent5 9 2" xfId="9638" xr:uid="{00000000-0005-0000-0000-000033520000}"/>
    <cellStyle name="60% - Accent5 9 3" xfId="22445" xr:uid="{00000000-0005-0000-0000-000034520000}"/>
    <cellStyle name="60% - Accent6" xfId="49" builtinId="52" customBuiltin="1"/>
    <cellStyle name="60% - Accent6 10" xfId="5323" xr:uid="{00000000-0005-0000-0000-000036520000}"/>
    <cellStyle name="60% - Accent6 10 2" xfId="9640" xr:uid="{00000000-0005-0000-0000-000037520000}"/>
    <cellStyle name="60% - Accent6 10 3" xfId="22444" xr:uid="{00000000-0005-0000-0000-000038520000}"/>
    <cellStyle name="60% - Accent6 11" xfId="5324" xr:uid="{00000000-0005-0000-0000-000039520000}"/>
    <cellStyle name="60% - Accent6 11 2" xfId="9641" xr:uid="{00000000-0005-0000-0000-00003A520000}"/>
    <cellStyle name="60% - Accent6 11 3" xfId="22443" xr:uid="{00000000-0005-0000-0000-00003B520000}"/>
    <cellStyle name="60% - Accent6 12" xfId="5325" xr:uid="{00000000-0005-0000-0000-00003C520000}"/>
    <cellStyle name="60% - Accent6 12 2" xfId="5326" xr:uid="{00000000-0005-0000-0000-00003D520000}"/>
    <cellStyle name="60% - Accent6 12 2 2" xfId="15585" xr:uid="{00000000-0005-0000-0000-00003E520000}"/>
    <cellStyle name="60% - Accent6 12 2 3" xfId="22441" xr:uid="{00000000-0005-0000-0000-00003F520000}"/>
    <cellStyle name="60% - Accent6 12 3" xfId="10479" xr:uid="{00000000-0005-0000-0000-000040520000}"/>
    <cellStyle name="60% - Accent6 12 4" xfId="22442" xr:uid="{00000000-0005-0000-0000-000041520000}"/>
    <cellStyle name="60% - Accent6 13" xfId="5327" xr:uid="{00000000-0005-0000-0000-000042520000}"/>
    <cellStyle name="60% - Accent6 13 2" xfId="11306" xr:uid="{00000000-0005-0000-0000-000043520000}"/>
    <cellStyle name="60% - Accent6 13 3" xfId="22440" xr:uid="{00000000-0005-0000-0000-000044520000}"/>
    <cellStyle name="60% - Accent6 14" xfId="5328" xr:uid="{00000000-0005-0000-0000-000045520000}"/>
    <cellStyle name="60% - Accent6 14 2" xfId="9639" xr:uid="{00000000-0005-0000-0000-000046520000}"/>
    <cellStyle name="60% - Accent6 14 3" xfId="22439" xr:uid="{00000000-0005-0000-0000-000047520000}"/>
    <cellStyle name="60% - Accent6 2" xfId="5329" xr:uid="{00000000-0005-0000-0000-000048520000}"/>
    <cellStyle name="60% - Accent6 2 2" xfId="9642" xr:uid="{00000000-0005-0000-0000-000049520000}"/>
    <cellStyle name="60% - Accent6 2 3" xfId="22438" xr:uid="{00000000-0005-0000-0000-00004A520000}"/>
    <cellStyle name="60% - Accent6 2 4" xfId="33084" xr:uid="{00000000-0005-0000-0000-00004B520000}"/>
    <cellStyle name="60% - Accent6 3" xfId="5330" xr:uid="{00000000-0005-0000-0000-00004C520000}"/>
    <cellStyle name="60% - Accent6 3 2" xfId="5331" xr:uid="{00000000-0005-0000-0000-00004D520000}"/>
    <cellStyle name="60% - Accent6 3 2 2" xfId="9644" xr:uid="{00000000-0005-0000-0000-00004E520000}"/>
    <cellStyle name="60% - Accent6 3 2 3" xfId="22436" xr:uid="{00000000-0005-0000-0000-00004F520000}"/>
    <cellStyle name="60% - Accent6 3 3" xfId="9643" xr:uid="{00000000-0005-0000-0000-000050520000}"/>
    <cellStyle name="60% - Accent6 3 4" xfId="22437" xr:uid="{00000000-0005-0000-0000-000051520000}"/>
    <cellStyle name="60% - Accent6 3 5" xfId="33109" xr:uid="{00000000-0005-0000-0000-000052520000}"/>
    <cellStyle name="60% - Accent6 4" xfId="5332" xr:uid="{00000000-0005-0000-0000-000053520000}"/>
    <cellStyle name="60% - Accent6 4 2" xfId="5333" xr:uid="{00000000-0005-0000-0000-000054520000}"/>
    <cellStyle name="60% - Accent6 4 2 2" xfId="13103" xr:uid="{00000000-0005-0000-0000-000055520000}"/>
    <cellStyle name="60% - Accent6 4 2 3" xfId="22434" xr:uid="{00000000-0005-0000-0000-000056520000}"/>
    <cellStyle name="60% - Accent6 4 3" xfId="5334" xr:uid="{00000000-0005-0000-0000-000057520000}"/>
    <cellStyle name="60% - Accent6 4 3 2" xfId="13102" xr:uid="{00000000-0005-0000-0000-000058520000}"/>
    <cellStyle name="60% - Accent6 4 3 3" xfId="22433" xr:uid="{00000000-0005-0000-0000-000059520000}"/>
    <cellStyle name="60% - Accent6 4 4" xfId="9645" xr:uid="{00000000-0005-0000-0000-00005A520000}"/>
    <cellStyle name="60% - Accent6 4 5" xfId="22435" xr:uid="{00000000-0005-0000-0000-00005B520000}"/>
    <cellStyle name="60% - Accent6 5" xfId="5335" xr:uid="{00000000-0005-0000-0000-00005C520000}"/>
    <cellStyle name="60% - Accent6 5 2" xfId="5336" xr:uid="{00000000-0005-0000-0000-00005D520000}"/>
    <cellStyle name="60% - Accent6 5 2 2" xfId="9647" xr:uid="{00000000-0005-0000-0000-00005E520000}"/>
    <cellStyle name="60% - Accent6 5 2 3" xfId="22431" xr:uid="{00000000-0005-0000-0000-00005F520000}"/>
    <cellStyle name="60% - Accent6 5 3" xfId="9646" xr:uid="{00000000-0005-0000-0000-000060520000}"/>
    <cellStyle name="60% - Accent6 5 4" xfId="22432" xr:uid="{00000000-0005-0000-0000-000061520000}"/>
    <cellStyle name="60% - Accent6 6" xfId="5337" xr:uid="{00000000-0005-0000-0000-000062520000}"/>
    <cellStyle name="60% - Accent6 6 2" xfId="9648" xr:uid="{00000000-0005-0000-0000-000063520000}"/>
    <cellStyle name="60% - Accent6 6 3" xfId="22430" xr:uid="{00000000-0005-0000-0000-000064520000}"/>
    <cellStyle name="60% - Accent6 7" xfId="5338" xr:uid="{00000000-0005-0000-0000-000065520000}"/>
    <cellStyle name="60% - Accent6 7 2" xfId="9649" xr:uid="{00000000-0005-0000-0000-000066520000}"/>
    <cellStyle name="60% - Accent6 7 3" xfId="22429" xr:uid="{00000000-0005-0000-0000-000067520000}"/>
    <cellStyle name="60% - Accent6 8" xfId="5339" xr:uid="{00000000-0005-0000-0000-000068520000}"/>
    <cellStyle name="60% - Accent6 8 2" xfId="9650" xr:uid="{00000000-0005-0000-0000-000069520000}"/>
    <cellStyle name="60% - Accent6 8 3" xfId="22428" xr:uid="{00000000-0005-0000-0000-00006A520000}"/>
    <cellStyle name="60% - Accent6 9" xfId="5340" xr:uid="{00000000-0005-0000-0000-00006B520000}"/>
    <cellStyle name="60% - Accent6 9 2" xfId="9651" xr:uid="{00000000-0005-0000-0000-00006C520000}"/>
    <cellStyle name="60% - Accent6 9 3" xfId="22427" xr:uid="{00000000-0005-0000-0000-00006D520000}"/>
    <cellStyle name="Accent1" xfId="27" builtinId="29" customBuiltin="1"/>
    <cellStyle name="Accent1 10" xfId="5341" xr:uid="{00000000-0005-0000-0000-00006F520000}"/>
    <cellStyle name="Accent1 10 2" xfId="9653" xr:uid="{00000000-0005-0000-0000-000070520000}"/>
    <cellStyle name="Accent1 10 3" xfId="22426" xr:uid="{00000000-0005-0000-0000-000071520000}"/>
    <cellStyle name="Accent1 11" xfId="5342" xr:uid="{00000000-0005-0000-0000-000072520000}"/>
    <cellStyle name="Accent1 11 2" xfId="9654" xr:uid="{00000000-0005-0000-0000-000073520000}"/>
    <cellStyle name="Accent1 11 3" xfId="22425" xr:uid="{00000000-0005-0000-0000-000074520000}"/>
    <cellStyle name="Accent1 12" xfId="5343" xr:uid="{00000000-0005-0000-0000-000075520000}"/>
    <cellStyle name="Accent1 12 2" xfId="5344" xr:uid="{00000000-0005-0000-0000-000076520000}"/>
    <cellStyle name="Accent1 12 2 2" xfId="15586" xr:uid="{00000000-0005-0000-0000-000077520000}"/>
    <cellStyle name="Accent1 12 2 3" xfId="22423" xr:uid="{00000000-0005-0000-0000-000078520000}"/>
    <cellStyle name="Accent1 12 3" xfId="10480" xr:uid="{00000000-0005-0000-0000-000079520000}"/>
    <cellStyle name="Accent1 12 4" xfId="22424" xr:uid="{00000000-0005-0000-0000-00007A520000}"/>
    <cellStyle name="Accent1 13" xfId="5345" xr:uid="{00000000-0005-0000-0000-00007B520000}"/>
    <cellStyle name="Accent1 13 2" xfId="11307" xr:uid="{00000000-0005-0000-0000-00007C520000}"/>
    <cellStyle name="Accent1 13 3" xfId="22422" xr:uid="{00000000-0005-0000-0000-00007D520000}"/>
    <cellStyle name="Accent1 14" xfId="5346" xr:uid="{00000000-0005-0000-0000-00007E520000}"/>
    <cellStyle name="Accent1 14 2" xfId="9652" xr:uid="{00000000-0005-0000-0000-00007F520000}"/>
    <cellStyle name="Accent1 14 3" xfId="22421" xr:uid="{00000000-0005-0000-0000-000080520000}"/>
    <cellStyle name="Accent1 2" xfId="5347" xr:uid="{00000000-0005-0000-0000-000081520000}"/>
    <cellStyle name="Accent1 2 2" xfId="9655" xr:uid="{00000000-0005-0000-0000-000082520000}"/>
    <cellStyle name="Accent1 2 3" xfId="22420" xr:uid="{00000000-0005-0000-0000-000083520000}"/>
    <cellStyle name="Accent1 2 4" xfId="33061" xr:uid="{00000000-0005-0000-0000-000084520000}"/>
    <cellStyle name="Accent1 3" xfId="5348" xr:uid="{00000000-0005-0000-0000-000085520000}"/>
    <cellStyle name="Accent1 3 2" xfId="5349" xr:uid="{00000000-0005-0000-0000-000086520000}"/>
    <cellStyle name="Accent1 3 2 2" xfId="9657" xr:uid="{00000000-0005-0000-0000-000087520000}"/>
    <cellStyle name="Accent1 3 2 3" xfId="22418" xr:uid="{00000000-0005-0000-0000-000088520000}"/>
    <cellStyle name="Accent1 3 3" xfId="9656" xr:uid="{00000000-0005-0000-0000-000089520000}"/>
    <cellStyle name="Accent1 3 4" xfId="22419" xr:uid="{00000000-0005-0000-0000-00008A520000}"/>
    <cellStyle name="Accent1 4" xfId="5350" xr:uid="{00000000-0005-0000-0000-00008B520000}"/>
    <cellStyle name="Accent1 4 2" xfId="5351" xr:uid="{00000000-0005-0000-0000-00008C520000}"/>
    <cellStyle name="Accent1 4 2 2" xfId="13105" xr:uid="{00000000-0005-0000-0000-00008D520000}"/>
    <cellStyle name="Accent1 4 2 3" xfId="22416" xr:uid="{00000000-0005-0000-0000-00008E520000}"/>
    <cellStyle name="Accent1 4 3" xfId="5352" xr:uid="{00000000-0005-0000-0000-00008F520000}"/>
    <cellStyle name="Accent1 4 3 2" xfId="13104" xr:uid="{00000000-0005-0000-0000-000090520000}"/>
    <cellStyle name="Accent1 4 3 3" xfId="22415" xr:uid="{00000000-0005-0000-0000-000091520000}"/>
    <cellStyle name="Accent1 4 4" xfId="9658" xr:uid="{00000000-0005-0000-0000-000092520000}"/>
    <cellStyle name="Accent1 4 5" xfId="22417" xr:uid="{00000000-0005-0000-0000-000093520000}"/>
    <cellStyle name="Accent1 5" xfId="5353" xr:uid="{00000000-0005-0000-0000-000094520000}"/>
    <cellStyle name="Accent1 5 2" xfId="5354" xr:uid="{00000000-0005-0000-0000-000095520000}"/>
    <cellStyle name="Accent1 5 2 2" xfId="9660" xr:uid="{00000000-0005-0000-0000-000096520000}"/>
    <cellStyle name="Accent1 5 2 3" xfId="22413" xr:uid="{00000000-0005-0000-0000-000097520000}"/>
    <cellStyle name="Accent1 5 3" xfId="9659" xr:uid="{00000000-0005-0000-0000-000098520000}"/>
    <cellStyle name="Accent1 5 4" xfId="22414" xr:uid="{00000000-0005-0000-0000-000099520000}"/>
    <cellStyle name="Accent1 6" xfId="5355" xr:uid="{00000000-0005-0000-0000-00009A520000}"/>
    <cellStyle name="Accent1 6 2" xfId="9661" xr:uid="{00000000-0005-0000-0000-00009B520000}"/>
    <cellStyle name="Accent1 6 3" xfId="22412" xr:uid="{00000000-0005-0000-0000-00009C520000}"/>
    <cellStyle name="Accent1 7" xfId="5356" xr:uid="{00000000-0005-0000-0000-00009D520000}"/>
    <cellStyle name="Accent1 7 2" xfId="9662" xr:uid="{00000000-0005-0000-0000-00009E520000}"/>
    <cellStyle name="Accent1 7 3" xfId="22411" xr:uid="{00000000-0005-0000-0000-00009F520000}"/>
    <cellStyle name="Accent1 8" xfId="5357" xr:uid="{00000000-0005-0000-0000-0000A0520000}"/>
    <cellStyle name="Accent1 8 2" xfId="9663" xr:uid="{00000000-0005-0000-0000-0000A1520000}"/>
    <cellStyle name="Accent1 8 3" xfId="22410" xr:uid="{00000000-0005-0000-0000-0000A2520000}"/>
    <cellStyle name="Accent1 9" xfId="5358" xr:uid="{00000000-0005-0000-0000-0000A3520000}"/>
    <cellStyle name="Accent1 9 2" xfId="9664" xr:uid="{00000000-0005-0000-0000-0000A4520000}"/>
    <cellStyle name="Accent1 9 3" xfId="22409" xr:uid="{00000000-0005-0000-0000-0000A5520000}"/>
    <cellStyle name="Accent2" xfId="31" builtinId="33" customBuiltin="1"/>
    <cellStyle name="Accent2 10" xfId="5359" xr:uid="{00000000-0005-0000-0000-0000A7520000}"/>
    <cellStyle name="Accent2 10 2" xfId="9666" xr:uid="{00000000-0005-0000-0000-0000A8520000}"/>
    <cellStyle name="Accent2 10 3" xfId="22408" xr:uid="{00000000-0005-0000-0000-0000A9520000}"/>
    <cellStyle name="Accent2 11" xfId="5360" xr:uid="{00000000-0005-0000-0000-0000AA520000}"/>
    <cellStyle name="Accent2 11 2" xfId="9667" xr:uid="{00000000-0005-0000-0000-0000AB520000}"/>
    <cellStyle name="Accent2 11 3" xfId="22407" xr:uid="{00000000-0005-0000-0000-0000AC520000}"/>
    <cellStyle name="Accent2 12" xfId="5361" xr:uid="{00000000-0005-0000-0000-0000AD520000}"/>
    <cellStyle name="Accent2 12 2" xfId="5362" xr:uid="{00000000-0005-0000-0000-0000AE520000}"/>
    <cellStyle name="Accent2 12 2 2" xfId="15587" xr:uid="{00000000-0005-0000-0000-0000AF520000}"/>
    <cellStyle name="Accent2 12 2 3" xfId="22405" xr:uid="{00000000-0005-0000-0000-0000B0520000}"/>
    <cellStyle name="Accent2 12 3" xfId="10481" xr:uid="{00000000-0005-0000-0000-0000B1520000}"/>
    <cellStyle name="Accent2 12 4" xfId="22406" xr:uid="{00000000-0005-0000-0000-0000B2520000}"/>
    <cellStyle name="Accent2 13" xfId="5363" xr:uid="{00000000-0005-0000-0000-0000B3520000}"/>
    <cellStyle name="Accent2 13 2" xfId="11308" xr:uid="{00000000-0005-0000-0000-0000B4520000}"/>
    <cellStyle name="Accent2 13 3" xfId="22404" xr:uid="{00000000-0005-0000-0000-0000B5520000}"/>
    <cellStyle name="Accent2 14" xfId="5364" xr:uid="{00000000-0005-0000-0000-0000B6520000}"/>
    <cellStyle name="Accent2 14 2" xfId="9665" xr:uid="{00000000-0005-0000-0000-0000B7520000}"/>
    <cellStyle name="Accent2 14 3" xfId="22403" xr:uid="{00000000-0005-0000-0000-0000B8520000}"/>
    <cellStyle name="Accent2 2" xfId="5365" xr:uid="{00000000-0005-0000-0000-0000B9520000}"/>
    <cellStyle name="Accent2 2 2" xfId="9668" xr:uid="{00000000-0005-0000-0000-0000BA520000}"/>
    <cellStyle name="Accent2 2 3" xfId="22402" xr:uid="{00000000-0005-0000-0000-0000BB520000}"/>
    <cellStyle name="Accent2 2 4" xfId="33065" xr:uid="{00000000-0005-0000-0000-0000BC520000}"/>
    <cellStyle name="Accent2 3" xfId="5366" xr:uid="{00000000-0005-0000-0000-0000BD520000}"/>
    <cellStyle name="Accent2 3 2" xfId="5367" xr:uid="{00000000-0005-0000-0000-0000BE520000}"/>
    <cellStyle name="Accent2 3 2 2" xfId="9670" xr:uid="{00000000-0005-0000-0000-0000BF520000}"/>
    <cellStyle name="Accent2 3 2 3" xfId="22400" xr:uid="{00000000-0005-0000-0000-0000C0520000}"/>
    <cellStyle name="Accent2 3 3" xfId="9669" xr:uid="{00000000-0005-0000-0000-0000C1520000}"/>
    <cellStyle name="Accent2 3 4" xfId="22401" xr:uid="{00000000-0005-0000-0000-0000C2520000}"/>
    <cellStyle name="Accent2 4" xfId="5368" xr:uid="{00000000-0005-0000-0000-0000C3520000}"/>
    <cellStyle name="Accent2 4 2" xfId="5369" xr:uid="{00000000-0005-0000-0000-0000C4520000}"/>
    <cellStyle name="Accent2 4 2 2" xfId="13107" xr:uid="{00000000-0005-0000-0000-0000C5520000}"/>
    <cellStyle name="Accent2 4 2 3" xfId="22398" xr:uid="{00000000-0005-0000-0000-0000C6520000}"/>
    <cellStyle name="Accent2 4 3" xfId="5370" xr:uid="{00000000-0005-0000-0000-0000C7520000}"/>
    <cellStyle name="Accent2 4 3 2" xfId="13106" xr:uid="{00000000-0005-0000-0000-0000C8520000}"/>
    <cellStyle name="Accent2 4 3 3" xfId="22397" xr:uid="{00000000-0005-0000-0000-0000C9520000}"/>
    <cellStyle name="Accent2 4 4" xfId="9671" xr:uid="{00000000-0005-0000-0000-0000CA520000}"/>
    <cellStyle name="Accent2 4 5" xfId="22399" xr:uid="{00000000-0005-0000-0000-0000CB520000}"/>
    <cellStyle name="Accent2 5" xfId="5371" xr:uid="{00000000-0005-0000-0000-0000CC520000}"/>
    <cellStyle name="Accent2 5 2" xfId="5372" xr:uid="{00000000-0005-0000-0000-0000CD520000}"/>
    <cellStyle name="Accent2 5 2 2" xfId="9673" xr:uid="{00000000-0005-0000-0000-0000CE520000}"/>
    <cellStyle name="Accent2 5 2 3" xfId="22395" xr:uid="{00000000-0005-0000-0000-0000CF520000}"/>
    <cellStyle name="Accent2 5 3" xfId="9672" xr:uid="{00000000-0005-0000-0000-0000D0520000}"/>
    <cellStyle name="Accent2 5 4" xfId="22396" xr:uid="{00000000-0005-0000-0000-0000D1520000}"/>
    <cellStyle name="Accent2 6" xfId="5373" xr:uid="{00000000-0005-0000-0000-0000D2520000}"/>
    <cellStyle name="Accent2 6 2" xfId="9674" xr:uid="{00000000-0005-0000-0000-0000D3520000}"/>
    <cellStyle name="Accent2 6 3" xfId="22394" xr:uid="{00000000-0005-0000-0000-0000D4520000}"/>
    <cellStyle name="Accent2 7" xfId="5374" xr:uid="{00000000-0005-0000-0000-0000D5520000}"/>
    <cellStyle name="Accent2 7 2" xfId="9675" xr:uid="{00000000-0005-0000-0000-0000D6520000}"/>
    <cellStyle name="Accent2 7 3" xfId="22393" xr:uid="{00000000-0005-0000-0000-0000D7520000}"/>
    <cellStyle name="Accent2 8" xfId="5375" xr:uid="{00000000-0005-0000-0000-0000D8520000}"/>
    <cellStyle name="Accent2 8 2" xfId="9676" xr:uid="{00000000-0005-0000-0000-0000D9520000}"/>
    <cellStyle name="Accent2 8 3" xfId="22392" xr:uid="{00000000-0005-0000-0000-0000DA520000}"/>
    <cellStyle name="Accent2 9" xfId="5376" xr:uid="{00000000-0005-0000-0000-0000DB520000}"/>
    <cellStyle name="Accent2 9 2" xfId="9677" xr:uid="{00000000-0005-0000-0000-0000DC520000}"/>
    <cellStyle name="Accent2 9 3" xfId="22391" xr:uid="{00000000-0005-0000-0000-0000DD520000}"/>
    <cellStyle name="Accent3" xfId="35" builtinId="37" customBuiltin="1"/>
    <cellStyle name="Accent3 10" xfId="5377" xr:uid="{00000000-0005-0000-0000-0000DF520000}"/>
    <cellStyle name="Accent3 10 2" xfId="9679" xr:uid="{00000000-0005-0000-0000-0000E0520000}"/>
    <cellStyle name="Accent3 10 3" xfId="22390" xr:uid="{00000000-0005-0000-0000-0000E1520000}"/>
    <cellStyle name="Accent3 11" xfId="5378" xr:uid="{00000000-0005-0000-0000-0000E2520000}"/>
    <cellStyle name="Accent3 11 2" xfId="9680" xr:uid="{00000000-0005-0000-0000-0000E3520000}"/>
    <cellStyle name="Accent3 11 3" xfId="22389" xr:uid="{00000000-0005-0000-0000-0000E4520000}"/>
    <cellStyle name="Accent3 12" xfId="5379" xr:uid="{00000000-0005-0000-0000-0000E5520000}"/>
    <cellStyle name="Accent3 12 2" xfId="5380" xr:uid="{00000000-0005-0000-0000-0000E6520000}"/>
    <cellStyle name="Accent3 12 2 2" xfId="15588" xr:uid="{00000000-0005-0000-0000-0000E7520000}"/>
    <cellStyle name="Accent3 12 2 3" xfId="22387" xr:uid="{00000000-0005-0000-0000-0000E8520000}"/>
    <cellStyle name="Accent3 12 3" xfId="10482" xr:uid="{00000000-0005-0000-0000-0000E9520000}"/>
    <cellStyle name="Accent3 12 4" xfId="22388" xr:uid="{00000000-0005-0000-0000-0000EA520000}"/>
    <cellStyle name="Accent3 13" xfId="5381" xr:uid="{00000000-0005-0000-0000-0000EB520000}"/>
    <cellStyle name="Accent3 13 2" xfId="11309" xr:uid="{00000000-0005-0000-0000-0000EC520000}"/>
    <cellStyle name="Accent3 13 3" xfId="22386" xr:uid="{00000000-0005-0000-0000-0000ED520000}"/>
    <cellStyle name="Accent3 14" xfId="5382" xr:uid="{00000000-0005-0000-0000-0000EE520000}"/>
    <cellStyle name="Accent3 14 2" xfId="9678" xr:uid="{00000000-0005-0000-0000-0000EF520000}"/>
    <cellStyle name="Accent3 14 3" xfId="22385" xr:uid="{00000000-0005-0000-0000-0000F0520000}"/>
    <cellStyle name="Accent3 2" xfId="5383" xr:uid="{00000000-0005-0000-0000-0000F1520000}"/>
    <cellStyle name="Accent3 2 2" xfId="9681" xr:uid="{00000000-0005-0000-0000-0000F2520000}"/>
    <cellStyle name="Accent3 2 3" xfId="22384" xr:uid="{00000000-0005-0000-0000-0000F3520000}"/>
    <cellStyle name="Accent3 2 4" xfId="33069" xr:uid="{00000000-0005-0000-0000-0000F4520000}"/>
    <cellStyle name="Accent3 3" xfId="5384" xr:uid="{00000000-0005-0000-0000-0000F5520000}"/>
    <cellStyle name="Accent3 3 2" xfId="5385" xr:uid="{00000000-0005-0000-0000-0000F6520000}"/>
    <cellStyle name="Accent3 3 2 2" xfId="9683" xr:uid="{00000000-0005-0000-0000-0000F7520000}"/>
    <cellStyle name="Accent3 3 2 3" xfId="22382" xr:uid="{00000000-0005-0000-0000-0000F8520000}"/>
    <cellStyle name="Accent3 3 3" xfId="9682" xr:uid="{00000000-0005-0000-0000-0000F9520000}"/>
    <cellStyle name="Accent3 3 4" xfId="22383" xr:uid="{00000000-0005-0000-0000-0000FA520000}"/>
    <cellStyle name="Accent3 4" xfId="5386" xr:uid="{00000000-0005-0000-0000-0000FB520000}"/>
    <cellStyle name="Accent3 4 2" xfId="5387" xr:uid="{00000000-0005-0000-0000-0000FC520000}"/>
    <cellStyle name="Accent3 4 2 2" xfId="13109" xr:uid="{00000000-0005-0000-0000-0000FD520000}"/>
    <cellStyle name="Accent3 4 2 3" xfId="22380" xr:uid="{00000000-0005-0000-0000-0000FE520000}"/>
    <cellStyle name="Accent3 4 3" xfId="5388" xr:uid="{00000000-0005-0000-0000-0000FF520000}"/>
    <cellStyle name="Accent3 4 3 2" xfId="13108" xr:uid="{00000000-0005-0000-0000-000000530000}"/>
    <cellStyle name="Accent3 4 3 3" xfId="22379" xr:uid="{00000000-0005-0000-0000-000001530000}"/>
    <cellStyle name="Accent3 4 4" xfId="9684" xr:uid="{00000000-0005-0000-0000-000002530000}"/>
    <cellStyle name="Accent3 4 5" xfId="22381" xr:uid="{00000000-0005-0000-0000-000003530000}"/>
    <cellStyle name="Accent3 5" xfId="5389" xr:uid="{00000000-0005-0000-0000-000004530000}"/>
    <cellStyle name="Accent3 5 2" xfId="5390" xr:uid="{00000000-0005-0000-0000-000005530000}"/>
    <cellStyle name="Accent3 5 2 2" xfId="9686" xr:uid="{00000000-0005-0000-0000-000006530000}"/>
    <cellStyle name="Accent3 5 2 3" xfId="22377" xr:uid="{00000000-0005-0000-0000-000007530000}"/>
    <cellStyle name="Accent3 5 3" xfId="9685" xr:uid="{00000000-0005-0000-0000-000008530000}"/>
    <cellStyle name="Accent3 5 4" xfId="22378" xr:uid="{00000000-0005-0000-0000-000009530000}"/>
    <cellStyle name="Accent3 6" xfId="5391" xr:uid="{00000000-0005-0000-0000-00000A530000}"/>
    <cellStyle name="Accent3 6 2" xfId="9687" xr:uid="{00000000-0005-0000-0000-00000B530000}"/>
    <cellStyle name="Accent3 6 3" xfId="22376" xr:uid="{00000000-0005-0000-0000-00000C530000}"/>
    <cellStyle name="Accent3 7" xfId="5392" xr:uid="{00000000-0005-0000-0000-00000D530000}"/>
    <cellStyle name="Accent3 7 2" xfId="9688" xr:uid="{00000000-0005-0000-0000-00000E530000}"/>
    <cellStyle name="Accent3 7 3" xfId="22375" xr:uid="{00000000-0005-0000-0000-00000F530000}"/>
    <cellStyle name="Accent3 8" xfId="5393" xr:uid="{00000000-0005-0000-0000-000010530000}"/>
    <cellStyle name="Accent3 8 2" xfId="9689" xr:uid="{00000000-0005-0000-0000-000011530000}"/>
    <cellStyle name="Accent3 8 3" xfId="22374" xr:uid="{00000000-0005-0000-0000-000012530000}"/>
    <cellStyle name="Accent3 9" xfId="5394" xr:uid="{00000000-0005-0000-0000-000013530000}"/>
    <cellStyle name="Accent3 9 2" xfId="9690" xr:uid="{00000000-0005-0000-0000-000014530000}"/>
    <cellStyle name="Accent3 9 3" xfId="22373" xr:uid="{00000000-0005-0000-0000-000015530000}"/>
    <cellStyle name="Accent4" xfId="39" builtinId="41" customBuiltin="1"/>
    <cellStyle name="Accent4 10" xfId="5395" xr:uid="{00000000-0005-0000-0000-000017530000}"/>
    <cellStyle name="Accent4 10 2" xfId="9692" xr:uid="{00000000-0005-0000-0000-000018530000}"/>
    <cellStyle name="Accent4 10 3" xfId="22372" xr:uid="{00000000-0005-0000-0000-000019530000}"/>
    <cellStyle name="Accent4 11" xfId="5396" xr:uid="{00000000-0005-0000-0000-00001A530000}"/>
    <cellStyle name="Accent4 11 2" xfId="9693" xr:uid="{00000000-0005-0000-0000-00001B530000}"/>
    <cellStyle name="Accent4 11 3" xfId="22371" xr:uid="{00000000-0005-0000-0000-00001C530000}"/>
    <cellStyle name="Accent4 12" xfId="5397" xr:uid="{00000000-0005-0000-0000-00001D530000}"/>
    <cellStyle name="Accent4 12 2" xfId="5398" xr:uid="{00000000-0005-0000-0000-00001E530000}"/>
    <cellStyle name="Accent4 12 2 2" xfId="15589" xr:uid="{00000000-0005-0000-0000-00001F530000}"/>
    <cellStyle name="Accent4 12 2 3" xfId="22369" xr:uid="{00000000-0005-0000-0000-000020530000}"/>
    <cellStyle name="Accent4 12 3" xfId="10483" xr:uid="{00000000-0005-0000-0000-000021530000}"/>
    <cellStyle name="Accent4 12 4" xfId="22370" xr:uid="{00000000-0005-0000-0000-000022530000}"/>
    <cellStyle name="Accent4 13" xfId="5399" xr:uid="{00000000-0005-0000-0000-000023530000}"/>
    <cellStyle name="Accent4 13 2" xfId="11310" xr:uid="{00000000-0005-0000-0000-000024530000}"/>
    <cellStyle name="Accent4 13 3" xfId="22368" xr:uid="{00000000-0005-0000-0000-000025530000}"/>
    <cellStyle name="Accent4 14" xfId="5400" xr:uid="{00000000-0005-0000-0000-000026530000}"/>
    <cellStyle name="Accent4 14 2" xfId="9691" xr:uid="{00000000-0005-0000-0000-000027530000}"/>
    <cellStyle name="Accent4 14 3" xfId="22367" xr:uid="{00000000-0005-0000-0000-000028530000}"/>
    <cellStyle name="Accent4 2" xfId="5401" xr:uid="{00000000-0005-0000-0000-000029530000}"/>
    <cellStyle name="Accent4 2 2" xfId="9694" xr:uid="{00000000-0005-0000-0000-00002A530000}"/>
    <cellStyle name="Accent4 2 3" xfId="22366" xr:uid="{00000000-0005-0000-0000-00002B530000}"/>
    <cellStyle name="Accent4 2 4" xfId="33073" xr:uid="{00000000-0005-0000-0000-00002C530000}"/>
    <cellStyle name="Accent4 3" xfId="5402" xr:uid="{00000000-0005-0000-0000-00002D530000}"/>
    <cellStyle name="Accent4 3 2" xfId="5403" xr:uid="{00000000-0005-0000-0000-00002E530000}"/>
    <cellStyle name="Accent4 3 2 2" xfId="9696" xr:uid="{00000000-0005-0000-0000-00002F530000}"/>
    <cellStyle name="Accent4 3 2 3" xfId="22364" xr:uid="{00000000-0005-0000-0000-000030530000}"/>
    <cellStyle name="Accent4 3 3" xfId="9695" xr:uid="{00000000-0005-0000-0000-000031530000}"/>
    <cellStyle name="Accent4 3 4" xfId="22365" xr:uid="{00000000-0005-0000-0000-000032530000}"/>
    <cellStyle name="Accent4 4" xfId="5404" xr:uid="{00000000-0005-0000-0000-000033530000}"/>
    <cellStyle name="Accent4 4 2" xfId="5405" xr:uid="{00000000-0005-0000-0000-000034530000}"/>
    <cellStyle name="Accent4 4 2 2" xfId="13111" xr:uid="{00000000-0005-0000-0000-000035530000}"/>
    <cellStyle name="Accent4 4 2 3" xfId="22362" xr:uid="{00000000-0005-0000-0000-000036530000}"/>
    <cellStyle name="Accent4 4 3" xfId="5406" xr:uid="{00000000-0005-0000-0000-000037530000}"/>
    <cellStyle name="Accent4 4 3 2" xfId="13110" xr:uid="{00000000-0005-0000-0000-000038530000}"/>
    <cellStyle name="Accent4 4 3 3" xfId="22361" xr:uid="{00000000-0005-0000-0000-000039530000}"/>
    <cellStyle name="Accent4 4 4" xfId="9697" xr:uid="{00000000-0005-0000-0000-00003A530000}"/>
    <cellStyle name="Accent4 4 5" xfId="22363" xr:uid="{00000000-0005-0000-0000-00003B530000}"/>
    <cellStyle name="Accent4 5" xfId="5407" xr:uid="{00000000-0005-0000-0000-00003C530000}"/>
    <cellStyle name="Accent4 5 2" xfId="5408" xr:uid="{00000000-0005-0000-0000-00003D530000}"/>
    <cellStyle name="Accent4 5 2 2" xfId="9699" xr:uid="{00000000-0005-0000-0000-00003E530000}"/>
    <cellStyle name="Accent4 5 2 3" xfId="22359" xr:uid="{00000000-0005-0000-0000-00003F530000}"/>
    <cellStyle name="Accent4 5 3" xfId="9698" xr:uid="{00000000-0005-0000-0000-000040530000}"/>
    <cellStyle name="Accent4 5 4" xfId="22360" xr:uid="{00000000-0005-0000-0000-000041530000}"/>
    <cellStyle name="Accent4 6" xfId="5409" xr:uid="{00000000-0005-0000-0000-000042530000}"/>
    <cellStyle name="Accent4 6 2" xfId="9700" xr:uid="{00000000-0005-0000-0000-000043530000}"/>
    <cellStyle name="Accent4 6 3" xfId="22358" xr:uid="{00000000-0005-0000-0000-000044530000}"/>
    <cellStyle name="Accent4 7" xfId="5410" xr:uid="{00000000-0005-0000-0000-000045530000}"/>
    <cellStyle name="Accent4 7 2" xfId="9701" xr:uid="{00000000-0005-0000-0000-000046530000}"/>
    <cellStyle name="Accent4 7 3" xfId="22357" xr:uid="{00000000-0005-0000-0000-000047530000}"/>
    <cellStyle name="Accent4 8" xfId="5411" xr:uid="{00000000-0005-0000-0000-000048530000}"/>
    <cellStyle name="Accent4 8 2" xfId="9702" xr:uid="{00000000-0005-0000-0000-000049530000}"/>
    <cellStyle name="Accent4 8 3" xfId="22356" xr:uid="{00000000-0005-0000-0000-00004A530000}"/>
    <cellStyle name="Accent4 9" xfId="5412" xr:uid="{00000000-0005-0000-0000-00004B530000}"/>
    <cellStyle name="Accent4 9 2" xfId="9703" xr:uid="{00000000-0005-0000-0000-00004C530000}"/>
    <cellStyle name="Accent4 9 3" xfId="22355" xr:uid="{00000000-0005-0000-0000-00004D530000}"/>
    <cellStyle name="Accent5" xfId="33037" builtinId="45" customBuiltin="1"/>
    <cellStyle name="Accent5 2" xfId="8817" xr:uid="{00000000-0005-0000-0000-00004F530000}"/>
    <cellStyle name="Accent5 2 2" xfId="33077" xr:uid="{00000000-0005-0000-0000-000050530000}"/>
    <cellStyle name="Accent5 3" xfId="22354" xr:uid="{00000000-0005-0000-0000-000051530000}"/>
    <cellStyle name="Accent5 4" xfId="5413" xr:uid="{00000000-0005-0000-0000-000052530000}"/>
    <cellStyle name="Accent6" xfId="46" builtinId="49" customBuiltin="1"/>
    <cellStyle name="Accent6 10" xfId="5414" xr:uid="{00000000-0005-0000-0000-000054530000}"/>
    <cellStyle name="Accent6 10 2" xfId="9705" xr:uid="{00000000-0005-0000-0000-000055530000}"/>
    <cellStyle name="Accent6 10 3" xfId="22353" xr:uid="{00000000-0005-0000-0000-000056530000}"/>
    <cellStyle name="Accent6 11" xfId="5415" xr:uid="{00000000-0005-0000-0000-000057530000}"/>
    <cellStyle name="Accent6 11 2" xfId="9706" xr:uid="{00000000-0005-0000-0000-000058530000}"/>
    <cellStyle name="Accent6 11 3" xfId="22352" xr:uid="{00000000-0005-0000-0000-000059530000}"/>
    <cellStyle name="Accent6 12" xfId="5416" xr:uid="{00000000-0005-0000-0000-00005A530000}"/>
    <cellStyle name="Accent6 12 2" xfId="5417" xr:uid="{00000000-0005-0000-0000-00005B530000}"/>
    <cellStyle name="Accent6 12 2 2" xfId="15590" xr:uid="{00000000-0005-0000-0000-00005C530000}"/>
    <cellStyle name="Accent6 12 2 3" xfId="22350" xr:uid="{00000000-0005-0000-0000-00005D530000}"/>
    <cellStyle name="Accent6 12 3" xfId="10484" xr:uid="{00000000-0005-0000-0000-00005E530000}"/>
    <cellStyle name="Accent6 12 4" xfId="22351" xr:uid="{00000000-0005-0000-0000-00005F530000}"/>
    <cellStyle name="Accent6 13" xfId="5418" xr:uid="{00000000-0005-0000-0000-000060530000}"/>
    <cellStyle name="Accent6 13 2" xfId="11311" xr:uid="{00000000-0005-0000-0000-000061530000}"/>
    <cellStyle name="Accent6 13 3" xfId="22349" xr:uid="{00000000-0005-0000-0000-000062530000}"/>
    <cellStyle name="Accent6 14" xfId="5419" xr:uid="{00000000-0005-0000-0000-000063530000}"/>
    <cellStyle name="Accent6 14 2" xfId="9704" xr:uid="{00000000-0005-0000-0000-000064530000}"/>
    <cellStyle name="Accent6 14 3" xfId="22348" xr:uid="{00000000-0005-0000-0000-000065530000}"/>
    <cellStyle name="Accent6 2" xfId="5420" xr:uid="{00000000-0005-0000-0000-000066530000}"/>
    <cellStyle name="Accent6 2 2" xfId="9707" xr:uid="{00000000-0005-0000-0000-000067530000}"/>
    <cellStyle name="Accent6 2 3" xfId="22347" xr:uid="{00000000-0005-0000-0000-000068530000}"/>
    <cellStyle name="Accent6 2 4" xfId="33081" xr:uid="{00000000-0005-0000-0000-000069530000}"/>
    <cellStyle name="Accent6 3" xfId="5421" xr:uid="{00000000-0005-0000-0000-00006A530000}"/>
    <cellStyle name="Accent6 3 2" xfId="5422" xr:uid="{00000000-0005-0000-0000-00006B530000}"/>
    <cellStyle name="Accent6 3 2 2" xfId="9709" xr:uid="{00000000-0005-0000-0000-00006C530000}"/>
    <cellStyle name="Accent6 3 2 3" xfId="22345" xr:uid="{00000000-0005-0000-0000-00006D530000}"/>
    <cellStyle name="Accent6 3 3" xfId="9708" xr:uid="{00000000-0005-0000-0000-00006E530000}"/>
    <cellStyle name="Accent6 3 4" xfId="22346" xr:uid="{00000000-0005-0000-0000-00006F530000}"/>
    <cellStyle name="Accent6 4" xfId="5423" xr:uid="{00000000-0005-0000-0000-000070530000}"/>
    <cellStyle name="Accent6 4 2" xfId="5424" xr:uid="{00000000-0005-0000-0000-000071530000}"/>
    <cellStyle name="Accent6 4 2 2" xfId="13113" xr:uid="{00000000-0005-0000-0000-000072530000}"/>
    <cellStyle name="Accent6 4 2 3" xfId="22343" xr:uid="{00000000-0005-0000-0000-000073530000}"/>
    <cellStyle name="Accent6 4 3" xfId="5425" xr:uid="{00000000-0005-0000-0000-000074530000}"/>
    <cellStyle name="Accent6 4 3 2" xfId="13112" xr:uid="{00000000-0005-0000-0000-000075530000}"/>
    <cellStyle name="Accent6 4 3 3" xfId="22342" xr:uid="{00000000-0005-0000-0000-000076530000}"/>
    <cellStyle name="Accent6 4 4" xfId="9710" xr:uid="{00000000-0005-0000-0000-000077530000}"/>
    <cellStyle name="Accent6 4 5" xfId="22344" xr:uid="{00000000-0005-0000-0000-000078530000}"/>
    <cellStyle name="Accent6 5" xfId="5426" xr:uid="{00000000-0005-0000-0000-000079530000}"/>
    <cellStyle name="Accent6 5 2" xfId="5427" xr:uid="{00000000-0005-0000-0000-00007A530000}"/>
    <cellStyle name="Accent6 5 2 2" xfId="9712" xr:uid="{00000000-0005-0000-0000-00007B530000}"/>
    <cellStyle name="Accent6 5 2 3" xfId="22340" xr:uid="{00000000-0005-0000-0000-00007C530000}"/>
    <cellStyle name="Accent6 5 3" xfId="9711" xr:uid="{00000000-0005-0000-0000-00007D530000}"/>
    <cellStyle name="Accent6 5 4" xfId="22341" xr:uid="{00000000-0005-0000-0000-00007E530000}"/>
    <cellStyle name="Accent6 6" xfId="5428" xr:uid="{00000000-0005-0000-0000-00007F530000}"/>
    <cellStyle name="Accent6 6 2" xfId="9713" xr:uid="{00000000-0005-0000-0000-000080530000}"/>
    <cellStyle name="Accent6 6 3" xfId="22339" xr:uid="{00000000-0005-0000-0000-000081530000}"/>
    <cellStyle name="Accent6 7" xfId="5429" xr:uid="{00000000-0005-0000-0000-000082530000}"/>
    <cellStyle name="Accent6 7 2" xfId="9714" xr:uid="{00000000-0005-0000-0000-000083530000}"/>
    <cellStyle name="Accent6 7 3" xfId="22338" xr:uid="{00000000-0005-0000-0000-000084530000}"/>
    <cellStyle name="Accent6 8" xfId="5430" xr:uid="{00000000-0005-0000-0000-000085530000}"/>
    <cellStyle name="Accent6 8 2" xfId="9715" xr:uid="{00000000-0005-0000-0000-000086530000}"/>
    <cellStyle name="Accent6 8 3" xfId="22337" xr:uid="{00000000-0005-0000-0000-000087530000}"/>
    <cellStyle name="Accent6 9" xfId="5431" xr:uid="{00000000-0005-0000-0000-000088530000}"/>
    <cellStyle name="Accent6 9 2" xfId="9716" xr:uid="{00000000-0005-0000-0000-000089530000}"/>
    <cellStyle name="Accent6 9 3" xfId="22336" xr:uid="{00000000-0005-0000-0000-00008A530000}"/>
    <cellStyle name="ALSTEC Currency" xfId="1" xr:uid="{00000000-0005-0000-0000-00008B530000}"/>
    <cellStyle name="ALSTEC Detail Header" xfId="2" xr:uid="{00000000-0005-0000-0000-00008C530000}"/>
    <cellStyle name="ALSTEC Normal_RU EXP" xfId="3" xr:uid="{00000000-0005-0000-0000-00008D530000}"/>
    <cellStyle name="Bad" xfId="20" builtinId="27" customBuiltin="1"/>
    <cellStyle name="Bad 10" xfId="5432" xr:uid="{00000000-0005-0000-0000-00008F530000}"/>
    <cellStyle name="Bad 10 2" xfId="9718" xr:uid="{00000000-0005-0000-0000-000090530000}"/>
    <cellStyle name="Bad 10 3" xfId="22335" xr:uid="{00000000-0005-0000-0000-000091530000}"/>
    <cellStyle name="Bad 11" xfId="5433" xr:uid="{00000000-0005-0000-0000-000092530000}"/>
    <cellStyle name="Bad 11 2" xfId="9719" xr:uid="{00000000-0005-0000-0000-000093530000}"/>
    <cellStyle name="Bad 11 3" xfId="22334" xr:uid="{00000000-0005-0000-0000-000094530000}"/>
    <cellStyle name="Bad 12" xfId="5434" xr:uid="{00000000-0005-0000-0000-000095530000}"/>
    <cellStyle name="Bad 12 2" xfId="5435" xr:uid="{00000000-0005-0000-0000-000096530000}"/>
    <cellStyle name="Bad 12 2 2" xfId="15591" xr:uid="{00000000-0005-0000-0000-000097530000}"/>
    <cellStyle name="Bad 12 2 3" xfId="22332" xr:uid="{00000000-0005-0000-0000-000098530000}"/>
    <cellStyle name="Bad 12 3" xfId="10485" xr:uid="{00000000-0005-0000-0000-000099530000}"/>
    <cellStyle name="Bad 12 4" xfId="22333" xr:uid="{00000000-0005-0000-0000-00009A530000}"/>
    <cellStyle name="Bad 13" xfId="5436" xr:uid="{00000000-0005-0000-0000-00009B530000}"/>
    <cellStyle name="Bad 13 2" xfId="11312" xr:uid="{00000000-0005-0000-0000-00009C530000}"/>
    <cellStyle name="Bad 13 3" xfId="22331" xr:uid="{00000000-0005-0000-0000-00009D530000}"/>
    <cellStyle name="Bad 14" xfId="5437" xr:uid="{00000000-0005-0000-0000-00009E530000}"/>
    <cellStyle name="Bad 14 2" xfId="9717" xr:uid="{00000000-0005-0000-0000-00009F530000}"/>
    <cellStyle name="Bad 14 3" xfId="22330" xr:uid="{00000000-0005-0000-0000-0000A0530000}"/>
    <cellStyle name="Bad 2" xfId="5438" xr:uid="{00000000-0005-0000-0000-0000A1530000}"/>
    <cellStyle name="Bad 2 2" xfId="9720" xr:uid="{00000000-0005-0000-0000-0000A2530000}"/>
    <cellStyle name="Bad 2 3" xfId="22329" xr:uid="{00000000-0005-0000-0000-0000A3530000}"/>
    <cellStyle name="Bad 2 4" xfId="33050" xr:uid="{00000000-0005-0000-0000-0000A4530000}"/>
    <cellStyle name="Bad 3" xfId="5439" xr:uid="{00000000-0005-0000-0000-0000A5530000}"/>
    <cellStyle name="Bad 3 2" xfId="5440" xr:uid="{00000000-0005-0000-0000-0000A6530000}"/>
    <cellStyle name="Bad 3 2 2" xfId="9722" xr:uid="{00000000-0005-0000-0000-0000A7530000}"/>
    <cellStyle name="Bad 3 2 3" xfId="22327" xr:uid="{00000000-0005-0000-0000-0000A8530000}"/>
    <cellStyle name="Bad 3 3" xfId="9721" xr:uid="{00000000-0005-0000-0000-0000A9530000}"/>
    <cellStyle name="Bad 3 4" xfId="22328" xr:uid="{00000000-0005-0000-0000-0000AA530000}"/>
    <cellStyle name="Bad 4" xfId="5441" xr:uid="{00000000-0005-0000-0000-0000AB530000}"/>
    <cellStyle name="Bad 4 2" xfId="5442" xr:uid="{00000000-0005-0000-0000-0000AC530000}"/>
    <cellStyle name="Bad 4 2 2" xfId="13115" xr:uid="{00000000-0005-0000-0000-0000AD530000}"/>
    <cellStyle name="Bad 4 2 3" xfId="22325" xr:uid="{00000000-0005-0000-0000-0000AE530000}"/>
    <cellStyle name="Bad 4 3" xfId="5443" xr:uid="{00000000-0005-0000-0000-0000AF530000}"/>
    <cellStyle name="Bad 4 3 2" xfId="13114" xr:uid="{00000000-0005-0000-0000-0000B0530000}"/>
    <cellStyle name="Bad 4 3 3" xfId="22324" xr:uid="{00000000-0005-0000-0000-0000B1530000}"/>
    <cellStyle name="Bad 4 4" xfId="9723" xr:uid="{00000000-0005-0000-0000-0000B2530000}"/>
    <cellStyle name="Bad 4 5" xfId="22326" xr:uid="{00000000-0005-0000-0000-0000B3530000}"/>
    <cellStyle name="Bad 5" xfId="5444" xr:uid="{00000000-0005-0000-0000-0000B4530000}"/>
    <cellStyle name="Bad 5 2" xfId="5445" xr:uid="{00000000-0005-0000-0000-0000B5530000}"/>
    <cellStyle name="Bad 5 2 2" xfId="9725" xr:uid="{00000000-0005-0000-0000-0000B6530000}"/>
    <cellStyle name="Bad 5 2 3" xfId="22322" xr:uid="{00000000-0005-0000-0000-0000B7530000}"/>
    <cellStyle name="Bad 5 3" xfId="9724" xr:uid="{00000000-0005-0000-0000-0000B8530000}"/>
    <cellStyle name="Bad 5 4" xfId="22323" xr:uid="{00000000-0005-0000-0000-0000B9530000}"/>
    <cellStyle name="Bad 6" xfId="5446" xr:uid="{00000000-0005-0000-0000-0000BA530000}"/>
    <cellStyle name="Bad 6 2" xfId="9726" xr:uid="{00000000-0005-0000-0000-0000BB530000}"/>
    <cellStyle name="Bad 6 3" xfId="22321" xr:uid="{00000000-0005-0000-0000-0000BC530000}"/>
    <cellStyle name="Bad 7" xfId="5447" xr:uid="{00000000-0005-0000-0000-0000BD530000}"/>
    <cellStyle name="Bad 7 2" xfId="9727" xr:uid="{00000000-0005-0000-0000-0000BE530000}"/>
    <cellStyle name="Bad 7 3" xfId="22320" xr:uid="{00000000-0005-0000-0000-0000BF530000}"/>
    <cellStyle name="Bad 8" xfId="5448" xr:uid="{00000000-0005-0000-0000-0000C0530000}"/>
    <cellStyle name="Bad 8 2" xfId="9728" xr:uid="{00000000-0005-0000-0000-0000C1530000}"/>
    <cellStyle name="Bad 8 3" xfId="22319" xr:uid="{00000000-0005-0000-0000-0000C2530000}"/>
    <cellStyle name="Bad 9" xfId="5449" xr:uid="{00000000-0005-0000-0000-0000C3530000}"/>
    <cellStyle name="Bad 9 2" xfId="9729" xr:uid="{00000000-0005-0000-0000-0000C4530000}"/>
    <cellStyle name="Bad 9 3" xfId="22318" xr:uid="{00000000-0005-0000-0000-0000C5530000}"/>
    <cellStyle name="Calculation" xfId="24" builtinId="22" customBuiltin="1"/>
    <cellStyle name="Calculation 10" xfId="5450" xr:uid="{00000000-0005-0000-0000-0000C7530000}"/>
    <cellStyle name="Calculation 10 2" xfId="9731" xr:uid="{00000000-0005-0000-0000-0000C8530000}"/>
    <cellStyle name="Calculation 10 3" xfId="22317" xr:uid="{00000000-0005-0000-0000-0000C9530000}"/>
    <cellStyle name="Calculation 11" xfId="5451" xr:uid="{00000000-0005-0000-0000-0000CA530000}"/>
    <cellStyle name="Calculation 11 2" xfId="9732" xr:uid="{00000000-0005-0000-0000-0000CB530000}"/>
    <cellStyle name="Calculation 11 3" xfId="22316" xr:uid="{00000000-0005-0000-0000-0000CC530000}"/>
    <cellStyle name="Calculation 12" xfId="5452" xr:uid="{00000000-0005-0000-0000-0000CD530000}"/>
    <cellStyle name="Calculation 12 2" xfId="5453" xr:uid="{00000000-0005-0000-0000-0000CE530000}"/>
    <cellStyle name="Calculation 12 2 2" xfId="15592" xr:uid="{00000000-0005-0000-0000-0000CF530000}"/>
    <cellStyle name="Calculation 12 2 3" xfId="22314" xr:uid="{00000000-0005-0000-0000-0000D0530000}"/>
    <cellStyle name="Calculation 12 3" xfId="10486" xr:uid="{00000000-0005-0000-0000-0000D1530000}"/>
    <cellStyle name="Calculation 12 4" xfId="22315" xr:uid="{00000000-0005-0000-0000-0000D2530000}"/>
    <cellStyle name="Calculation 13" xfId="5454" xr:uid="{00000000-0005-0000-0000-0000D3530000}"/>
    <cellStyle name="Calculation 13 2" xfId="11313" xr:uid="{00000000-0005-0000-0000-0000D4530000}"/>
    <cellStyle name="Calculation 13 3" xfId="22313" xr:uid="{00000000-0005-0000-0000-0000D5530000}"/>
    <cellStyle name="Calculation 14" xfId="5455" xr:uid="{00000000-0005-0000-0000-0000D6530000}"/>
    <cellStyle name="Calculation 14 2" xfId="9730" xr:uid="{00000000-0005-0000-0000-0000D7530000}"/>
    <cellStyle name="Calculation 14 3" xfId="22312" xr:uid="{00000000-0005-0000-0000-0000D8530000}"/>
    <cellStyle name="Calculation 2" xfId="5456" xr:uid="{00000000-0005-0000-0000-0000D9530000}"/>
    <cellStyle name="Calculation 2 2" xfId="9733" xr:uid="{00000000-0005-0000-0000-0000DA530000}"/>
    <cellStyle name="Calculation 2 3" xfId="22311" xr:uid="{00000000-0005-0000-0000-0000DB530000}"/>
    <cellStyle name="Calculation 2 4" xfId="33054" xr:uid="{00000000-0005-0000-0000-0000DC530000}"/>
    <cellStyle name="Calculation 3" xfId="5457" xr:uid="{00000000-0005-0000-0000-0000DD530000}"/>
    <cellStyle name="Calculation 3 2" xfId="5458" xr:uid="{00000000-0005-0000-0000-0000DE530000}"/>
    <cellStyle name="Calculation 3 2 2" xfId="9735" xr:uid="{00000000-0005-0000-0000-0000DF530000}"/>
    <cellStyle name="Calculation 3 2 3" xfId="22309" xr:uid="{00000000-0005-0000-0000-0000E0530000}"/>
    <cellStyle name="Calculation 3 3" xfId="9734" xr:uid="{00000000-0005-0000-0000-0000E1530000}"/>
    <cellStyle name="Calculation 3 4" xfId="22310" xr:uid="{00000000-0005-0000-0000-0000E2530000}"/>
    <cellStyle name="Calculation 4" xfId="5459" xr:uid="{00000000-0005-0000-0000-0000E3530000}"/>
    <cellStyle name="Calculation 4 2" xfId="5460" xr:uid="{00000000-0005-0000-0000-0000E4530000}"/>
    <cellStyle name="Calculation 4 2 2" xfId="13117" xr:uid="{00000000-0005-0000-0000-0000E5530000}"/>
    <cellStyle name="Calculation 4 2 3" xfId="22307" xr:uid="{00000000-0005-0000-0000-0000E6530000}"/>
    <cellStyle name="Calculation 4 3" xfId="5461" xr:uid="{00000000-0005-0000-0000-0000E7530000}"/>
    <cellStyle name="Calculation 4 3 2" xfId="13116" xr:uid="{00000000-0005-0000-0000-0000E8530000}"/>
    <cellStyle name="Calculation 4 3 3" xfId="22306" xr:uid="{00000000-0005-0000-0000-0000E9530000}"/>
    <cellStyle name="Calculation 4 4" xfId="9736" xr:uid="{00000000-0005-0000-0000-0000EA530000}"/>
    <cellStyle name="Calculation 4 5" xfId="22308" xr:uid="{00000000-0005-0000-0000-0000EB530000}"/>
    <cellStyle name="Calculation 5" xfId="5462" xr:uid="{00000000-0005-0000-0000-0000EC530000}"/>
    <cellStyle name="Calculation 5 2" xfId="5463" xr:uid="{00000000-0005-0000-0000-0000ED530000}"/>
    <cellStyle name="Calculation 5 2 2" xfId="9738" xr:uid="{00000000-0005-0000-0000-0000EE530000}"/>
    <cellStyle name="Calculation 5 2 3" xfId="22304" xr:uid="{00000000-0005-0000-0000-0000EF530000}"/>
    <cellStyle name="Calculation 5 3" xfId="9737" xr:uid="{00000000-0005-0000-0000-0000F0530000}"/>
    <cellStyle name="Calculation 5 4" xfId="22305" xr:uid="{00000000-0005-0000-0000-0000F1530000}"/>
    <cellStyle name="Calculation 6" xfId="5464" xr:uid="{00000000-0005-0000-0000-0000F2530000}"/>
    <cellStyle name="Calculation 6 2" xfId="9739" xr:uid="{00000000-0005-0000-0000-0000F3530000}"/>
    <cellStyle name="Calculation 6 3" xfId="22303" xr:uid="{00000000-0005-0000-0000-0000F4530000}"/>
    <cellStyle name="Calculation 7" xfId="5465" xr:uid="{00000000-0005-0000-0000-0000F5530000}"/>
    <cellStyle name="Calculation 7 2" xfId="9740" xr:uid="{00000000-0005-0000-0000-0000F6530000}"/>
    <cellStyle name="Calculation 7 3" xfId="22302" xr:uid="{00000000-0005-0000-0000-0000F7530000}"/>
    <cellStyle name="Calculation 8" xfId="5466" xr:uid="{00000000-0005-0000-0000-0000F8530000}"/>
    <cellStyle name="Calculation 8 2" xfId="9741" xr:uid="{00000000-0005-0000-0000-0000F9530000}"/>
    <cellStyle name="Calculation 8 3" xfId="22301" xr:uid="{00000000-0005-0000-0000-0000FA530000}"/>
    <cellStyle name="Calculation 9" xfId="5467" xr:uid="{00000000-0005-0000-0000-0000FB530000}"/>
    <cellStyle name="Calculation 9 2" xfId="9742" xr:uid="{00000000-0005-0000-0000-0000FC530000}"/>
    <cellStyle name="Calculation 9 3" xfId="22300" xr:uid="{00000000-0005-0000-0000-0000FD530000}"/>
    <cellStyle name="Check Cell" xfId="33033" builtinId="23" customBuiltin="1"/>
    <cellStyle name="Check Cell 2" xfId="8813" xr:uid="{00000000-0005-0000-0000-0000FF530000}"/>
    <cellStyle name="Check Cell 2 2" xfId="33056" xr:uid="{00000000-0005-0000-0000-000000540000}"/>
    <cellStyle name="Check Cell 3" xfId="22299" xr:uid="{00000000-0005-0000-0000-000001540000}"/>
    <cellStyle name="Check Cell 4" xfId="5468" xr:uid="{00000000-0005-0000-0000-000002540000}"/>
    <cellStyle name="Comma" xfId="4" builtinId="3"/>
    <cellStyle name="Comma 10" xfId="5469" xr:uid="{00000000-0005-0000-0000-000004540000}"/>
    <cellStyle name="Comma 10 2" xfId="5470" xr:uid="{00000000-0005-0000-0000-000005540000}"/>
    <cellStyle name="Comma 10 2 2" xfId="13118" xr:uid="{00000000-0005-0000-0000-000006540000}"/>
    <cellStyle name="Comma 10 2 3" xfId="22297" xr:uid="{00000000-0005-0000-0000-000007540000}"/>
    <cellStyle name="Comma 10 3" xfId="10515" xr:uid="{00000000-0005-0000-0000-000008540000}"/>
    <cellStyle name="Comma 10 4" xfId="22298" xr:uid="{00000000-0005-0000-0000-000009540000}"/>
    <cellStyle name="Comma 11" xfId="8786" xr:uid="{00000000-0005-0000-0000-00000A540000}"/>
    <cellStyle name="Comma 12" xfId="50" xr:uid="{00000000-0005-0000-0000-00000B540000}"/>
    <cellStyle name="Comma 2" xfId="5" xr:uid="{00000000-0005-0000-0000-00000C540000}"/>
    <cellStyle name="Comma 2 2" xfId="5472" xr:uid="{00000000-0005-0000-0000-00000D540000}"/>
    <cellStyle name="Comma 2 2 2" xfId="5473" xr:uid="{00000000-0005-0000-0000-00000E540000}"/>
    <cellStyle name="Comma 2 2 2 2" xfId="9743" xr:uid="{00000000-0005-0000-0000-00000F540000}"/>
    <cellStyle name="Comma 2 2 2 3" xfId="22294" xr:uid="{00000000-0005-0000-0000-000010540000}"/>
    <cellStyle name="Comma 2 2 3" xfId="5474" xr:uid="{00000000-0005-0000-0000-000011540000}"/>
    <cellStyle name="Comma 2 2 3 2" xfId="9744" xr:uid="{00000000-0005-0000-0000-000012540000}"/>
    <cellStyle name="Comma 2 2 3 3" xfId="22293" xr:uid="{00000000-0005-0000-0000-000013540000}"/>
    <cellStyle name="Comma 2 2 4" xfId="8711" xr:uid="{00000000-0005-0000-0000-000014540000}"/>
    <cellStyle name="Comma 2 2 5" xfId="22295" xr:uid="{00000000-0005-0000-0000-000015540000}"/>
    <cellStyle name="Comma 2 3" xfId="5475" xr:uid="{00000000-0005-0000-0000-000016540000}"/>
    <cellStyle name="Comma 2 3 2" xfId="5476" xr:uid="{00000000-0005-0000-0000-000017540000}"/>
    <cellStyle name="Comma 2 3 2 2" xfId="9745" xr:uid="{00000000-0005-0000-0000-000018540000}"/>
    <cellStyle name="Comma 2 3 2 3" xfId="22291" xr:uid="{00000000-0005-0000-0000-000019540000}"/>
    <cellStyle name="Comma 2 3 3" xfId="5477" xr:uid="{00000000-0005-0000-0000-00001A540000}"/>
    <cellStyle name="Comma 2 3 3 2" xfId="13119" xr:uid="{00000000-0005-0000-0000-00001B540000}"/>
    <cellStyle name="Comma 2 3 3 3" xfId="22290" xr:uid="{00000000-0005-0000-0000-00001C540000}"/>
    <cellStyle name="Comma 2 3 4" xfId="8677" xr:uid="{00000000-0005-0000-0000-00001D540000}"/>
    <cellStyle name="Comma 2 3 5" xfId="22292" xr:uid="{00000000-0005-0000-0000-00001E540000}"/>
    <cellStyle name="Comma 2 4" xfId="5478" xr:uid="{00000000-0005-0000-0000-00001F540000}"/>
    <cellStyle name="Comma 2 4 2" xfId="5479" xr:uid="{00000000-0005-0000-0000-000020540000}"/>
    <cellStyle name="Comma 2 4 2 2" xfId="13120" xr:uid="{00000000-0005-0000-0000-000021540000}"/>
    <cellStyle name="Comma 2 4 2 3" xfId="22288" xr:uid="{00000000-0005-0000-0000-000022540000}"/>
    <cellStyle name="Comma 2 4 3" xfId="5480" xr:uid="{00000000-0005-0000-0000-000023540000}"/>
    <cellStyle name="Comma 2 4 3 2" xfId="17369" xr:uid="{00000000-0005-0000-0000-000024540000}"/>
    <cellStyle name="Comma 2 4 3 3" xfId="22287" xr:uid="{00000000-0005-0000-0000-000025540000}"/>
    <cellStyle name="Comma 2 4 4" xfId="8726" xr:uid="{00000000-0005-0000-0000-000026540000}"/>
    <cellStyle name="Comma 2 4 5" xfId="22289" xr:uid="{00000000-0005-0000-0000-000027540000}"/>
    <cellStyle name="Comma 2 5" xfId="8658" xr:uid="{00000000-0005-0000-0000-000028540000}"/>
    <cellStyle name="Comma 2 6" xfId="22296" xr:uid="{00000000-0005-0000-0000-000029540000}"/>
    <cellStyle name="Comma 2 7" xfId="33031" xr:uid="{00000000-0005-0000-0000-00002A540000}"/>
    <cellStyle name="Comma 2 8" xfId="5471" xr:uid="{00000000-0005-0000-0000-00002B540000}"/>
    <cellStyle name="Comma 3" xfId="5481" xr:uid="{00000000-0005-0000-0000-00002C540000}"/>
    <cellStyle name="Comma 3 10" xfId="5482" xr:uid="{00000000-0005-0000-0000-00002D540000}"/>
    <cellStyle name="Comma 3 10 2" xfId="9747" xr:uid="{00000000-0005-0000-0000-00002E540000}"/>
    <cellStyle name="Comma 3 10 3" xfId="22285" xr:uid="{00000000-0005-0000-0000-00002F540000}"/>
    <cellStyle name="Comma 3 11" xfId="5483" xr:uid="{00000000-0005-0000-0000-000030540000}"/>
    <cellStyle name="Comma 3 11 2" xfId="5484" xr:uid="{00000000-0005-0000-0000-000031540000}"/>
    <cellStyle name="Comma 3 11 2 2" xfId="13121" xr:uid="{00000000-0005-0000-0000-000032540000}"/>
    <cellStyle name="Comma 3 11 2 3" xfId="22283" xr:uid="{00000000-0005-0000-0000-000033540000}"/>
    <cellStyle name="Comma 3 11 3" xfId="5485" xr:uid="{00000000-0005-0000-0000-000034540000}"/>
    <cellStyle name="Comma 3 11 3 2" xfId="17019" xr:uid="{00000000-0005-0000-0000-000035540000}"/>
    <cellStyle name="Comma 3 11 3 2 2" xfId="30426" xr:uid="{00000000-0005-0000-0000-000036540000}"/>
    <cellStyle name="Comma 3 11 3 3" xfId="22282" xr:uid="{00000000-0005-0000-0000-000037540000}"/>
    <cellStyle name="Comma 3 11 4" xfId="9748" xr:uid="{00000000-0005-0000-0000-000038540000}"/>
    <cellStyle name="Comma 3 11 5" xfId="22284" xr:uid="{00000000-0005-0000-0000-000039540000}"/>
    <cellStyle name="Comma 3 12" xfId="5486" xr:uid="{00000000-0005-0000-0000-00003A540000}"/>
    <cellStyle name="Comma 3 12 2" xfId="5487" xr:uid="{00000000-0005-0000-0000-00003B540000}"/>
    <cellStyle name="Comma 3 12 2 2" xfId="13123" xr:uid="{00000000-0005-0000-0000-00003C540000}"/>
    <cellStyle name="Comma 3 12 2 3" xfId="22280" xr:uid="{00000000-0005-0000-0000-00003D540000}"/>
    <cellStyle name="Comma 3 12 3" xfId="5488" xr:uid="{00000000-0005-0000-0000-00003E540000}"/>
    <cellStyle name="Comma 3 12 3 2" xfId="13122" xr:uid="{00000000-0005-0000-0000-00003F540000}"/>
    <cellStyle name="Comma 3 12 3 2 2" xfId="26834" xr:uid="{00000000-0005-0000-0000-000040540000}"/>
    <cellStyle name="Comma 3 12 3 3" xfId="22279" xr:uid="{00000000-0005-0000-0000-000041540000}"/>
    <cellStyle name="Comma 3 12 4" xfId="5489" xr:uid="{00000000-0005-0000-0000-000042540000}"/>
    <cellStyle name="Comma 3 12 4 2" xfId="17108" xr:uid="{00000000-0005-0000-0000-000043540000}"/>
    <cellStyle name="Comma 3 12 4 2 2" xfId="30467" xr:uid="{00000000-0005-0000-0000-000044540000}"/>
    <cellStyle name="Comma 3 12 4 3" xfId="22278" xr:uid="{00000000-0005-0000-0000-000045540000}"/>
    <cellStyle name="Comma 3 12 5" xfId="9749" xr:uid="{00000000-0005-0000-0000-000046540000}"/>
    <cellStyle name="Comma 3 12 6" xfId="22281" xr:uid="{00000000-0005-0000-0000-000047540000}"/>
    <cellStyle name="Comma 3 13" xfId="5490" xr:uid="{00000000-0005-0000-0000-000048540000}"/>
    <cellStyle name="Comma 3 13 2" xfId="5491" xr:uid="{00000000-0005-0000-0000-000049540000}"/>
    <cellStyle name="Comma 3 13 2 2" xfId="17197" xr:uid="{00000000-0005-0000-0000-00004A540000}"/>
    <cellStyle name="Comma 3 13 2 2 2" xfId="30556" xr:uid="{00000000-0005-0000-0000-00004B540000}"/>
    <cellStyle name="Comma 3 13 2 3" xfId="22276" xr:uid="{00000000-0005-0000-0000-00004C540000}"/>
    <cellStyle name="Comma 3 13 3" xfId="9750" xr:uid="{00000000-0005-0000-0000-00004D540000}"/>
    <cellStyle name="Comma 3 13 4" xfId="22277" xr:uid="{00000000-0005-0000-0000-00004E540000}"/>
    <cellStyle name="Comma 3 14" xfId="5492" xr:uid="{00000000-0005-0000-0000-00004F540000}"/>
    <cellStyle name="Comma 3 14 2" xfId="5493" xr:uid="{00000000-0005-0000-0000-000050540000}"/>
    <cellStyle name="Comma 3 14 2 2" xfId="5494" xr:uid="{00000000-0005-0000-0000-000051540000}"/>
    <cellStyle name="Comma 3 14 2 2 2" xfId="11316" xr:uid="{00000000-0005-0000-0000-000052540000}"/>
    <cellStyle name="Comma 3 14 2 2 3" xfId="22273" xr:uid="{00000000-0005-0000-0000-000053540000}"/>
    <cellStyle name="Comma 3 14 2 3" xfId="9752" xr:uid="{00000000-0005-0000-0000-000054540000}"/>
    <cellStyle name="Comma 3 14 2 4" xfId="22274" xr:uid="{00000000-0005-0000-0000-000055540000}"/>
    <cellStyle name="Comma 3 14 3" xfId="5495" xr:uid="{00000000-0005-0000-0000-000056540000}"/>
    <cellStyle name="Comma 3 14 3 2" xfId="11315" xr:uid="{00000000-0005-0000-0000-000057540000}"/>
    <cellStyle name="Comma 3 14 3 3" xfId="22272" xr:uid="{00000000-0005-0000-0000-000058540000}"/>
    <cellStyle name="Comma 3 14 4" xfId="5496" xr:uid="{00000000-0005-0000-0000-000059540000}"/>
    <cellStyle name="Comma 3 14 4 2" xfId="17286" xr:uid="{00000000-0005-0000-0000-00005A540000}"/>
    <cellStyle name="Comma 3 14 4 2 2" xfId="30645" xr:uid="{00000000-0005-0000-0000-00005B540000}"/>
    <cellStyle name="Comma 3 14 4 3" xfId="22271" xr:uid="{00000000-0005-0000-0000-00005C540000}"/>
    <cellStyle name="Comma 3 14 5" xfId="9751" xr:uid="{00000000-0005-0000-0000-00005D540000}"/>
    <cellStyle name="Comma 3 14 6" xfId="22275" xr:uid="{00000000-0005-0000-0000-00005E540000}"/>
    <cellStyle name="Comma 3 15" xfId="5497" xr:uid="{00000000-0005-0000-0000-00005F540000}"/>
    <cellStyle name="Comma 3 15 2" xfId="5498" xr:uid="{00000000-0005-0000-0000-000060540000}"/>
    <cellStyle name="Comma 3 15 2 2" xfId="11317" xr:uid="{00000000-0005-0000-0000-000061540000}"/>
    <cellStyle name="Comma 3 15 2 3" xfId="22269" xr:uid="{00000000-0005-0000-0000-000062540000}"/>
    <cellStyle name="Comma 3 15 3" xfId="5499" xr:uid="{00000000-0005-0000-0000-000063540000}"/>
    <cellStyle name="Comma 3 15 3 2" xfId="16438" xr:uid="{00000000-0005-0000-0000-000064540000}"/>
    <cellStyle name="Comma 3 15 3 2 2" xfId="29845" xr:uid="{00000000-0005-0000-0000-000065540000}"/>
    <cellStyle name="Comma 3 15 3 3" xfId="22268" xr:uid="{00000000-0005-0000-0000-000066540000}"/>
    <cellStyle name="Comma 3 15 4" xfId="9753" xr:uid="{00000000-0005-0000-0000-000067540000}"/>
    <cellStyle name="Comma 3 15 5" xfId="22270" xr:uid="{00000000-0005-0000-0000-000068540000}"/>
    <cellStyle name="Comma 3 16" xfId="5500" xr:uid="{00000000-0005-0000-0000-000069540000}"/>
    <cellStyle name="Comma 3 16 2" xfId="5501" xr:uid="{00000000-0005-0000-0000-00006A540000}"/>
    <cellStyle name="Comma 3 16 2 2" xfId="11318" xr:uid="{00000000-0005-0000-0000-00006B540000}"/>
    <cellStyle name="Comma 3 16 2 3" xfId="22266" xr:uid="{00000000-0005-0000-0000-00006C540000}"/>
    <cellStyle name="Comma 3 16 3" xfId="9754" xr:uid="{00000000-0005-0000-0000-00006D540000}"/>
    <cellStyle name="Comma 3 16 4" xfId="22267" xr:uid="{00000000-0005-0000-0000-00006E540000}"/>
    <cellStyle name="Comma 3 17" xfId="5502" xr:uid="{00000000-0005-0000-0000-00006F540000}"/>
    <cellStyle name="Comma 3 17 2" xfId="5503" xr:uid="{00000000-0005-0000-0000-000070540000}"/>
    <cellStyle name="Comma 3 17 2 2" xfId="11319" xr:uid="{00000000-0005-0000-0000-000071540000}"/>
    <cellStyle name="Comma 3 17 2 3" xfId="22264" xr:uid="{00000000-0005-0000-0000-000072540000}"/>
    <cellStyle name="Comma 3 17 3" xfId="9755" xr:uid="{00000000-0005-0000-0000-000073540000}"/>
    <cellStyle name="Comma 3 17 4" xfId="22265" xr:uid="{00000000-0005-0000-0000-000074540000}"/>
    <cellStyle name="Comma 3 18" xfId="5504" xr:uid="{00000000-0005-0000-0000-000075540000}"/>
    <cellStyle name="Comma 3 18 2" xfId="5505" xr:uid="{00000000-0005-0000-0000-000076540000}"/>
    <cellStyle name="Comma 3 18 2 2" xfId="11320" xr:uid="{00000000-0005-0000-0000-000077540000}"/>
    <cellStyle name="Comma 3 18 2 3" xfId="22262" xr:uid="{00000000-0005-0000-0000-000078540000}"/>
    <cellStyle name="Comma 3 18 3" xfId="9756" xr:uid="{00000000-0005-0000-0000-000079540000}"/>
    <cellStyle name="Comma 3 18 4" xfId="22263" xr:uid="{00000000-0005-0000-0000-00007A540000}"/>
    <cellStyle name="Comma 3 19" xfId="5506" xr:uid="{00000000-0005-0000-0000-00007B540000}"/>
    <cellStyle name="Comma 3 19 2" xfId="5507" xr:uid="{00000000-0005-0000-0000-00007C540000}"/>
    <cellStyle name="Comma 3 19 2 2" xfId="11321" xr:uid="{00000000-0005-0000-0000-00007D540000}"/>
    <cellStyle name="Comma 3 19 2 3" xfId="22260" xr:uid="{00000000-0005-0000-0000-00007E540000}"/>
    <cellStyle name="Comma 3 19 3" xfId="9757" xr:uid="{00000000-0005-0000-0000-00007F540000}"/>
    <cellStyle name="Comma 3 19 4" xfId="22261" xr:uid="{00000000-0005-0000-0000-000080540000}"/>
    <cellStyle name="Comma 3 2" xfId="5508" xr:uid="{00000000-0005-0000-0000-000081540000}"/>
    <cellStyle name="Comma 3 2 10" xfId="5509" xr:uid="{00000000-0005-0000-0000-000082540000}"/>
    <cellStyle name="Comma 3 2 10 2" xfId="11322" xr:uid="{00000000-0005-0000-0000-000083540000}"/>
    <cellStyle name="Comma 3 2 10 3" xfId="22258" xr:uid="{00000000-0005-0000-0000-000084540000}"/>
    <cellStyle name="Comma 3 2 11" xfId="5510" xr:uid="{00000000-0005-0000-0000-000085540000}"/>
    <cellStyle name="Comma 3 2 11 2" xfId="5511" xr:uid="{00000000-0005-0000-0000-000086540000}"/>
    <cellStyle name="Comma 3 2 11 2 2" xfId="13124" xr:uid="{00000000-0005-0000-0000-000087540000}"/>
    <cellStyle name="Comma 3 2 11 2 2 2" xfId="26836" xr:uid="{00000000-0005-0000-0000-000088540000}"/>
    <cellStyle name="Comma 3 2 11 2 3" xfId="22256" xr:uid="{00000000-0005-0000-0000-000089540000}"/>
    <cellStyle name="Comma 3 2 11 3" xfId="5512" xr:uid="{00000000-0005-0000-0000-00008A540000}"/>
    <cellStyle name="Comma 3 2 11 3 2" xfId="15593" xr:uid="{00000000-0005-0000-0000-00008B540000}"/>
    <cellStyle name="Comma 3 2 11 3 3" xfId="22255" xr:uid="{00000000-0005-0000-0000-00008C540000}"/>
    <cellStyle name="Comma 3 2 11 4" xfId="11735" xr:uid="{00000000-0005-0000-0000-00008D540000}"/>
    <cellStyle name="Comma 3 2 11 5" xfId="22257" xr:uid="{00000000-0005-0000-0000-00008E540000}"/>
    <cellStyle name="Comma 3 2 12" xfId="5513" xr:uid="{00000000-0005-0000-0000-00008F540000}"/>
    <cellStyle name="Comma 3 2 12 2" xfId="11853" xr:uid="{00000000-0005-0000-0000-000090540000}"/>
    <cellStyle name="Comma 3 2 12 2 2" xfId="25568" xr:uid="{00000000-0005-0000-0000-000091540000}"/>
    <cellStyle name="Comma 3 2 12 3" xfId="22254" xr:uid="{00000000-0005-0000-0000-000092540000}"/>
    <cellStyle name="Comma 3 2 13" xfId="5514" xr:uid="{00000000-0005-0000-0000-000093540000}"/>
    <cellStyle name="Comma 3 2 13 2" xfId="13447" xr:uid="{00000000-0005-0000-0000-000094540000}"/>
    <cellStyle name="Comma 3 2 13 2 2" xfId="26996" xr:uid="{00000000-0005-0000-0000-000095540000}"/>
    <cellStyle name="Comma 3 2 13 3" xfId="22253" xr:uid="{00000000-0005-0000-0000-000096540000}"/>
    <cellStyle name="Comma 3 2 14" xfId="5515" xr:uid="{00000000-0005-0000-0000-000097540000}"/>
    <cellStyle name="Comma 3 2 14 2" xfId="14028" xr:uid="{00000000-0005-0000-0000-000098540000}"/>
    <cellStyle name="Comma 3 2 14 2 2" xfId="27577" xr:uid="{00000000-0005-0000-0000-000099540000}"/>
    <cellStyle name="Comma 3 2 14 3" xfId="22252" xr:uid="{00000000-0005-0000-0000-00009A540000}"/>
    <cellStyle name="Comma 3 2 15" xfId="5516" xr:uid="{00000000-0005-0000-0000-00009B540000}"/>
    <cellStyle name="Comma 3 2 15 2" xfId="15914" xr:uid="{00000000-0005-0000-0000-00009C540000}"/>
    <cellStyle name="Comma 3 2 15 2 2" xfId="29321" xr:uid="{00000000-0005-0000-0000-00009D540000}"/>
    <cellStyle name="Comma 3 2 15 3" xfId="22251" xr:uid="{00000000-0005-0000-0000-00009E540000}"/>
    <cellStyle name="Comma 3 2 16" xfId="5517" xr:uid="{00000000-0005-0000-0000-00009F540000}"/>
    <cellStyle name="Comma 3 2 16 2" xfId="9758" xr:uid="{00000000-0005-0000-0000-0000A0540000}"/>
    <cellStyle name="Comma 3 2 16 3" xfId="22250" xr:uid="{00000000-0005-0000-0000-0000A1540000}"/>
    <cellStyle name="Comma 3 2 17" xfId="8712" xr:uid="{00000000-0005-0000-0000-0000A2540000}"/>
    <cellStyle name="Comma 3 2 18" xfId="22259" xr:uid="{00000000-0005-0000-0000-0000A3540000}"/>
    <cellStyle name="Comma 3 2 19" xfId="33088" xr:uid="{00000000-0005-0000-0000-0000A4540000}"/>
    <cellStyle name="Comma 3 2 2" xfId="5518" xr:uid="{00000000-0005-0000-0000-0000A5540000}"/>
    <cellStyle name="Comma 3 2 2 10" xfId="9759" xr:uid="{00000000-0005-0000-0000-0000A6540000}"/>
    <cellStyle name="Comma 3 2 2 11" xfId="22249" xr:uid="{00000000-0005-0000-0000-0000A7540000}"/>
    <cellStyle name="Comma 3 2 2 12" xfId="32938" xr:uid="{00000000-0005-0000-0000-0000A8540000}"/>
    <cellStyle name="Comma 3 2 2 2" xfId="5519" xr:uid="{00000000-0005-0000-0000-0000A9540000}"/>
    <cellStyle name="Comma 3 2 2 2 2" xfId="5520" xr:uid="{00000000-0005-0000-0000-0000AA540000}"/>
    <cellStyle name="Comma 3 2 2 2 2 2" xfId="5521" xr:uid="{00000000-0005-0000-0000-0000AB540000}"/>
    <cellStyle name="Comma 3 2 2 2 2 2 2" xfId="5522" xr:uid="{00000000-0005-0000-0000-0000AC540000}"/>
    <cellStyle name="Comma 3 2 2 2 2 2 2 2" xfId="11323" xr:uid="{00000000-0005-0000-0000-0000AD540000}"/>
    <cellStyle name="Comma 3 2 2 2 2 2 2 3" xfId="22245" xr:uid="{00000000-0005-0000-0000-0000AE540000}"/>
    <cellStyle name="Comma 3 2 2 2 2 2 3" xfId="5523" xr:uid="{00000000-0005-0000-0000-0000AF540000}"/>
    <cellStyle name="Comma 3 2 2 2 2 2 3 2" xfId="16973" xr:uid="{00000000-0005-0000-0000-0000B0540000}"/>
    <cellStyle name="Comma 3 2 2 2 2 2 3 2 2" xfId="30380" xr:uid="{00000000-0005-0000-0000-0000B1540000}"/>
    <cellStyle name="Comma 3 2 2 2 2 2 3 3" xfId="22244" xr:uid="{00000000-0005-0000-0000-0000B2540000}"/>
    <cellStyle name="Comma 3 2 2 2 2 2 4" xfId="9762" xr:uid="{00000000-0005-0000-0000-0000B3540000}"/>
    <cellStyle name="Comma 3 2 2 2 2 2 5" xfId="22246" xr:uid="{00000000-0005-0000-0000-0000B4540000}"/>
    <cellStyle name="Comma 3 2 2 2 2 3" xfId="5524" xr:uid="{00000000-0005-0000-0000-0000B5540000}"/>
    <cellStyle name="Comma 3 2 2 2 2 3 2" xfId="5525" xr:uid="{00000000-0005-0000-0000-0000B6540000}"/>
    <cellStyle name="Comma 3 2 2 2 2 3 2 2" xfId="13125" xr:uid="{00000000-0005-0000-0000-0000B7540000}"/>
    <cellStyle name="Comma 3 2 2 2 2 3 2 3" xfId="22242" xr:uid="{00000000-0005-0000-0000-0000B8540000}"/>
    <cellStyle name="Comma 3 2 2 2 2 3 3" xfId="12361" xr:uid="{00000000-0005-0000-0000-0000B9540000}"/>
    <cellStyle name="Comma 3 2 2 2 2 3 3 2" xfId="26073" xr:uid="{00000000-0005-0000-0000-0000BA540000}"/>
    <cellStyle name="Comma 3 2 2 2 2 3 4" xfId="22243" xr:uid="{00000000-0005-0000-0000-0000BB540000}"/>
    <cellStyle name="Comma 3 2 2 2 2 4" xfId="5526" xr:uid="{00000000-0005-0000-0000-0000BC540000}"/>
    <cellStyle name="Comma 3 2 2 2 2 4 2" xfId="5527" xr:uid="{00000000-0005-0000-0000-0000BD540000}"/>
    <cellStyle name="Comma 3 2 2 2 2 4 2 2" xfId="15594" xr:uid="{00000000-0005-0000-0000-0000BE540000}"/>
    <cellStyle name="Comma 3 2 2 2 2 4 2 3" xfId="22240" xr:uid="{00000000-0005-0000-0000-0000BF540000}"/>
    <cellStyle name="Comma 3 2 2 2 2 4 3" xfId="13925" xr:uid="{00000000-0005-0000-0000-0000C0540000}"/>
    <cellStyle name="Comma 3 2 2 2 2 4 3 2" xfId="27474" xr:uid="{00000000-0005-0000-0000-0000C1540000}"/>
    <cellStyle name="Comma 3 2 2 2 2 4 4" xfId="22241" xr:uid="{00000000-0005-0000-0000-0000C2540000}"/>
    <cellStyle name="Comma 3 2 2 2 2 5" xfId="5528" xr:uid="{00000000-0005-0000-0000-0000C3540000}"/>
    <cellStyle name="Comma 3 2 2 2 2 5 2" xfId="14506" xr:uid="{00000000-0005-0000-0000-0000C4540000}"/>
    <cellStyle name="Comma 3 2 2 2 2 5 2 2" xfId="28055" xr:uid="{00000000-0005-0000-0000-0000C5540000}"/>
    <cellStyle name="Comma 3 2 2 2 2 5 3" xfId="22239" xr:uid="{00000000-0005-0000-0000-0000C6540000}"/>
    <cellStyle name="Comma 3 2 2 2 2 6" xfId="5529" xr:uid="{00000000-0005-0000-0000-0000C7540000}"/>
    <cellStyle name="Comma 3 2 2 2 2 6 2" xfId="16392" xr:uid="{00000000-0005-0000-0000-0000C8540000}"/>
    <cellStyle name="Comma 3 2 2 2 2 6 2 2" xfId="29799" xr:uid="{00000000-0005-0000-0000-0000C9540000}"/>
    <cellStyle name="Comma 3 2 2 2 2 6 3" xfId="22238" xr:uid="{00000000-0005-0000-0000-0000CA540000}"/>
    <cellStyle name="Comma 3 2 2 2 2 7" xfId="9761" xr:uid="{00000000-0005-0000-0000-0000CB540000}"/>
    <cellStyle name="Comma 3 2 2 2 2 8" xfId="22247" xr:uid="{00000000-0005-0000-0000-0000CC540000}"/>
    <cellStyle name="Comma 3 2 2 2 3" xfId="5530" xr:uid="{00000000-0005-0000-0000-0000CD540000}"/>
    <cellStyle name="Comma 3 2 2 2 3 2" xfId="5531" xr:uid="{00000000-0005-0000-0000-0000CE540000}"/>
    <cellStyle name="Comma 3 2 2 2 3 2 2" xfId="11324" xr:uid="{00000000-0005-0000-0000-0000CF540000}"/>
    <cellStyle name="Comma 3 2 2 2 3 2 3" xfId="22236" xr:uid="{00000000-0005-0000-0000-0000D0540000}"/>
    <cellStyle name="Comma 3 2 2 2 3 3" xfId="5532" xr:uid="{00000000-0005-0000-0000-0000D1540000}"/>
    <cellStyle name="Comma 3 2 2 2 3 3 2" xfId="16684" xr:uid="{00000000-0005-0000-0000-0000D2540000}"/>
    <cellStyle name="Comma 3 2 2 2 3 3 2 2" xfId="30091" xr:uid="{00000000-0005-0000-0000-0000D3540000}"/>
    <cellStyle name="Comma 3 2 2 2 3 3 3" xfId="22235" xr:uid="{00000000-0005-0000-0000-0000D4540000}"/>
    <cellStyle name="Comma 3 2 2 2 3 4" xfId="9763" xr:uid="{00000000-0005-0000-0000-0000D5540000}"/>
    <cellStyle name="Comma 3 2 2 2 3 5" xfId="22237" xr:uid="{00000000-0005-0000-0000-0000D6540000}"/>
    <cellStyle name="Comma 3 2 2 2 4" xfId="5533" xr:uid="{00000000-0005-0000-0000-0000D7540000}"/>
    <cellStyle name="Comma 3 2 2 2 4 2" xfId="5534" xr:uid="{00000000-0005-0000-0000-0000D8540000}"/>
    <cellStyle name="Comma 3 2 2 2 4 2 2" xfId="13126" xr:uid="{00000000-0005-0000-0000-0000D9540000}"/>
    <cellStyle name="Comma 3 2 2 2 4 2 3" xfId="22233" xr:uid="{00000000-0005-0000-0000-0000DA540000}"/>
    <cellStyle name="Comma 3 2 2 2 4 3" xfId="12061" xr:uid="{00000000-0005-0000-0000-0000DB540000}"/>
    <cellStyle name="Comma 3 2 2 2 4 3 2" xfId="25776" xr:uid="{00000000-0005-0000-0000-0000DC540000}"/>
    <cellStyle name="Comma 3 2 2 2 4 4" xfId="22234" xr:uid="{00000000-0005-0000-0000-0000DD540000}"/>
    <cellStyle name="Comma 3 2 2 2 5" xfId="5535" xr:uid="{00000000-0005-0000-0000-0000DE540000}"/>
    <cellStyle name="Comma 3 2 2 2 5 2" xfId="5536" xr:uid="{00000000-0005-0000-0000-0000DF540000}"/>
    <cellStyle name="Comma 3 2 2 2 5 2 2" xfId="15595" xr:uid="{00000000-0005-0000-0000-0000E0540000}"/>
    <cellStyle name="Comma 3 2 2 2 5 2 3" xfId="22231" xr:uid="{00000000-0005-0000-0000-0000E1540000}"/>
    <cellStyle name="Comma 3 2 2 2 5 3" xfId="13636" xr:uid="{00000000-0005-0000-0000-0000E2540000}"/>
    <cellStyle name="Comma 3 2 2 2 5 3 2" xfId="27185" xr:uid="{00000000-0005-0000-0000-0000E3540000}"/>
    <cellStyle name="Comma 3 2 2 2 5 4" xfId="22232" xr:uid="{00000000-0005-0000-0000-0000E4540000}"/>
    <cellStyle name="Comma 3 2 2 2 6" xfId="5537" xr:uid="{00000000-0005-0000-0000-0000E5540000}"/>
    <cellStyle name="Comma 3 2 2 2 6 2" xfId="14217" xr:uid="{00000000-0005-0000-0000-0000E6540000}"/>
    <cellStyle name="Comma 3 2 2 2 6 2 2" xfId="27766" xr:uid="{00000000-0005-0000-0000-0000E7540000}"/>
    <cellStyle name="Comma 3 2 2 2 6 3" xfId="22230" xr:uid="{00000000-0005-0000-0000-0000E8540000}"/>
    <cellStyle name="Comma 3 2 2 2 7" xfId="5538" xr:uid="{00000000-0005-0000-0000-0000E9540000}"/>
    <cellStyle name="Comma 3 2 2 2 7 2" xfId="16103" xr:uid="{00000000-0005-0000-0000-0000EA540000}"/>
    <cellStyle name="Comma 3 2 2 2 7 2 2" xfId="29510" xr:uid="{00000000-0005-0000-0000-0000EB540000}"/>
    <cellStyle name="Comma 3 2 2 2 7 3" xfId="22229" xr:uid="{00000000-0005-0000-0000-0000EC540000}"/>
    <cellStyle name="Comma 3 2 2 2 8" xfId="9760" xr:uid="{00000000-0005-0000-0000-0000ED540000}"/>
    <cellStyle name="Comma 3 2 2 2 9" xfId="22248" xr:uid="{00000000-0005-0000-0000-0000EE540000}"/>
    <cellStyle name="Comma 3 2 2 3" xfId="5539" xr:uid="{00000000-0005-0000-0000-0000EF540000}"/>
    <cellStyle name="Comma 3 2 2 3 2" xfId="5540" xr:uid="{00000000-0005-0000-0000-0000F0540000}"/>
    <cellStyle name="Comma 3 2 2 3 2 2" xfId="5541" xr:uid="{00000000-0005-0000-0000-0000F1540000}"/>
    <cellStyle name="Comma 3 2 2 3 2 2 2" xfId="11325" xr:uid="{00000000-0005-0000-0000-0000F2540000}"/>
    <cellStyle name="Comma 3 2 2 3 2 2 3" xfId="22226" xr:uid="{00000000-0005-0000-0000-0000F3540000}"/>
    <cellStyle name="Comma 3 2 2 3 2 3" xfId="5542" xr:uid="{00000000-0005-0000-0000-0000F4540000}"/>
    <cellStyle name="Comma 3 2 2 3 2 3 2" xfId="16830" xr:uid="{00000000-0005-0000-0000-0000F5540000}"/>
    <cellStyle name="Comma 3 2 2 3 2 3 2 2" xfId="30237" xr:uid="{00000000-0005-0000-0000-0000F6540000}"/>
    <cellStyle name="Comma 3 2 2 3 2 3 3" xfId="22225" xr:uid="{00000000-0005-0000-0000-0000F7540000}"/>
    <cellStyle name="Comma 3 2 2 3 2 4" xfId="9765" xr:uid="{00000000-0005-0000-0000-0000F8540000}"/>
    <cellStyle name="Comma 3 2 2 3 2 5" xfId="22227" xr:uid="{00000000-0005-0000-0000-0000F9540000}"/>
    <cellStyle name="Comma 3 2 2 3 3" xfId="5543" xr:uid="{00000000-0005-0000-0000-0000FA540000}"/>
    <cellStyle name="Comma 3 2 2 3 3 2" xfId="5544" xr:uid="{00000000-0005-0000-0000-0000FB540000}"/>
    <cellStyle name="Comma 3 2 2 3 3 2 2" xfId="13127" xr:uid="{00000000-0005-0000-0000-0000FC540000}"/>
    <cellStyle name="Comma 3 2 2 3 3 2 3" xfId="22223" xr:uid="{00000000-0005-0000-0000-0000FD540000}"/>
    <cellStyle name="Comma 3 2 2 3 3 3" xfId="12218" xr:uid="{00000000-0005-0000-0000-0000FE540000}"/>
    <cellStyle name="Comma 3 2 2 3 3 3 2" xfId="25930" xr:uid="{00000000-0005-0000-0000-0000FF540000}"/>
    <cellStyle name="Comma 3 2 2 3 3 4" xfId="22224" xr:uid="{00000000-0005-0000-0000-000000550000}"/>
    <cellStyle name="Comma 3 2 2 3 4" xfId="5545" xr:uid="{00000000-0005-0000-0000-000001550000}"/>
    <cellStyle name="Comma 3 2 2 3 4 2" xfId="5546" xr:uid="{00000000-0005-0000-0000-000002550000}"/>
    <cellStyle name="Comma 3 2 2 3 4 2 2" xfId="15596" xr:uid="{00000000-0005-0000-0000-000003550000}"/>
    <cellStyle name="Comma 3 2 2 3 4 2 3" xfId="22221" xr:uid="{00000000-0005-0000-0000-000004550000}"/>
    <cellStyle name="Comma 3 2 2 3 4 3" xfId="13782" xr:uid="{00000000-0005-0000-0000-000005550000}"/>
    <cellStyle name="Comma 3 2 2 3 4 3 2" xfId="27331" xr:uid="{00000000-0005-0000-0000-000006550000}"/>
    <cellStyle name="Comma 3 2 2 3 4 4" xfId="22222" xr:uid="{00000000-0005-0000-0000-000007550000}"/>
    <cellStyle name="Comma 3 2 2 3 5" xfId="5547" xr:uid="{00000000-0005-0000-0000-000008550000}"/>
    <cellStyle name="Comma 3 2 2 3 5 2" xfId="14363" xr:uid="{00000000-0005-0000-0000-000009550000}"/>
    <cellStyle name="Comma 3 2 2 3 5 2 2" xfId="27912" xr:uid="{00000000-0005-0000-0000-00000A550000}"/>
    <cellStyle name="Comma 3 2 2 3 5 3" xfId="22220" xr:uid="{00000000-0005-0000-0000-00000B550000}"/>
    <cellStyle name="Comma 3 2 2 3 6" xfId="5548" xr:uid="{00000000-0005-0000-0000-00000C550000}"/>
    <cellStyle name="Comma 3 2 2 3 6 2" xfId="16249" xr:uid="{00000000-0005-0000-0000-00000D550000}"/>
    <cellStyle name="Comma 3 2 2 3 6 2 2" xfId="29656" xr:uid="{00000000-0005-0000-0000-00000E550000}"/>
    <cellStyle name="Comma 3 2 2 3 6 3" xfId="22219" xr:uid="{00000000-0005-0000-0000-00000F550000}"/>
    <cellStyle name="Comma 3 2 2 3 7" xfId="9764" xr:uid="{00000000-0005-0000-0000-000010550000}"/>
    <cellStyle name="Comma 3 2 2 3 8" xfId="22228" xr:uid="{00000000-0005-0000-0000-000011550000}"/>
    <cellStyle name="Comma 3 2 2 4" xfId="5549" xr:uid="{00000000-0005-0000-0000-000012550000}"/>
    <cellStyle name="Comma 3 2 2 4 2" xfId="5550" xr:uid="{00000000-0005-0000-0000-000013550000}"/>
    <cellStyle name="Comma 3 2 2 4 2 2" xfId="17177" xr:uid="{00000000-0005-0000-0000-000014550000}"/>
    <cellStyle name="Comma 3 2 2 4 2 2 2" xfId="30536" xr:uid="{00000000-0005-0000-0000-000015550000}"/>
    <cellStyle name="Comma 3 2 2 4 2 3" xfId="22217" xr:uid="{00000000-0005-0000-0000-000016550000}"/>
    <cellStyle name="Comma 3 2 2 4 3" xfId="9766" xr:uid="{00000000-0005-0000-0000-000017550000}"/>
    <cellStyle name="Comma 3 2 2 4 4" xfId="22218" xr:uid="{00000000-0005-0000-0000-000018550000}"/>
    <cellStyle name="Comma 3 2 2 5" xfId="5551" xr:uid="{00000000-0005-0000-0000-000019550000}"/>
    <cellStyle name="Comma 3 2 2 5 2" xfId="5552" xr:uid="{00000000-0005-0000-0000-00001A550000}"/>
    <cellStyle name="Comma 3 2 2 5 2 2" xfId="11326" xr:uid="{00000000-0005-0000-0000-00001B550000}"/>
    <cellStyle name="Comma 3 2 2 5 2 3" xfId="22215" xr:uid="{00000000-0005-0000-0000-00001C550000}"/>
    <cellStyle name="Comma 3 2 2 5 3" xfId="5553" xr:uid="{00000000-0005-0000-0000-00001D550000}"/>
    <cellStyle name="Comma 3 2 2 5 3 2" xfId="17266" xr:uid="{00000000-0005-0000-0000-00001E550000}"/>
    <cellStyle name="Comma 3 2 2 5 3 2 2" xfId="30625" xr:uid="{00000000-0005-0000-0000-00001F550000}"/>
    <cellStyle name="Comma 3 2 2 5 3 3" xfId="22214" xr:uid="{00000000-0005-0000-0000-000020550000}"/>
    <cellStyle name="Comma 3 2 2 5 4" xfId="9767" xr:uid="{00000000-0005-0000-0000-000021550000}"/>
    <cellStyle name="Comma 3 2 2 5 5" xfId="22216" xr:uid="{00000000-0005-0000-0000-000022550000}"/>
    <cellStyle name="Comma 3 2 2 6" xfId="5554" xr:uid="{00000000-0005-0000-0000-000023550000}"/>
    <cellStyle name="Comma 3 2 2 6 2" xfId="5555" xr:uid="{00000000-0005-0000-0000-000024550000}"/>
    <cellStyle name="Comma 3 2 2 6 2 2" xfId="13128" xr:uid="{00000000-0005-0000-0000-000025550000}"/>
    <cellStyle name="Comma 3 2 2 6 2 3" xfId="22212" xr:uid="{00000000-0005-0000-0000-000026550000}"/>
    <cellStyle name="Comma 3 2 2 6 3" xfId="5556" xr:uid="{00000000-0005-0000-0000-000027550000}"/>
    <cellStyle name="Comma 3 2 2 6 3 2" xfId="16541" xr:uid="{00000000-0005-0000-0000-000028550000}"/>
    <cellStyle name="Comma 3 2 2 6 3 2 2" xfId="29948" xr:uid="{00000000-0005-0000-0000-000029550000}"/>
    <cellStyle name="Comma 3 2 2 6 3 3" xfId="22211" xr:uid="{00000000-0005-0000-0000-00002A550000}"/>
    <cellStyle name="Comma 3 2 2 6 4" xfId="11916" xr:uid="{00000000-0005-0000-0000-00002B550000}"/>
    <cellStyle name="Comma 3 2 2 6 4 2" xfId="25631" xr:uid="{00000000-0005-0000-0000-00002C550000}"/>
    <cellStyle name="Comma 3 2 2 6 5" xfId="22213" xr:uid="{00000000-0005-0000-0000-00002D550000}"/>
    <cellStyle name="Comma 3 2 2 7" xfId="5557" xr:uid="{00000000-0005-0000-0000-00002E550000}"/>
    <cellStyle name="Comma 3 2 2 7 2" xfId="5558" xr:uid="{00000000-0005-0000-0000-00002F550000}"/>
    <cellStyle name="Comma 3 2 2 7 2 2" xfId="15597" xr:uid="{00000000-0005-0000-0000-000030550000}"/>
    <cellStyle name="Comma 3 2 2 7 2 3" xfId="22209" xr:uid="{00000000-0005-0000-0000-000031550000}"/>
    <cellStyle name="Comma 3 2 2 7 3" xfId="13493" xr:uid="{00000000-0005-0000-0000-000032550000}"/>
    <cellStyle name="Comma 3 2 2 7 3 2" xfId="27042" xr:uid="{00000000-0005-0000-0000-000033550000}"/>
    <cellStyle name="Comma 3 2 2 7 4" xfId="22210" xr:uid="{00000000-0005-0000-0000-000034550000}"/>
    <cellStyle name="Comma 3 2 2 8" xfId="5559" xr:uid="{00000000-0005-0000-0000-000035550000}"/>
    <cellStyle name="Comma 3 2 2 8 2" xfId="14074" xr:uid="{00000000-0005-0000-0000-000036550000}"/>
    <cellStyle name="Comma 3 2 2 8 2 2" xfId="27623" xr:uid="{00000000-0005-0000-0000-000037550000}"/>
    <cellStyle name="Comma 3 2 2 8 3" xfId="22208" xr:uid="{00000000-0005-0000-0000-000038550000}"/>
    <cellStyle name="Comma 3 2 2 9" xfId="5560" xr:uid="{00000000-0005-0000-0000-000039550000}"/>
    <cellStyle name="Comma 3 2 2 9 2" xfId="15960" xr:uid="{00000000-0005-0000-0000-00003A550000}"/>
    <cellStyle name="Comma 3 2 2 9 2 2" xfId="29367" xr:uid="{00000000-0005-0000-0000-00003B550000}"/>
    <cellStyle name="Comma 3 2 2 9 3" xfId="22207" xr:uid="{00000000-0005-0000-0000-00003C550000}"/>
    <cellStyle name="Comma 3 2 3" xfId="5561" xr:uid="{00000000-0005-0000-0000-00003D550000}"/>
    <cellStyle name="Comma 3 2 3 2" xfId="5562" xr:uid="{00000000-0005-0000-0000-00003E550000}"/>
    <cellStyle name="Comma 3 2 3 2 2" xfId="5563" xr:uid="{00000000-0005-0000-0000-00003F550000}"/>
    <cellStyle name="Comma 3 2 3 2 2 2" xfId="5564" xr:uid="{00000000-0005-0000-0000-000040550000}"/>
    <cellStyle name="Comma 3 2 3 2 2 2 2" xfId="11327" xr:uid="{00000000-0005-0000-0000-000041550000}"/>
    <cellStyle name="Comma 3 2 3 2 2 2 3" xfId="22203" xr:uid="{00000000-0005-0000-0000-000042550000}"/>
    <cellStyle name="Comma 3 2 3 2 2 3" xfId="5565" xr:uid="{00000000-0005-0000-0000-000043550000}"/>
    <cellStyle name="Comma 3 2 3 2 2 3 2" xfId="16927" xr:uid="{00000000-0005-0000-0000-000044550000}"/>
    <cellStyle name="Comma 3 2 3 2 2 3 2 2" xfId="30334" xr:uid="{00000000-0005-0000-0000-000045550000}"/>
    <cellStyle name="Comma 3 2 3 2 2 3 3" xfId="22202" xr:uid="{00000000-0005-0000-0000-000046550000}"/>
    <cellStyle name="Comma 3 2 3 2 2 4" xfId="9770" xr:uid="{00000000-0005-0000-0000-000047550000}"/>
    <cellStyle name="Comma 3 2 3 2 2 5" xfId="22204" xr:uid="{00000000-0005-0000-0000-000048550000}"/>
    <cellStyle name="Comma 3 2 3 2 3" xfId="5566" xr:uid="{00000000-0005-0000-0000-000049550000}"/>
    <cellStyle name="Comma 3 2 3 2 3 2" xfId="5567" xr:uid="{00000000-0005-0000-0000-00004A550000}"/>
    <cellStyle name="Comma 3 2 3 2 3 2 2" xfId="13129" xr:uid="{00000000-0005-0000-0000-00004B550000}"/>
    <cellStyle name="Comma 3 2 3 2 3 2 3" xfId="22200" xr:uid="{00000000-0005-0000-0000-00004C550000}"/>
    <cellStyle name="Comma 3 2 3 2 3 3" xfId="12315" xr:uid="{00000000-0005-0000-0000-00004D550000}"/>
    <cellStyle name="Comma 3 2 3 2 3 3 2" xfId="26027" xr:uid="{00000000-0005-0000-0000-00004E550000}"/>
    <cellStyle name="Comma 3 2 3 2 3 4" xfId="22201" xr:uid="{00000000-0005-0000-0000-00004F550000}"/>
    <cellStyle name="Comma 3 2 3 2 4" xfId="5568" xr:uid="{00000000-0005-0000-0000-000050550000}"/>
    <cellStyle name="Comma 3 2 3 2 4 2" xfId="5569" xr:uid="{00000000-0005-0000-0000-000051550000}"/>
    <cellStyle name="Comma 3 2 3 2 4 2 2" xfId="15598" xr:uid="{00000000-0005-0000-0000-000052550000}"/>
    <cellStyle name="Comma 3 2 3 2 4 2 3" xfId="22198" xr:uid="{00000000-0005-0000-0000-000053550000}"/>
    <cellStyle name="Comma 3 2 3 2 4 3" xfId="13879" xr:uid="{00000000-0005-0000-0000-000054550000}"/>
    <cellStyle name="Comma 3 2 3 2 4 3 2" xfId="27428" xr:uid="{00000000-0005-0000-0000-000055550000}"/>
    <cellStyle name="Comma 3 2 3 2 4 4" xfId="22199" xr:uid="{00000000-0005-0000-0000-000056550000}"/>
    <cellStyle name="Comma 3 2 3 2 5" xfId="5570" xr:uid="{00000000-0005-0000-0000-000057550000}"/>
    <cellStyle name="Comma 3 2 3 2 5 2" xfId="14460" xr:uid="{00000000-0005-0000-0000-000058550000}"/>
    <cellStyle name="Comma 3 2 3 2 5 2 2" xfId="28009" xr:uid="{00000000-0005-0000-0000-000059550000}"/>
    <cellStyle name="Comma 3 2 3 2 5 3" xfId="22197" xr:uid="{00000000-0005-0000-0000-00005A550000}"/>
    <cellStyle name="Comma 3 2 3 2 6" xfId="5571" xr:uid="{00000000-0005-0000-0000-00005B550000}"/>
    <cellStyle name="Comma 3 2 3 2 6 2" xfId="16346" xr:uid="{00000000-0005-0000-0000-00005C550000}"/>
    <cellStyle name="Comma 3 2 3 2 6 2 2" xfId="29753" xr:uid="{00000000-0005-0000-0000-00005D550000}"/>
    <cellStyle name="Comma 3 2 3 2 6 3" xfId="22196" xr:uid="{00000000-0005-0000-0000-00005E550000}"/>
    <cellStyle name="Comma 3 2 3 2 7" xfId="9769" xr:uid="{00000000-0005-0000-0000-00005F550000}"/>
    <cellStyle name="Comma 3 2 3 2 8" xfId="22205" xr:uid="{00000000-0005-0000-0000-000060550000}"/>
    <cellStyle name="Comma 3 2 3 3" xfId="5572" xr:uid="{00000000-0005-0000-0000-000061550000}"/>
    <cellStyle name="Comma 3 2 3 3 2" xfId="5573" xr:uid="{00000000-0005-0000-0000-000062550000}"/>
    <cellStyle name="Comma 3 2 3 3 2 2" xfId="11328" xr:uid="{00000000-0005-0000-0000-000063550000}"/>
    <cellStyle name="Comma 3 2 3 3 2 3" xfId="22194" xr:uid="{00000000-0005-0000-0000-000064550000}"/>
    <cellStyle name="Comma 3 2 3 3 3" xfId="5574" xr:uid="{00000000-0005-0000-0000-000065550000}"/>
    <cellStyle name="Comma 3 2 3 3 3 2" xfId="16638" xr:uid="{00000000-0005-0000-0000-000066550000}"/>
    <cellStyle name="Comma 3 2 3 3 3 2 2" xfId="30045" xr:uid="{00000000-0005-0000-0000-000067550000}"/>
    <cellStyle name="Comma 3 2 3 3 3 3" xfId="22193" xr:uid="{00000000-0005-0000-0000-000068550000}"/>
    <cellStyle name="Comma 3 2 3 3 4" xfId="9771" xr:uid="{00000000-0005-0000-0000-000069550000}"/>
    <cellStyle name="Comma 3 2 3 3 5" xfId="22195" xr:uid="{00000000-0005-0000-0000-00006A550000}"/>
    <cellStyle name="Comma 3 2 3 4" xfId="5575" xr:uid="{00000000-0005-0000-0000-00006B550000}"/>
    <cellStyle name="Comma 3 2 3 4 2" xfId="5576" xr:uid="{00000000-0005-0000-0000-00006C550000}"/>
    <cellStyle name="Comma 3 2 3 4 2 2" xfId="13130" xr:uid="{00000000-0005-0000-0000-00006D550000}"/>
    <cellStyle name="Comma 3 2 3 4 2 3" xfId="22191" xr:uid="{00000000-0005-0000-0000-00006E550000}"/>
    <cellStyle name="Comma 3 2 3 4 3" xfId="12015" xr:uid="{00000000-0005-0000-0000-00006F550000}"/>
    <cellStyle name="Comma 3 2 3 4 3 2" xfId="25730" xr:uid="{00000000-0005-0000-0000-000070550000}"/>
    <cellStyle name="Comma 3 2 3 4 4" xfId="22192" xr:uid="{00000000-0005-0000-0000-000071550000}"/>
    <cellStyle name="Comma 3 2 3 5" xfId="5577" xr:uid="{00000000-0005-0000-0000-000072550000}"/>
    <cellStyle name="Comma 3 2 3 5 2" xfId="5578" xr:uid="{00000000-0005-0000-0000-000073550000}"/>
    <cellStyle name="Comma 3 2 3 5 2 2" xfId="15599" xr:uid="{00000000-0005-0000-0000-000074550000}"/>
    <cellStyle name="Comma 3 2 3 5 2 3" xfId="22189" xr:uid="{00000000-0005-0000-0000-000075550000}"/>
    <cellStyle name="Comma 3 2 3 5 3" xfId="13590" xr:uid="{00000000-0005-0000-0000-000076550000}"/>
    <cellStyle name="Comma 3 2 3 5 3 2" xfId="27139" xr:uid="{00000000-0005-0000-0000-000077550000}"/>
    <cellStyle name="Comma 3 2 3 5 4" xfId="22190" xr:uid="{00000000-0005-0000-0000-000078550000}"/>
    <cellStyle name="Comma 3 2 3 6" xfId="5579" xr:uid="{00000000-0005-0000-0000-000079550000}"/>
    <cellStyle name="Comma 3 2 3 6 2" xfId="14171" xr:uid="{00000000-0005-0000-0000-00007A550000}"/>
    <cellStyle name="Comma 3 2 3 6 2 2" xfId="27720" xr:uid="{00000000-0005-0000-0000-00007B550000}"/>
    <cellStyle name="Comma 3 2 3 6 3" xfId="22188" xr:uid="{00000000-0005-0000-0000-00007C550000}"/>
    <cellStyle name="Comma 3 2 3 7" xfId="5580" xr:uid="{00000000-0005-0000-0000-00007D550000}"/>
    <cellStyle name="Comma 3 2 3 7 2" xfId="16057" xr:uid="{00000000-0005-0000-0000-00007E550000}"/>
    <cellStyle name="Comma 3 2 3 7 2 2" xfId="29464" xr:uid="{00000000-0005-0000-0000-00007F550000}"/>
    <cellStyle name="Comma 3 2 3 7 3" xfId="22187" xr:uid="{00000000-0005-0000-0000-000080550000}"/>
    <cellStyle name="Comma 3 2 3 8" xfId="9768" xr:uid="{00000000-0005-0000-0000-000081550000}"/>
    <cellStyle name="Comma 3 2 3 9" xfId="22206" xr:uid="{00000000-0005-0000-0000-000082550000}"/>
    <cellStyle name="Comma 3 2 4" xfId="5581" xr:uid="{00000000-0005-0000-0000-000083550000}"/>
    <cellStyle name="Comma 3 2 4 2" xfId="5582" xr:uid="{00000000-0005-0000-0000-000084550000}"/>
    <cellStyle name="Comma 3 2 4 2 2" xfId="5583" xr:uid="{00000000-0005-0000-0000-000085550000}"/>
    <cellStyle name="Comma 3 2 4 2 2 2" xfId="11329" xr:uid="{00000000-0005-0000-0000-000086550000}"/>
    <cellStyle name="Comma 3 2 4 2 2 3" xfId="22184" xr:uid="{00000000-0005-0000-0000-000087550000}"/>
    <cellStyle name="Comma 3 2 4 2 3" xfId="5584" xr:uid="{00000000-0005-0000-0000-000088550000}"/>
    <cellStyle name="Comma 3 2 4 2 3 2" xfId="16784" xr:uid="{00000000-0005-0000-0000-000089550000}"/>
    <cellStyle name="Comma 3 2 4 2 3 2 2" xfId="30191" xr:uid="{00000000-0005-0000-0000-00008A550000}"/>
    <cellStyle name="Comma 3 2 4 2 3 3" xfId="22183" xr:uid="{00000000-0005-0000-0000-00008B550000}"/>
    <cellStyle name="Comma 3 2 4 2 4" xfId="9773" xr:uid="{00000000-0005-0000-0000-00008C550000}"/>
    <cellStyle name="Comma 3 2 4 2 5" xfId="22185" xr:uid="{00000000-0005-0000-0000-00008D550000}"/>
    <cellStyle name="Comma 3 2 4 3" xfId="5585" xr:uid="{00000000-0005-0000-0000-00008E550000}"/>
    <cellStyle name="Comma 3 2 4 3 2" xfId="5586" xr:uid="{00000000-0005-0000-0000-00008F550000}"/>
    <cellStyle name="Comma 3 2 4 3 2 2" xfId="13131" xr:uid="{00000000-0005-0000-0000-000090550000}"/>
    <cellStyle name="Comma 3 2 4 3 2 3" xfId="22181" xr:uid="{00000000-0005-0000-0000-000091550000}"/>
    <cellStyle name="Comma 3 2 4 3 3" xfId="12172" xr:uid="{00000000-0005-0000-0000-000092550000}"/>
    <cellStyle name="Comma 3 2 4 3 3 2" xfId="25884" xr:uid="{00000000-0005-0000-0000-000093550000}"/>
    <cellStyle name="Comma 3 2 4 3 4" xfId="22182" xr:uid="{00000000-0005-0000-0000-000094550000}"/>
    <cellStyle name="Comma 3 2 4 4" xfId="5587" xr:uid="{00000000-0005-0000-0000-000095550000}"/>
    <cellStyle name="Comma 3 2 4 4 2" xfId="5588" xr:uid="{00000000-0005-0000-0000-000096550000}"/>
    <cellStyle name="Comma 3 2 4 4 2 2" xfId="15600" xr:uid="{00000000-0005-0000-0000-000097550000}"/>
    <cellStyle name="Comma 3 2 4 4 2 3" xfId="22179" xr:uid="{00000000-0005-0000-0000-000098550000}"/>
    <cellStyle name="Comma 3 2 4 4 3" xfId="13736" xr:uid="{00000000-0005-0000-0000-000099550000}"/>
    <cellStyle name="Comma 3 2 4 4 3 2" xfId="27285" xr:uid="{00000000-0005-0000-0000-00009A550000}"/>
    <cellStyle name="Comma 3 2 4 4 4" xfId="22180" xr:uid="{00000000-0005-0000-0000-00009B550000}"/>
    <cellStyle name="Comma 3 2 4 5" xfId="5589" xr:uid="{00000000-0005-0000-0000-00009C550000}"/>
    <cellStyle name="Comma 3 2 4 5 2" xfId="14317" xr:uid="{00000000-0005-0000-0000-00009D550000}"/>
    <cellStyle name="Comma 3 2 4 5 2 2" xfId="27866" xr:uid="{00000000-0005-0000-0000-00009E550000}"/>
    <cellStyle name="Comma 3 2 4 5 3" xfId="22178" xr:uid="{00000000-0005-0000-0000-00009F550000}"/>
    <cellStyle name="Comma 3 2 4 6" xfId="5590" xr:uid="{00000000-0005-0000-0000-0000A0550000}"/>
    <cellStyle name="Comma 3 2 4 6 2" xfId="16203" xr:uid="{00000000-0005-0000-0000-0000A1550000}"/>
    <cellStyle name="Comma 3 2 4 6 2 2" xfId="29610" xr:uid="{00000000-0005-0000-0000-0000A2550000}"/>
    <cellStyle name="Comma 3 2 4 6 3" xfId="22177" xr:uid="{00000000-0005-0000-0000-0000A3550000}"/>
    <cellStyle name="Comma 3 2 4 7" xfId="9772" xr:uid="{00000000-0005-0000-0000-0000A4550000}"/>
    <cellStyle name="Comma 3 2 4 8" xfId="22186" xr:uid="{00000000-0005-0000-0000-0000A5550000}"/>
    <cellStyle name="Comma 3 2 5" xfId="5591" xr:uid="{00000000-0005-0000-0000-0000A6550000}"/>
    <cellStyle name="Comma 3 2 5 2" xfId="5592" xr:uid="{00000000-0005-0000-0000-0000A7550000}"/>
    <cellStyle name="Comma 3 2 5 2 2" xfId="5593" xr:uid="{00000000-0005-0000-0000-0000A8550000}"/>
    <cellStyle name="Comma 3 2 5 2 2 2" xfId="11331" xr:uid="{00000000-0005-0000-0000-0000A9550000}"/>
    <cellStyle name="Comma 3 2 5 2 2 3" xfId="22174" xr:uid="{00000000-0005-0000-0000-0000AA550000}"/>
    <cellStyle name="Comma 3 2 5 2 3" xfId="9775" xr:uid="{00000000-0005-0000-0000-0000AB550000}"/>
    <cellStyle name="Comma 3 2 5 2 4" xfId="22175" xr:uid="{00000000-0005-0000-0000-0000AC550000}"/>
    <cellStyle name="Comma 3 2 5 3" xfId="5594" xr:uid="{00000000-0005-0000-0000-0000AD550000}"/>
    <cellStyle name="Comma 3 2 5 3 2" xfId="11330" xr:uid="{00000000-0005-0000-0000-0000AE550000}"/>
    <cellStyle name="Comma 3 2 5 3 3" xfId="22173" xr:uid="{00000000-0005-0000-0000-0000AF550000}"/>
    <cellStyle name="Comma 3 2 5 4" xfId="5595" xr:uid="{00000000-0005-0000-0000-0000B0550000}"/>
    <cellStyle name="Comma 3 2 5 4 2" xfId="17020" xr:uid="{00000000-0005-0000-0000-0000B1550000}"/>
    <cellStyle name="Comma 3 2 5 4 2 2" xfId="30427" xr:uid="{00000000-0005-0000-0000-0000B2550000}"/>
    <cellStyle name="Comma 3 2 5 4 3" xfId="22172" xr:uid="{00000000-0005-0000-0000-0000B3550000}"/>
    <cellStyle name="Comma 3 2 5 5" xfId="9774" xr:uid="{00000000-0005-0000-0000-0000B4550000}"/>
    <cellStyle name="Comma 3 2 5 6" xfId="22176" xr:uid="{00000000-0005-0000-0000-0000B5550000}"/>
    <cellStyle name="Comma 3 2 6" xfId="5596" xr:uid="{00000000-0005-0000-0000-0000B6550000}"/>
    <cellStyle name="Comma 3 2 6 2" xfId="5597" xr:uid="{00000000-0005-0000-0000-0000B7550000}"/>
    <cellStyle name="Comma 3 2 6 2 2" xfId="17131" xr:uid="{00000000-0005-0000-0000-0000B8550000}"/>
    <cellStyle name="Comma 3 2 6 2 2 2" xfId="30490" xr:uid="{00000000-0005-0000-0000-0000B9550000}"/>
    <cellStyle name="Comma 3 2 6 2 3" xfId="22170" xr:uid="{00000000-0005-0000-0000-0000BA550000}"/>
    <cellStyle name="Comma 3 2 6 3" xfId="9776" xr:uid="{00000000-0005-0000-0000-0000BB550000}"/>
    <cellStyle name="Comma 3 2 6 4" xfId="22171" xr:uid="{00000000-0005-0000-0000-0000BC550000}"/>
    <cellStyle name="Comma 3 2 7" xfId="5598" xr:uid="{00000000-0005-0000-0000-0000BD550000}"/>
    <cellStyle name="Comma 3 2 7 2" xfId="5599" xr:uid="{00000000-0005-0000-0000-0000BE550000}"/>
    <cellStyle name="Comma 3 2 7 2 2" xfId="11332" xr:uid="{00000000-0005-0000-0000-0000BF550000}"/>
    <cellStyle name="Comma 3 2 7 2 3" xfId="22168" xr:uid="{00000000-0005-0000-0000-0000C0550000}"/>
    <cellStyle name="Comma 3 2 7 3" xfId="5600" xr:uid="{00000000-0005-0000-0000-0000C1550000}"/>
    <cellStyle name="Comma 3 2 7 3 2" xfId="17220" xr:uid="{00000000-0005-0000-0000-0000C2550000}"/>
    <cellStyle name="Comma 3 2 7 3 2 2" xfId="30579" xr:uid="{00000000-0005-0000-0000-0000C3550000}"/>
    <cellStyle name="Comma 3 2 7 3 3" xfId="22167" xr:uid="{00000000-0005-0000-0000-0000C4550000}"/>
    <cellStyle name="Comma 3 2 7 4" xfId="9777" xr:uid="{00000000-0005-0000-0000-0000C5550000}"/>
    <cellStyle name="Comma 3 2 7 5" xfId="22169" xr:uid="{00000000-0005-0000-0000-0000C6550000}"/>
    <cellStyle name="Comma 3 2 8" xfId="5601" xr:uid="{00000000-0005-0000-0000-0000C7550000}"/>
    <cellStyle name="Comma 3 2 8 2" xfId="5602" xr:uid="{00000000-0005-0000-0000-0000C8550000}"/>
    <cellStyle name="Comma 3 2 8 2 2" xfId="11333" xr:uid="{00000000-0005-0000-0000-0000C9550000}"/>
    <cellStyle name="Comma 3 2 8 2 3" xfId="22165" xr:uid="{00000000-0005-0000-0000-0000CA550000}"/>
    <cellStyle name="Comma 3 2 8 3" xfId="5603" xr:uid="{00000000-0005-0000-0000-0000CB550000}"/>
    <cellStyle name="Comma 3 2 8 3 2" xfId="16495" xr:uid="{00000000-0005-0000-0000-0000CC550000}"/>
    <cellStyle name="Comma 3 2 8 3 2 2" xfId="29902" xr:uid="{00000000-0005-0000-0000-0000CD550000}"/>
    <cellStyle name="Comma 3 2 8 3 3" xfId="22164" xr:uid="{00000000-0005-0000-0000-0000CE550000}"/>
    <cellStyle name="Comma 3 2 8 4" xfId="9778" xr:uid="{00000000-0005-0000-0000-0000CF550000}"/>
    <cellStyle name="Comma 3 2 8 5" xfId="22166" xr:uid="{00000000-0005-0000-0000-0000D0550000}"/>
    <cellStyle name="Comma 3 2 9" xfId="5604" xr:uid="{00000000-0005-0000-0000-0000D1550000}"/>
    <cellStyle name="Comma 3 2 9 2" xfId="5605" xr:uid="{00000000-0005-0000-0000-0000D2550000}"/>
    <cellStyle name="Comma 3 2 9 2 2" xfId="13132" xr:uid="{00000000-0005-0000-0000-0000D3550000}"/>
    <cellStyle name="Comma 3 2 9 2 2 2" xfId="26844" xr:uid="{00000000-0005-0000-0000-0000D4550000}"/>
    <cellStyle name="Comma 3 2 9 2 3" xfId="22162" xr:uid="{00000000-0005-0000-0000-0000D5550000}"/>
    <cellStyle name="Comma 3 2 9 3" xfId="5606" xr:uid="{00000000-0005-0000-0000-0000D6550000}"/>
    <cellStyle name="Comma 3 2 9 3 2" xfId="15601" xr:uid="{00000000-0005-0000-0000-0000D7550000}"/>
    <cellStyle name="Comma 3 2 9 3 3" xfId="22161" xr:uid="{00000000-0005-0000-0000-0000D8550000}"/>
    <cellStyle name="Comma 3 2 9 4" xfId="10540" xr:uid="{00000000-0005-0000-0000-0000D9550000}"/>
    <cellStyle name="Comma 3 2 9 4 2" xfId="24482" xr:uid="{00000000-0005-0000-0000-0000DA550000}"/>
    <cellStyle name="Comma 3 2 9 5" xfId="22163" xr:uid="{00000000-0005-0000-0000-0000DB550000}"/>
    <cellStyle name="Comma 3 20" xfId="5607" xr:uid="{00000000-0005-0000-0000-0000DC550000}"/>
    <cellStyle name="Comma 3 20 2" xfId="5608" xr:uid="{00000000-0005-0000-0000-0000DD550000}"/>
    <cellStyle name="Comma 3 20 2 2" xfId="11334" xr:uid="{00000000-0005-0000-0000-0000DE550000}"/>
    <cellStyle name="Comma 3 20 2 3" xfId="22159" xr:uid="{00000000-0005-0000-0000-0000DF550000}"/>
    <cellStyle name="Comma 3 20 3" xfId="9779" xr:uid="{00000000-0005-0000-0000-0000E0550000}"/>
    <cellStyle name="Comma 3 20 4" xfId="22160" xr:uid="{00000000-0005-0000-0000-0000E1550000}"/>
    <cellStyle name="Comma 3 21" xfId="5609" xr:uid="{00000000-0005-0000-0000-0000E2550000}"/>
    <cellStyle name="Comma 3 21 2" xfId="5610" xr:uid="{00000000-0005-0000-0000-0000E3550000}"/>
    <cellStyle name="Comma 3 21 2 2" xfId="11722" xr:uid="{00000000-0005-0000-0000-0000E4550000}"/>
    <cellStyle name="Comma 3 21 2 2 2" xfId="25442" xr:uid="{00000000-0005-0000-0000-0000E5550000}"/>
    <cellStyle name="Comma 3 21 2 3" xfId="22157" xr:uid="{00000000-0005-0000-0000-0000E6550000}"/>
    <cellStyle name="Comma 3 21 3" xfId="5611" xr:uid="{00000000-0005-0000-0000-0000E7550000}"/>
    <cellStyle name="Comma 3 21 3 2" xfId="13133" xr:uid="{00000000-0005-0000-0000-0000E8550000}"/>
    <cellStyle name="Comma 3 21 3 2 2" xfId="26845" xr:uid="{00000000-0005-0000-0000-0000E9550000}"/>
    <cellStyle name="Comma 3 21 3 3" xfId="22156" xr:uid="{00000000-0005-0000-0000-0000EA550000}"/>
    <cellStyle name="Comma 3 21 4" xfId="5612" xr:uid="{00000000-0005-0000-0000-0000EB550000}"/>
    <cellStyle name="Comma 3 21 4 2" xfId="15602" xr:uid="{00000000-0005-0000-0000-0000EC550000}"/>
    <cellStyle name="Comma 3 21 4 3" xfId="22155" xr:uid="{00000000-0005-0000-0000-0000ED550000}"/>
    <cellStyle name="Comma 3 21 5" xfId="10487" xr:uid="{00000000-0005-0000-0000-0000EE550000}"/>
    <cellStyle name="Comma 3 21 5 2" xfId="24446" xr:uid="{00000000-0005-0000-0000-0000EF550000}"/>
    <cellStyle name="Comma 3 21 6" xfId="22158" xr:uid="{00000000-0005-0000-0000-0000F0550000}"/>
    <cellStyle name="Comma 3 22" xfId="5613" xr:uid="{00000000-0005-0000-0000-0000F1550000}"/>
    <cellStyle name="Comma 3 22 2" xfId="5614" xr:uid="{00000000-0005-0000-0000-0000F2550000}"/>
    <cellStyle name="Comma 3 22 2 2" xfId="13134" xr:uid="{00000000-0005-0000-0000-0000F3550000}"/>
    <cellStyle name="Comma 3 22 2 2 2" xfId="26846" xr:uid="{00000000-0005-0000-0000-0000F4550000}"/>
    <cellStyle name="Comma 3 22 2 3" xfId="22153" xr:uid="{00000000-0005-0000-0000-0000F5550000}"/>
    <cellStyle name="Comma 3 22 3" xfId="5615" xr:uid="{00000000-0005-0000-0000-0000F6550000}"/>
    <cellStyle name="Comma 3 22 3 2" xfId="15603" xr:uid="{00000000-0005-0000-0000-0000F7550000}"/>
    <cellStyle name="Comma 3 22 3 3" xfId="22152" xr:uid="{00000000-0005-0000-0000-0000F8550000}"/>
    <cellStyle name="Comma 3 22 4" xfId="10517" xr:uid="{00000000-0005-0000-0000-0000F9550000}"/>
    <cellStyle name="Comma 3 22 4 2" xfId="24465" xr:uid="{00000000-0005-0000-0000-0000FA550000}"/>
    <cellStyle name="Comma 3 22 5" xfId="22154" xr:uid="{00000000-0005-0000-0000-0000FB550000}"/>
    <cellStyle name="Comma 3 23" xfId="5616" xr:uid="{00000000-0005-0000-0000-0000FC550000}"/>
    <cellStyle name="Comma 3 23 2" xfId="11314" xr:uid="{00000000-0005-0000-0000-0000FD550000}"/>
    <cellStyle name="Comma 3 23 3" xfId="22151" xr:uid="{00000000-0005-0000-0000-0000FE550000}"/>
    <cellStyle name="Comma 3 24" xfId="5617" xr:uid="{00000000-0005-0000-0000-0000FF550000}"/>
    <cellStyle name="Comma 3 24 2" xfId="11760" xr:uid="{00000000-0005-0000-0000-000000560000}"/>
    <cellStyle name="Comma 3 24 2 2" xfId="25475" xr:uid="{00000000-0005-0000-0000-000001560000}"/>
    <cellStyle name="Comma 3 24 3" xfId="22150" xr:uid="{00000000-0005-0000-0000-000002560000}"/>
    <cellStyle name="Comma 3 25" xfId="5618" xr:uid="{00000000-0005-0000-0000-000003560000}"/>
    <cellStyle name="Comma 3 25 2" xfId="13390" xr:uid="{00000000-0005-0000-0000-000004560000}"/>
    <cellStyle name="Comma 3 25 2 2" xfId="26939" xr:uid="{00000000-0005-0000-0000-000005560000}"/>
    <cellStyle name="Comma 3 25 3" xfId="22149" xr:uid="{00000000-0005-0000-0000-000006560000}"/>
    <cellStyle name="Comma 3 26" xfId="5619" xr:uid="{00000000-0005-0000-0000-000007560000}"/>
    <cellStyle name="Comma 3 26 2" xfId="13971" xr:uid="{00000000-0005-0000-0000-000008560000}"/>
    <cellStyle name="Comma 3 26 2 2" xfId="27520" xr:uid="{00000000-0005-0000-0000-000009560000}"/>
    <cellStyle name="Comma 3 26 3" xfId="22148" xr:uid="{00000000-0005-0000-0000-00000A560000}"/>
    <cellStyle name="Comma 3 27" xfId="5620" xr:uid="{00000000-0005-0000-0000-00000B560000}"/>
    <cellStyle name="Comma 3 27 2" xfId="15829" xr:uid="{00000000-0005-0000-0000-00000C560000}"/>
    <cellStyle name="Comma 3 27 2 2" xfId="29236" xr:uid="{00000000-0005-0000-0000-00000D560000}"/>
    <cellStyle name="Comma 3 27 3" xfId="22147" xr:uid="{00000000-0005-0000-0000-00000E560000}"/>
    <cellStyle name="Comma 3 28" xfId="5621" xr:uid="{00000000-0005-0000-0000-00000F560000}"/>
    <cellStyle name="Comma 3 28 2" xfId="15857" xr:uid="{00000000-0005-0000-0000-000010560000}"/>
    <cellStyle name="Comma 3 28 2 2" xfId="29264" xr:uid="{00000000-0005-0000-0000-000011560000}"/>
    <cellStyle name="Comma 3 28 3" xfId="22146" xr:uid="{00000000-0005-0000-0000-000012560000}"/>
    <cellStyle name="Comma 3 29" xfId="8659" xr:uid="{00000000-0005-0000-0000-000013560000}"/>
    <cellStyle name="Comma 3 29 2" xfId="9746" xr:uid="{00000000-0005-0000-0000-000014560000}"/>
    <cellStyle name="Comma 3 3" xfId="5622" xr:uid="{00000000-0005-0000-0000-000015560000}"/>
    <cellStyle name="Comma 3 3 10" xfId="5623" xr:uid="{00000000-0005-0000-0000-000016560000}"/>
    <cellStyle name="Comma 3 3 10 2" xfId="17331" xr:uid="{00000000-0005-0000-0000-000017560000}"/>
    <cellStyle name="Comma 3 3 10 3" xfId="22144" xr:uid="{00000000-0005-0000-0000-000018560000}"/>
    <cellStyle name="Comma 3 3 11" xfId="8739" xr:uid="{00000000-0005-0000-0000-000019560000}"/>
    <cellStyle name="Comma 3 3 12" xfId="9780" xr:uid="{00000000-0005-0000-0000-00001A560000}"/>
    <cellStyle name="Comma 3 3 13" xfId="22145" xr:uid="{00000000-0005-0000-0000-00001B560000}"/>
    <cellStyle name="Comma 3 3 2" xfId="5624" xr:uid="{00000000-0005-0000-0000-00001C560000}"/>
    <cellStyle name="Comma 3 3 2 2" xfId="5625" xr:uid="{00000000-0005-0000-0000-00001D560000}"/>
    <cellStyle name="Comma 3 3 2 2 2" xfId="5626" xr:uid="{00000000-0005-0000-0000-00001E560000}"/>
    <cellStyle name="Comma 3 3 2 2 2 2" xfId="5627" xr:uid="{00000000-0005-0000-0000-00001F560000}"/>
    <cellStyle name="Comma 3 3 2 2 2 2 2" xfId="11335" xr:uid="{00000000-0005-0000-0000-000020560000}"/>
    <cellStyle name="Comma 3 3 2 2 2 2 3" xfId="22140" xr:uid="{00000000-0005-0000-0000-000021560000}"/>
    <cellStyle name="Comma 3 3 2 2 2 3" xfId="5628" xr:uid="{00000000-0005-0000-0000-000022560000}"/>
    <cellStyle name="Comma 3 3 2 2 2 3 2" xfId="16950" xr:uid="{00000000-0005-0000-0000-000023560000}"/>
    <cellStyle name="Comma 3 3 2 2 2 3 2 2" xfId="30357" xr:uid="{00000000-0005-0000-0000-000024560000}"/>
    <cellStyle name="Comma 3 3 2 2 2 3 3" xfId="22139" xr:uid="{00000000-0005-0000-0000-000025560000}"/>
    <cellStyle name="Comma 3 3 2 2 2 4" xfId="9783" xr:uid="{00000000-0005-0000-0000-000026560000}"/>
    <cellStyle name="Comma 3 3 2 2 2 5" xfId="22141" xr:uid="{00000000-0005-0000-0000-000027560000}"/>
    <cellStyle name="Comma 3 3 2 2 3" xfId="5629" xr:uid="{00000000-0005-0000-0000-000028560000}"/>
    <cellStyle name="Comma 3 3 2 2 3 2" xfId="5630" xr:uid="{00000000-0005-0000-0000-000029560000}"/>
    <cellStyle name="Comma 3 3 2 2 3 2 2" xfId="13135" xr:uid="{00000000-0005-0000-0000-00002A560000}"/>
    <cellStyle name="Comma 3 3 2 2 3 2 3" xfId="22137" xr:uid="{00000000-0005-0000-0000-00002B560000}"/>
    <cellStyle name="Comma 3 3 2 2 3 3" xfId="12338" xr:uid="{00000000-0005-0000-0000-00002C560000}"/>
    <cellStyle name="Comma 3 3 2 2 3 3 2" xfId="26050" xr:uid="{00000000-0005-0000-0000-00002D560000}"/>
    <cellStyle name="Comma 3 3 2 2 3 4" xfId="22138" xr:uid="{00000000-0005-0000-0000-00002E560000}"/>
    <cellStyle name="Comma 3 3 2 2 4" xfId="5631" xr:uid="{00000000-0005-0000-0000-00002F560000}"/>
    <cellStyle name="Comma 3 3 2 2 4 2" xfId="5632" xr:uid="{00000000-0005-0000-0000-000030560000}"/>
    <cellStyle name="Comma 3 3 2 2 4 2 2" xfId="15604" xr:uid="{00000000-0005-0000-0000-000031560000}"/>
    <cellStyle name="Comma 3 3 2 2 4 2 3" xfId="22135" xr:uid="{00000000-0005-0000-0000-000032560000}"/>
    <cellStyle name="Comma 3 3 2 2 4 3" xfId="13902" xr:uid="{00000000-0005-0000-0000-000033560000}"/>
    <cellStyle name="Comma 3 3 2 2 4 3 2" xfId="27451" xr:uid="{00000000-0005-0000-0000-000034560000}"/>
    <cellStyle name="Comma 3 3 2 2 4 4" xfId="22136" xr:uid="{00000000-0005-0000-0000-000035560000}"/>
    <cellStyle name="Comma 3 3 2 2 5" xfId="5633" xr:uid="{00000000-0005-0000-0000-000036560000}"/>
    <cellStyle name="Comma 3 3 2 2 5 2" xfId="14483" xr:uid="{00000000-0005-0000-0000-000037560000}"/>
    <cellStyle name="Comma 3 3 2 2 5 2 2" xfId="28032" xr:uid="{00000000-0005-0000-0000-000038560000}"/>
    <cellStyle name="Comma 3 3 2 2 5 3" xfId="22134" xr:uid="{00000000-0005-0000-0000-000039560000}"/>
    <cellStyle name="Comma 3 3 2 2 6" xfId="5634" xr:uid="{00000000-0005-0000-0000-00003A560000}"/>
    <cellStyle name="Comma 3 3 2 2 6 2" xfId="16369" xr:uid="{00000000-0005-0000-0000-00003B560000}"/>
    <cellStyle name="Comma 3 3 2 2 6 2 2" xfId="29776" xr:uid="{00000000-0005-0000-0000-00003C560000}"/>
    <cellStyle name="Comma 3 3 2 2 6 3" xfId="22133" xr:uid="{00000000-0005-0000-0000-00003D560000}"/>
    <cellStyle name="Comma 3 3 2 2 7" xfId="9782" xr:uid="{00000000-0005-0000-0000-00003E560000}"/>
    <cellStyle name="Comma 3 3 2 2 8" xfId="22142" xr:uid="{00000000-0005-0000-0000-00003F560000}"/>
    <cellStyle name="Comma 3 3 2 3" xfId="5635" xr:uid="{00000000-0005-0000-0000-000040560000}"/>
    <cellStyle name="Comma 3 3 2 3 2" xfId="5636" xr:uid="{00000000-0005-0000-0000-000041560000}"/>
    <cellStyle name="Comma 3 3 2 3 2 2" xfId="11336" xr:uid="{00000000-0005-0000-0000-000042560000}"/>
    <cellStyle name="Comma 3 3 2 3 2 3" xfId="22131" xr:uid="{00000000-0005-0000-0000-000043560000}"/>
    <cellStyle name="Comma 3 3 2 3 3" xfId="5637" xr:uid="{00000000-0005-0000-0000-000044560000}"/>
    <cellStyle name="Comma 3 3 2 3 3 2" xfId="16661" xr:uid="{00000000-0005-0000-0000-000045560000}"/>
    <cellStyle name="Comma 3 3 2 3 3 2 2" xfId="30068" xr:uid="{00000000-0005-0000-0000-000046560000}"/>
    <cellStyle name="Comma 3 3 2 3 3 3" xfId="22130" xr:uid="{00000000-0005-0000-0000-000047560000}"/>
    <cellStyle name="Comma 3 3 2 3 4" xfId="9784" xr:uid="{00000000-0005-0000-0000-000048560000}"/>
    <cellStyle name="Comma 3 3 2 3 5" xfId="22132" xr:uid="{00000000-0005-0000-0000-000049560000}"/>
    <cellStyle name="Comma 3 3 2 4" xfId="5638" xr:uid="{00000000-0005-0000-0000-00004A560000}"/>
    <cellStyle name="Comma 3 3 2 4 2" xfId="5639" xr:uid="{00000000-0005-0000-0000-00004B560000}"/>
    <cellStyle name="Comma 3 3 2 4 2 2" xfId="13136" xr:uid="{00000000-0005-0000-0000-00004C560000}"/>
    <cellStyle name="Comma 3 3 2 4 2 3" xfId="22128" xr:uid="{00000000-0005-0000-0000-00004D560000}"/>
    <cellStyle name="Comma 3 3 2 4 3" xfId="12038" xr:uid="{00000000-0005-0000-0000-00004E560000}"/>
    <cellStyle name="Comma 3 3 2 4 3 2" xfId="25753" xr:uid="{00000000-0005-0000-0000-00004F560000}"/>
    <cellStyle name="Comma 3 3 2 4 4" xfId="22129" xr:uid="{00000000-0005-0000-0000-000050560000}"/>
    <cellStyle name="Comma 3 3 2 5" xfId="5640" xr:uid="{00000000-0005-0000-0000-000051560000}"/>
    <cellStyle name="Comma 3 3 2 5 2" xfId="5641" xr:uid="{00000000-0005-0000-0000-000052560000}"/>
    <cellStyle name="Comma 3 3 2 5 2 2" xfId="15605" xr:uid="{00000000-0005-0000-0000-000053560000}"/>
    <cellStyle name="Comma 3 3 2 5 2 3" xfId="22126" xr:uid="{00000000-0005-0000-0000-000054560000}"/>
    <cellStyle name="Comma 3 3 2 5 3" xfId="13613" xr:uid="{00000000-0005-0000-0000-000055560000}"/>
    <cellStyle name="Comma 3 3 2 5 3 2" xfId="27162" xr:uid="{00000000-0005-0000-0000-000056560000}"/>
    <cellStyle name="Comma 3 3 2 5 4" xfId="22127" xr:uid="{00000000-0005-0000-0000-000057560000}"/>
    <cellStyle name="Comma 3 3 2 6" xfId="5642" xr:uid="{00000000-0005-0000-0000-000058560000}"/>
    <cellStyle name="Comma 3 3 2 6 2" xfId="14194" xr:uid="{00000000-0005-0000-0000-000059560000}"/>
    <cellStyle name="Comma 3 3 2 6 2 2" xfId="27743" xr:uid="{00000000-0005-0000-0000-00005A560000}"/>
    <cellStyle name="Comma 3 3 2 6 3" xfId="22125" xr:uid="{00000000-0005-0000-0000-00005B560000}"/>
    <cellStyle name="Comma 3 3 2 7" xfId="5643" xr:uid="{00000000-0005-0000-0000-00005C560000}"/>
    <cellStyle name="Comma 3 3 2 7 2" xfId="16080" xr:uid="{00000000-0005-0000-0000-00005D560000}"/>
    <cellStyle name="Comma 3 3 2 7 2 2" xfId="29487" xr:uid="{00000000-0005-0000-0000-00005E560000}"/>
    <cellStyle name="Comma 3 3 2 7 3" xfId="22124" xr:uid="{00000000-0005-0000-0000-00005F560000}"/>
    <cellStyle name="Comma 3 3 2 8" xfId="9781" xr:uid="{00000000-0005-0000-0000-000060560000}"/>
    <cellStyle name="Comma 3 3 2 9" xfId="22143" xr:uid="{00000000-0005-0000-0000-000061560000}"/>
    <cellStyle name="Comma 3 3 3" xfId="5644" xr:uid="{00000000-0005-0000-0000-000062560000}"/>
    <cellStyle name="Comma 3 3 3 2" xfId="5645" xr:uid="{00000000-0005-0000-0000-000063560000}"/>
    <cellStyle name="Comma 3 3 3 2 2" xfId="5646" xr:uid="{00000000-0005-0000-0000-000064560000}"/>
    <cellStyle name="Comma 3 3 3 2 2 2" xfId="11337" xr:uid="{00000000-0005-0000-0000-000065560000}"/>
    <cellStyle name="Comma 3 3 3 2 2 3" xfId="22121" xr:uid="{00000000-0005-0000-0000-000066560000}"/>
    <cellStyle name="Comma 3 3 3 2 3" xfId="5647" xr:uid="{00000000-0005-0000-0000-000067560000}"/>
    <cellStyle name="Comma 3 3 3 2 3 2" xfId="16807" xr:uid="{00000000-0005-0000-0000-000068560000}"/>
    <cellStyle name="Comma 3 3 3 2 3 2 2" xfId="30214" xr:uid="{00000000-0005-0000-0000-000069560000}"/>
    <cellStyle name="Comma 3 3 3 2 3 3" xfId="22120" xr:uid="{00000000-0005-0000-0000-00006A560000}"/>
    <cellStyle name="Comma 3 3 3 2 4" xfId="9786" xr:uid="{00000000-0005-0000-0000-00006B560000}"/>
    <cellStyle name="Comma 3 3 3 2 5" xfId="22122" xr:uid="{00000000-0005-0000-0000-00006C560000}"/>
    <cellStyle name="Comma 3 3 3 3" xfId="5648" xr:uid="{00000000-0005-0000-0000-00006D560000}"/>
    <cellStyle name="Comma 3 3 3 3 2" xfId="5649" xr:uid="{00000000-0005-0000-0000-00006E560000}"/>
    <cellStyle name="Comma 3 3 3 3 2 2" xfId="13137" xr:uid="{00000000-0005-0000-0000-00006F560000}"/>
    <cellStyle name="Comma 3 3 3 3 2 3" xfId="22118" xr:uid="{00000000-0005-0000-0000-000070560000}"/>
    <cellStyle name="Comma 3 3 3 3 3" xfId="12195" xr:uid="{00000000-0005-0000-0000-000071560000}"/>
    <cellStyle name="Comma 3 3 3 3 3 2" xfId="25907" xr:uid="{00000000-0005-0000-0000-000072560000}"/>
    <cellStyle name="Comma 3 3 3 3 4" xfId="22119" xr:uid="{00000000-0005-0000-0000-000073560000}"/>
    <cellStyle name="Comma 3 3 3 4" xfId="5650" xr:uid="{00000000-0005-0000-0000-000074560000}"/>
    <cellStyle name="Comma 3 3 3 4 2" xfId="5651" xr:uid="{00000000-0005-0000-0000-000075560000}"/>
    <cellStyle name="Comma 3 3 3 4 2 2" xfId="15606" xr:uid="{00000000-0005-0000-0000-000076560000}"/>
    <cellStyle name="Comma 3 3 3 4 2 3" xfId="22116" xr:uid="{00000000-0005-0000-0000-000077560000}"/>
    <cellStyle name="Comma 3 3 3 4 3" xfId="13759" xr:uid="{00000000-0005-0000-0000-000078560000}"/>
    <cellStyle name="Comma 3 3 3 4 3 2" xfId="27308" xr:uid="{00000000-0005-0000-0000-000079560000}"/>
    <cellStyle name="Comma 3 3 3 4 4" xfId="22117" xr:uid="{00000000-0005-0000-0000-00007A560000}"/>
    <cellStyle name="Comma 3 3 3 5" xfId="5652" xr:uid="{00000000-0005-0000-0000-00007B560000}"/>
    <cellStyle name="Comma 3 3 3 5 2" xfId="14340" xr:uid="{00000000-0005-0000-0000-00007C560000}"/>
    <cellStyle name="Comma 3 3 3 5 2 2" xfId="27889" xr:uid="{00000000-0005-0000-0000-00007D560000}"/>
    <cellStyle name="Comma 3 3 3 5 3" xfId="22115" xr:uid="{00000000-0005-0000-0000-00007E560000}"/>
    <cellStyle name="Comma 3 3 3 6" xfId="5653" xr:uid="{00000000-0005-0000-0000-00007F560000}"/>
    <cellStyle name="Comma 3 3 3 6 2" xfId="16226" xr:uid="{00000000-0005-0000-0000-000080560000}"/>
    <cellStyle name="Comma 3 3 3 6 2 2" xfId="29633" xr:uid="{00000000-0005-0000-0000-000081560000}"/>
    <cellStyle name="Comma 3 3 3 6 3" xfId="22114" xr:uid="{00000000-0005-0000-0000-000082560000}"/>
    <cellStyle name="Comma 3 3 3 7" xfId="9785" xr:uid="{00000000-0005-0000-0000-000083560000}"/>
    <cellStyle name="Comma 3 3 3 8" xfId="22123" xr:uid="{00000000-0005-0000-0000-000084560000}"/>
    <cellStyle name="Comma 3 3 4" xfId="5654" xr:uid="{00000000-0005-0000-0000-000085560000}"/>
    <cellStyle name="Comma 3 3 4 2" xfId="5655" xr:uid="{00000000-0005-0000-0000-000086560000}"/>
    <cellStyle name="Comma 3 3 4 2 2" xfId="13138" xr:uid="{00000000-0005-0000-0000-000087560000}"/>
    <cellStyle name="Comma 3 3 4 2 3" xfId="22112" xr:uid="{00000000-0005-0000-0000-000088560000}"/>
    <cellStyle name="Comma 3 3 4 3" xfId="5656" xr:uid="{00000000-0005-0000-0000-000089560000}"/>
    <cellStyle name="Comma 3 3 4 3 2" xfId="17154" xr:uid="{00000000-0005-0000-0000-00008A560000}"/>
    <cellStyle name="Comma 3 3 4 3 2 2" xfId="30513" xr:uid="{00000000-0005-0000-0000-00008B560000}"/>
    <cellStyle name="Comma 3 3 4 3 3" xfId="22111" xr:uid="{00000000-0005-0000-0000-00008C560000}"/>
    <cellStyle name="Comma 3 3 4 4" xfId="9787" xr:uid="{00000000-0005-0000-0000-00008D560000}"/>
    <cellStyle name="Comma 3 3 4 5" xfId="22113" xr:uid="{00000000-0005-0000-0000-00008E560000}"/>
    <cellStyle name="Comma 3 3 5" xfId="5657" xr:uid="{00000000-0005-0000-0000-00008F560000}"/>
    <cellStyle name="Comma 3 3 5 2" xfId="5658" xr:uid="{00000000-0005-0000-0000-000090560000}"/>
    <cellStyle name="Comma 3 3 5 2 2" xfId="11338" xr:uid="{00000000-0005-0000-0000-000091560000}"/>
    <cellStyle name="Comma 3 3 5 2 3" xfId="22109" xr:uid="{00000000-0005-0000-0000-000092560000}"/>
    <cellStyle name="Comma 3 3 5 3" xfId="5659" xr:uid="{00000000-0005-0000-0000-000093560000}"/>
    <cellStyle name="Comma 3 3 5 3 2" xfId="17243" xr:uid="{00000000-0005-0000-0000-000094560000}"/>
    <cellStyle name="Comma 3 3 5 3 2 2" xfId="30602" xr:uid="{00000000-0005-0000-0000-000095560000}"/>
    <cellStyle name="Comma 3 3 5 3 3" xfId="22108" xr:uid="{00000000-0005-0000-0000-000096560000}"/>
    <cellStyle name="Comma 3 3 5 4" xfId="9788" xr:uid="{00000000-0005-0000-0000-000097560000}"/>
    <cellStyle name="Comma 3 3 5 5" xfId="22110" xr:uid="{00000000-0005-0000-0000-000098560000}"/>
    <cellStyle name="Comma 3 3 6" xfId="5660" xr:uid="{00000000-0005-0000-0000-000099560000}"/>
    <cellStyle name="Comma 3 3 6 2" xfId="5661" xr:uid="{00000000-0005-0000-0000-00009A560000}"/>
    <cellStyle name="Comma 3 3 6 2 2" xfId="15607" xr:uid="{00000000-0005-0000-0000-00009B560000}"/>
    <cellStyle name="Comma 3 3 6 2 3" xfId="22106" xr:uid="{00000000-0005-0000-0000-00009C560000}"/>
    <cellStyle name="Comma 3 3 6 3" xfId="5662" xr:uid="{00000000-0005-0000-0000-00009D560000}"/>
    <cellStyle name="Comma 3 3 6 3 2" xfId="16518" xr:uid="{00000000-0005-0000-0000-00009E560000}"/>
    <cellStyle name="Comma 3 3 6 3 2 2" xfId="29925" xr:uid="{00000000-0005-0000-0000-00009F560000}"/>
    <cellStyle name="Comma 3 3 6 3 3" xfId="22105" xr:uid="{00000000-0005-0000-0000-0000A0560000}"/>
    <cellStyle name="Comma 3 3 6 4" xfId="11891" xr:uid="{00000000-0005-0000-0000-0000A1560000}"/>
    <cellStyle name="Comma 3 3 6 4 2" xfId="25606" xr:uid="{00000000-0005-0000-0000-0000A2560000}"/>
    <cellStyle name="Comma 3 3 6 5" xfId="22107" xr:uid="{00000000-0005-0000-0000-0000A3560000}"/>
    <cellStyle name="Comma 3 3 7" xfId="5663" xr:uid="{00000000-0005-0000-0000-0000A4560000}"/>
    <cellStyle name="Comma 3 3 7 2" xfId="13470" xr:uid="{00000000-0005-0000-0000-0000A5560000}"/>
    <cellStyle name="Comma 3 3 7 2 2" xfId="27019" xr:uid="{00000000-0005-0000-0000-0000A6560000}"/>
    <cellStyle name="Comma 3 3 7 3" xfId="22104" xr:uid="{00000000-0005-0000-0000-0000A7560000}"/>
    <cellStyle name="Comma 3 3 8" xfId="5664" xr:uid="{00000000-0005-0000-0000-0000A8560000}"/>
    <cellStyle name="Comma 3 3 8 2" xfId="14051" xr:uid="{00000000-0005-0000-0000-0000A9560000}"/>
    <cellStyle name="Comma 3 3 8 2 2" xfId="27600" xr:uid="{00000000-0005-0000-0000-0000AA560000}"/>
    <cellStyle name="Comma 3 3 8 3" xfId="22103" xr:uid="{00000000-0005-0000-0000-0000AB560000}"/>
    <cellStyle name="Comma 3 3 9" xfId="5665" xr:uid="{00000000-0005-0000-0000-0000AC560000}"/>
    <cellStyle name="Comma 3 3 9 2" xfId="15937" xr:uid="{00000000-0005-0000-0000-0000AD560000}"/>
    <cellStyle name="Comma 3 3 9 2 2" xfId="29344" xr:uid="{00000000-0005-0000-0000-0000AE560000}"/>
    <cellStyle name="Comma 3 3 9 3" xfId="22102" xr:uid="{00000000-0005-0000-0000-0000AF560000}"/>
    <cellStyle name="Comma 3 30" xfId="17302" xr:uid="{00000000-0005-0000-0000-0000B0560000}"/>
    <cellStyle name="Comma 3 31" xfId="22286" xr:uid="{00000000-0005-0000-0000-0000B1560000}"/>
    <cellStyle name="Comma 3 4" xfId="5666" xr:uid="{00000000-0005-0000-0000-0000B2560000}"/>
    <cellStyle name="Comma 3 4 10" xfId="9789" xr:uid="{00000000-0005-0000-0000-0000B3560000}"/>
    <cellStyle name="Comma 3 4 11" xfId="22101" xr:uid="{00000000-0005-0000-0000-0000B4560000}"/>
    <cellStyle name="Comma 3 4 2" xfId="5667" xr:uid="{00000000-0005-0000-0000-0000B5560000}"/>
    <cellStyle name="Comma 3 4 2 2" xfId="5668" xr:uid="{00000000-0005-0000-0000-0000B6560000}"/>
    <cellStyle name="Comma 3 4 2 2 2" xfId="5669" xr:uid="{00000000-0005-0000-0000-0000B7560000}"/>
    <cellStyle name="Comma 3 4 2 2 2 2" xfId="5670" xr:uid="{00000000-0005-0000-0000-0000B8560000}"/>
    <cellStyle name="Comma 3 4 2 2 2 2 2" xfId="11339" xr:uid="{00000000-0005-0000-0000-0000B9560000}"/>
    <cellStyle name="Comma 3 4 2 2 2 2 3" xfId="22097" xr:uid="{00000000-0005-0000-0000-0000BA560000}"/>
    <cellStyle name="Comma 3 4 2 2 2 3" xfId="5671" xr:uid="{00000000-0005-0000-0000-0000BB560000}"/>
    <cellStyle name="Comma 3 4 2 2 2 3 2" xfId="16904" xr:uid="{00000000-0005-0000-0000-0000BC560000}"/>
    <cellStyle name="Comma 3 4 2 2 2 3 2 2" xfId="30311" xr:uid="{00000000-0005-0000-0000-0000BD560000}"/>
    <cellStyle name="Comma 3 4 2 2 2 3 3" xfId="22096" xr:uid="{00000000-0005-0000-0000-0000BE560000}"/>
    <cellStyle name="Comma 3 4 2 2 2 4" xfId="9792" xr:uid="{00000000-0005-0000-0000-0000BF560000}"/>
    <cellStyle name="Comma 3 4 2 2 2 5" xfId="22098" xr:uid="{00000000-0005-0000-0000-0000C0560000}"/>
    <cellStyle name="Comma 3 4 2 2 3" xfId="5672" xr:uid="{00000000-0005-0000-0000-0000C1560000}"/>
    <cellStyle name="Comma 3 4 2 2 3 2" xfId="5673" xr:uid="{00000000-0005-0000-0000-0000C2560000}"/>
    <cellStyle name="Comma 3 4 2 2 3 2 2" xfId="13139" xr:uid="{00000000-0005-0000-0000-0000C3560000}"/>
    <cellStyle name="Comma 3 4 2 2 3 2 3" xfId="22094" xr:uid="{00000000-0005-0000-0000-0000C4560000}"/>
    <cellStyle name="Comma 3 4 2 2 3 3" xfId="12292" xr:uid="{00000000-0005-0000-0000-0000C5560000}"/>
    <cellStyle name="Comma 3 4 2 2 3 3 2" xfId="26004" xr:uid="{00000000-0005-0000-0000-0000C6560000}"/>
    <cellStyle name="Comma 3 4 2 2 3 4" xfId="22095" xr:uid="{00000000-0005-0000-0000-0000C7560000}"/>
    <cellStyle name="Comma 3 4 2 2 4" xfId="5674" xr:uid="{00000000-0005-0000-0000-0000C8560000}"/>
    <cellStyle name="Comma 3 4 2 2 4 2" xfId="5675" xr:uid="{00000000-0005-0000-0000-0000C9560000}"/>
    <cellStyle name="Comma 3 4 2 2 4 2 2" xfId="15608" xr:uid="{00000000-0005-0000-0000-0000CA560000}"/>
    <cellStyle name="Comma 3 4 2 2 4 2 3" xfId="22092" xr:uid="{00000000-0005-0000-0000-0000CB560000}"/>
    <cellStyle name="Comma 3 4 2 2 4 3" xfId="13856" xr:uid="{00000000-0005-0000-0000-0000CC560000}"/>
    <cellStyle name="Comma 3 4 2 2 4 3 2" xfId="27405" xr:uid="{00000000-0005-0000-0000-0000CD560000}"/>
    <cellStyle name="Comma 3 4 2 2 4 4" xfId="22093" xr:uid="{00000000-0005-0000-0000-0000CE560000}"/>
    <cellStyle name="Comma 3 4 2 2 5" xfId="5676" xr:uid="{00000000-0005-0000-0000-0000CF560000}"/>
    <cellStyle name="Comma 3 4 2 2 5 2" xfId="14437" xr:uid="{00000000-0005-0000-0000-0000D0560000}"/>
    <cellStyle name="Comma 3 4 2 2 5 2 2" xfId="27986" xr:uid="{00000000-0005-0000-0000-0000D1560000}"/>
    <cellStyle name="Comma 3 4 2 2 5 3" xfId="22091" xr:uid="{00000000-0005-0000-0000-0000D2560000}"/>
    <cellStyle name="Comma 3 4 2 2 6" xfId="5677" xr:uid="{00000000-0005-0000-0000-0000D3560000}"/>
    <cellStyle name="Comma 3 4 2 2 6 2" xfId="16323" xr:uid="{00000000-0005-0000-0000-0000D4560000}"/>
    <cellStyle name="Comma 3 4 2 2 6 2 2" xfId="29730" xr:uid="{00000000-0005-0000-0000-0000D5560000}"/>
    <cellStyle name="Comma 3 4 2 2 6 3" xfId="22090" xr:uid="{00000000-0005-0000-0000-0000D6560000}"/>
    <cellStyle name="Comma 3 4 2 2 7" xfId="9791" xr:uid="{00000000-0005-0000-0000-0000D7560000}"/>
    <cellStyle name="Comma 3 4 2 2 8" xfId="22099" xr:uid="{00000000-0005-0000-0000-0000D8560000}"/>
    <cellStyle name="Comma 3 4 2 3" xfId="5678" xr:uid="{00000000-0005-0000-0000-0000D9560000}"/>
    <cellStyle name="Comma 3 4 2 3 2" xfId="5679" xr:uid="{00000000-0005-0000-0000-0000DA560000}"/>
    <cellStyle name="Comma 3 4 2 3 2 2" xfId="11340" xr:uid="{00000000-0005-0000-0000-0000DB560000}"/>
    <cellStyle name="Comma 3 4 2 3 2 3" xfId="22088" xr:uid="{00000000-0005-0000-0000-0000DC560000}"/>
    <cellStyle name="Comma 3 4 2 3 3" xfId="5680" xr:uid="{00000000-0005-0000-0000-0000DD560000}"/>
    <cellStyle name="Comma 3 4 2 3 3 2" xfId="16615" xr:uid="{00000000-0005-0000-0000-0000DE560000}"/>
    <cellStyle name="Comma 3 4 2 3 3 2 2" xfId="30022" xr:uid="{00000000-0005-0000-0000-0000DF560000}"/>
    <cellStyle name="Comma 3 4 2 3 3 3" xfId="22087" xr:uid="{00000000-0005-0000-0000-0000E0560000}"/>
    <cellStyle name="Comma 3 4 2 3 4" xfId="9793" xr:uid="{00000000-0005-0000-0000-0000E1560000}"/>
    <cellStyle name="Comma 3 4 2 3 5" xfId="22089" xr:uid="{00000000-0005-0000-0000-0000E2560000}"/>
    <cellStyle name="Comma 3 4 2 4" xfId="5681" xr:uid="{00000000-0005-0000-0000-0000E3560000}"/>
    <cellStyle name="Comma 3 4 2 4 2" xfId="5682" xr:uid="{00000000-0005-0000-0000-0000E4560000}"/>
    <cellStyle name="Comma 3 4 2 4 2 2" xfId="13140" xr:uid="{00000000-0005-0000-0000-0000E5560000}"/>
    <cellStyle name="Comma 3 4 2 4 2 3" xfId="22085" xr:uid="{00000000-0005-0000-0000-0000E6560000}"/>
    <cellStyle name="Comma 3 4 2 4 3" xfId="11992" xr:uid="{00000000-0005-0000-0000-0000E7560000}"/>
    <cellStyle name="Comma 3 4 2 4 3 2" xfId="25707" xr:uid="{00000000-0005-0000-0000-0000E8560000}"/>
    <cellStyle name="Comma 3 4 2 4 4" xfId="22086" xr:uid="{00000000-0005-0000-0000-0000E9560000}"/>
    <cellStyle name="Comma 3 4 2 5" xfId="5683" xr:uid="{00000000-0005-0000-0000-0000EA560000}"/>
    <cellStyle name="Comma 3 4 2 5 2" xfId="5684" xr:uid="{00000000-0005-0000-0000-0000EB560000}"/>
    <cellStyle name="Comma 3 4 2 5 2 2" xfId="15609" xr:uid="{00000000-0005-0000-0000-0000EC560000}"/>
    <cellStyle name="Comma 3 4 2 5 2 3" xfId="22083" xr:uid="{00000000-0005-0000-0000-0000ED560000}"/>
    <cellStyle name="Comma 3 4 2 5 3" xfId="13567" xr:uid="{00000000-0005-0000-0000-0000EE560000}"/>
    <cellStyle name="Comma 3 4 2 5 3 2" xfId="27116" xr:uid="{00000000-0005-0000-0000-0000EF560000}"/>
    <cellStyle name="Comma 3 4 2 5 4" xfId="22084" xr:uid="{00000000-0005-0000-0000-0000F0560000}"/>
    <cellStyle name="Comma 3 4 2 6" xfId="5685" xr:uid="{00000000-0005-0000-0000-0000F1560000}"/>
    <cellStyle name="Comma 3 4 2 6 2" xfId="14148" xr:uid="{00000000-0005-0000-0000-0000F2560000}"/>
    <cellStyle name="Comma 3 4 2 6 2 2" xfId="27697" xr:uid="{00000000-0005-0000-0000-0000F3560000}"/>
    <cellStyle name="Comma 3 4 2 6 3" xfId="22082" xr:uid="{00000000-0005-0000-0000-0000F4560000}"/>
    <cellStyle name="Comma 3 4 2 7" xfId="5686" xr:uid="{00000000-0005-0000-0000-0000F5560000}"/>
    <cellStyle name="Comma 3 4 2 7 2" xfId="16034" xr:uid="{00000000-0005-0000-0000-0000F6560000}"/>
    <cellStyle name="Comma 3 4 2 7 2 2" xfId="29441" xr:uid="{00000000-0005-0000-0000-0000F7560000}"/>
    <cellStyle name="Comma 3 4 2 7 3" xfId="22081" xr:uid="{00000000-0005-0000-0000-0000F8560000}"/>
    <cellStyle name="Comma 3 4 2 8" xfId="9790" xr:uid="{00000000-0005-0000-0000-0000F9560000}"/>
    <cellStyle name="Comma 3 4 2 9" xfId="22100" xr:uid="{00000000-0005-0000-0000-0000FA560000}"/>
    <cellStyle name="Comma 3 4 3" xfId="5687" xr:uid="{00000000-0005-0000-0000-0000FB560000}"/>
    <cellStyle name="Comma 3 4 3 2" xfId="5688" xr:uid="{00000000-0005-0000-0000-0000FC560000}"/>
    <cellStyle name="Comma 3 4 3 2 2" xfId="5689" xr:uid="{00000000-0005-0000-0000-0000FD560000}"/>
    <cellStyle name="Comma 3 4 3 2 2 2" xfId="11341" xr:uid="{00000000-0005-0000-0000-0000FE560000}"/>
    <cellStyle name="Comma 3 4 3 2 2 3" xfId="22078" xr:uid="{00000000-0005-0000-0000-0000FF560000}"/>
    <cellStyle name="Comma 3 4 3 2 3" xfId="5690" xr:uid="{00000000-0005-0000-0000-000000570000}"/>
    <cellStyle name="Comma 3 4 3 2 3 2" xfId="16764" xr:uid="{00000000-0005-0000-0000-000001570000}"/>
    <cellStyle name="Comma 3 4 3 2 3 2 2" xfId="30171" xr:uid="{00000000-0005-0000-0000-000002570000}"/>
    <cellStyle name="Comma 3 4 3 2 3 3" xfId="22077" xr:uid="{00000000-0005-0000-0000-000003570000}"/>
    <cellStyle name="Comma 3 4 3 2 4" xfId="9795" xr:uid="{00000000-0005-0000-0000-000004570000}"/>
    <cellStyle name="Comma 3 4 3 2 5" xfId="22079" xr:uid="{00000000-0005-0000-0000-000005570000}"/>
    <cellStyle name="Comma 3 4 3 3" xfId="5691" xr:uid="{00000000-0005-0000-0000-000006570000}"/>
    <cellStyle name="Comma 3 4 3 3 2" xfId="5692" xr:uid="{00000000-0005-0000-0000-000007570000}"/>
    <cellStyle name="Comma 3 4 3 3 2 2" xfId="13141" xr:uid="{00000000-0005-0000-0000-000008570000}"/>
    <cellStyle name="Comma 3 4 3 3 2 3" xfId="22075" xr:uid="{00000000-0005-0000-0000-000009570000}"/>
    <cellStyle name="Comma 3 4 3 3 3" xfId="12152" xr:uid="{00000000-0005-0000-0000-00000A570000}"/>
    <cellStyle name="Comma 3 4 3 3 3 2" xfId="25864" xr:uid="{00000000-0005-0000-0000-00000B570000}"/>
    <cellStyle name="Comma 3 4 3 3 4" xfId="22076" xr:uid="{00000000-0005-0000-0000-00000C570000}"/>
    <cellStyle name="Comma 3 4 3 4" xfId="5693" xr:uid="{00000000-0005-0000-0000-00000D570000}"/>
    <cellStyle name="Comma 3 4 3 4 2" xfId="5694" xr:uid="{00000000-0005-0000-0000-00000E570000}"/>
    <cellStyle name="Comma 3 4 3 4 2 2" xfId="15610" xr:uid="{00000000-0005-0000-0000-00000F570000}"/>
    <cellStyle name="Comma 3 4 3 4 2 3" xfId="22073" xr:uid="{00000000-0005-0000-0000-000010570000}"/>
    <cellStyle name="Comma 3 4 3 4 3" xfId="13716" xr:uid="{00000000-0005-0000-0000-000011570000}"/>
    <cellStyle name="Comma 3 4 3 4 3 2" xfId="27265" xr:uid="{00000000-0005-0000-0000-000012570000}"/>
    <cellStyle name="Comma 3 4 3 4 4" xfId="22074" xr:uid="{00000000-0005-0000-0000-000013570000}"/>
    <cellStyle name="Comma 3 4 3 5" xfId="5695" xr:uid="{00000000-0005-0000-0000-000014570000}"/>
    <cellStyle name="Comma 3 4 3 5 2" xfId="14297" xr:uid="{00000000-0005-0000-0000-000015570000}"/>
    <cellStyle name="Comma 3 4 3 5 2 2" xfId="27846" xr:uid="{00000000-0005-0000-0000-000016570000}"/>
    <cellStyle name="Comma 3 4 3 5 3" xfId="22072" xr:uid="{00000000-0005-0000-0000-000017570000}"/>
    <cellStyle name="Comma 3 4 3 6" xfId="5696" xr:uid="{00000000-0005-0000-0000-000018570000}"/>
    <cellStyle name="Comma 3 4 3 6 2" xfId="16183" xr:uid="{00000000-0005-0000-0000-000019570000}"/>
    <cellStyle name="Comma 3 4 3 6 2 2" xfId="29590" xr:uid="{00000000-0005-0000-0000-00001A570000}"/>
    <cellStyle name="Comma 3 4 3 6 3" xfId="22071" xr:uid="{00000000-0005-0000-0000-00001B570000}"/>
    <cellStyle name="Comma 3 4 3 7" xfId="9794" xr:uid="{00000000-0005-0000-0000-00001C570000}"/>
    <cellStyle name="Comma 3 4 3 8" xfId="22080" xr:uid="{00000000-0005-0000-0000-00001D570000}"/>
    <cellStyle name="Comma 3 4 4" xfId="5697" xr:uid="{00000000-0005-0000-0000-00001E570000}"/>
    <cellStyle name="Comma 3 4 4 2" xfId="5698" xr:uid="{00000000-0005-0000-0000-00001F570000}"/>
    <cellStyle name="Comma 3 4 4 2 2" xfId="16472" xr:uid="{00000000-0005-0000-0000-000020570000}"/>
    <cellStyle name="Comma 3 4 4 2 2 2" xfId="29879" xr:uid="{00000000-0005-0000-0000-000021570000}"/>
    <cellStyle name="Comma 3 4 4 2 3" xfId="22069" xr:uid="{00000000-0005-0000-0000-000022570000}"/>
    <cellStyle name="Comma 3 4 4 3" xfId="9796" xr:uid="{00000000-0005-0000-0000-000023570000}"/>
    <cellStyle name="Comma 3 4 4 4" xfId="22070" xr:uid="{00000000-0005-0000-0000-000024570000}"/>
    <cellStyle name="Comma 3 4 5" xfId="5699" xr:uid="{00000000-0005-0000-0000-000025570000}"/>
    <cellStyle name="Comma 3 4 5 2" xfId="5700" xr:uid="{00000000-0005-0000-0000-000026570000}"/>
    <cellStyle name="Comma 3 4 5 2 2" xfId="11342" xr:uid="{00000000-0005-0000-0000-000027570000}"/>
    <cellStyle name="Comma 3 4 5 2 3" xfId="22067" xr:uid="{00000000-0005-0000-0000-000028570000}"/>
    <cellStyle name="Comma 3 4 5 3" xfId="9797" xr:uid="{00000000-0005-0000-0000-000029570000}"/>
    <cellStyle name="Comma 3 4 5 4" xfId="22068" xr:uid="{00000000-0005-0000-0000-00002A570000}"/>
    <cellStyle name="Comma 3 4 6" xfId="5701" xr:uid="{00000000-0005-0000-0000-00002B570000}"/>
    <cellStyle name="Comma 3 4 6 2" xfId="5702" xr:uid="{00000000-0005-0000-0000-00002C570000}"/>
    <cellStyle name="Comma 3 4 6 2 2" xfId="13142" xr:uid="{00000000-0005-0000-0000-00002D570000}"/>
    <cellStyle name="Comma 3 4 6 2 3" xfId="22065" xr:uid="{00000000-0005-0000-0000-00002E570000}"/>
    <cellStyle name="Comma 3 4 6 3" xfId="11823" xr:uid="{00000000-0005-0000-0000-00002F570000}"/>
    <cellStyle name="Comma 3 4 6 3 2" xfId="25538" xr:uid="{00000000-0005-0000-0000-000030570000}"/>
    <cellStyle name="Comma 3 4 6 4" xfId="22066" xr:uid="{00000000-0005-0000-0000-000031570000}"/>
    <cellStyle name="Comma 3 4 7" xfId="5703" xr:uid="{00000000-0005-0000-0000-000032570000}"/>
    <cellStyle name="Comma 3 4 7 2" xfId="5704" xr:uid="{00000000-0005-0000-0000-000033570000}"/>
    <cellStyle name="Comma 3 4 7 2 2" xfId="15611" xr:uid="{00000000-0005-0000-0000-000034570000}"/>
    <cellStyle name="Comma 3 4 7 2 3" xfId="22063" xr:uid="{00000000-0005-0000-0000-000035570000}"/>
    <cellStyle name="Comma 3 4 7 3" xfId="13424" xr:uid="{00000000-0005-0000-0000-000036570000}"/>
    <cellStyle name="Comma 3 4 7 3 2" xfId="26973" xr:uid="{00000000-0005-0000-0000-000037570000}"/>
    <cellStyle name="Comma 3 4 7 4" xfId="22064" xr:uid="{00000000-0005-0000-0000-000038570000}"/>
    <cellStyle name="Comma 3 4 8" xfId="5705" xr:uid="{00000000-0005-0000-0000-000039570000}"/>
    <cellStyle name="Comma 3 4 8 2" xfId="14005" xr:uid="{00000000-0005-0000-0000-00003A570000}"/>
    <cellStyle name="Comma 3 4 8 2 2" xfId="27554" xr:uid="{00000000-0005-0000-0000-00003B570000}"/>
    <cellStyle name="Comma 3 4 8 3" xfId="22062" xr:uid="{00000000-0005-0000-0000-00003C570000}"/>
    <cellStyle name="Comma 3 4 9" xfId="5706" xr:uid="{00000000-0005-0000-0000-00003D570000}"/>
    <cellStyle name="Comma 3 4 9 2" xfId="15891" xr:uid="{00000000-0005-0000-0000-00003E570000}"/>
    <cellStyle name="Comma 3 4 9 2 2" xfId="29298" xr:uid="{00000000-0005-0000-0000-00003F570000}"/>
    <cellStyle name="Comma 3 4 9 3" xfId="22061" xr:uid="{00000000-0005-0000-0000-000040570000}"/>
    <cellStyle name="Comma 3 5" xfId="5707" xr:uid="{00000000-0005-0000-0000-000041570000}"/>
    <cellStyle name="Comma 3 5 10" xfId="9798" xr:uid="{00000000-0005-0000-0000-000042570000}"/>
    <cellStyle name="Comma 3 5 11" xfId="22060" xr:uid="{00000000-0005-0000-0000-000043570000}"/>
    <cellStyle name="Comma 3 5 2" xfId="5708" xr:uid="{00000000-0005-0000-0000-000044570000}"/>
    <cellStyle name="Comma 3 5 2 2" xfId="5709" xr:uid="{00000000-0005-0000-0000-000045570000}"/>
    <cellStyle name="Comma 3 5 2 2 2" xfId="5710" xr:uid="{00000000-0005-0000-0000-000046570000}"/>
    <cellStyle name="Comma 3 5 2 2 2 2" xfId="5711" xr:uid="{00000000-0005-0000-0000-000047570000}"/>
    <cellStyle name="Comma 3 5 2 2 2 2 2" xfId="11343" xr:uid="{00000000-0005-0000-0000-000048570000}"/>
    <cellStyle name="Comma 3 5 2 2 2 2 3" xfId="22056" xr:uid="{00000000-0005-0000-0000-000049570000}"/>
    <cellStyle name="Comma 3 5 2 2 2 3" xfId="5712" xr:uid="{00000000-0005-0000-0000-00004A570000}"/>
    <cellStyle name="Comma 3 5 2 2 2 3 2" xfId="16887" xr:uid="{00000000-0005-0000-0000-00004B570000}"/>
    <cellStyle name="Comma 3 5 2 2 2 3 2 2" xfId="30294" xr:uid="{00000000-0005-0000-0000-00004C570000}"/>
    <cellStyle name="Comma 3 5 2 2 2 3 3" xfId="22055" xr:uid="{00000000-0005-0000-0000-00004D570000}"/>
    <cellStyle name="Comma 3 5 2 2 2 4" xfId="9801" xr:uid="{00000000-0005-0000-0000-00004E570000}"/>
    <cellStyle name="Comma 3 5 2 2 2 5" xfId="22057" xr:uid="{00000000-0005-0000-0000-00004F570000}"/>
    <cellStyle name="Comma 3 5 2 2 3" xfId="5713" xr:uid="{00000000-0005-0000-0000-000050570000}"/>
    <cellStyle name="Comma 3 5 2 2 3 2" xfId="5714" xr:uid="{00000000-0005-0000-0000-000051570000}"/>
    <cellStyle name="Comma 3 5 2 2 3 2 2" xfId="13143" xr:uid="{00000000-0005-0000-0000-000052570000}"/>
    <cellStyle name="Comma 3 5 2 2 3 2 3" xfId="22053" xr:uid="{00000000-0005-0000-0000-000053570000}"/>
    <cellStyle name="Comma 3 5 2 2 3 3" xfId="12275" xr:uid="{00000000-0005-0000-0000-000054570000}"/>
    <cellStyle name="Comma 3 5 2 2 3 3 2" xfId="25987" xr:uid="{00000000-0005-0000-0000-000055570000}"/>
    <cellStyle name="Comma 3 5 2 2 3 4" xfId="22054" xr:uid="{00000000-0005-0000-0000-000056570000}"/>
    <cellStyle name="Comma 3 5 2 2 4" xfId="5715" xr:uid="{00000000-0005-0000-0000-000057570000}"/>
    <cellStyle name="Comma 3 5 2 2 4 2" xfId="5716" xr:uid="{00000000-0005-0000-0000-000058570000}"/>
    <cellStyle name="Comma 3 5 2 2 4 2 2" xfId="15612" xr:uid="{00000000-0005-0000-0000-000059570000}"/>
    <cellStyle name="Comma 3 5 2 2 4 2 3" xfId="22051" xr:uid="{00000000-0005-0000-0000-00005A570000}"/>
    <cellStyle name="Comma 3 5 2 2 4 3" xfId="13839" xr:uid="{00000000-0005-0000-0000-00005B570000}"/>
    <cellStyle name="Comma 3 5 2 2 4 3 2" xfId="27388" xr:uid="{00000000-0005-0000-0000-00005C570000}"/>
    <cellStyle name="Comma 3 5 2 2 4 4" xfId="22052" xr:uid="{00000000-0005-0000-0000-00005D570000}"/>
    <cellStyle name="Comma 3 5 2 2 5" xfId="5717" xr:uid="{00000000-0005-0000-0000-00005E570000}"/>
    <cellStyle name="Comma 3 5 2 2 5 2" xfId="14420" xr:uid="{00000000-0005-0000-0000-00005F570000}"/>
    <cellStyle name="Comma 3 5 2 2 5 2 2" xfId="27969" xr:uid="{00000000-0005-0000-0000-000060570000}"/>
    <cellStyle name="Comma 3 5 2 2 5 3" xfId="22050" xr:uid="{00000000-0005-0000-0000-000061570000}"/>
    <cellStyle name="Comma 3 5 2 2 6" xfId="5718" xr:uid="{00000000-0005-0000-0000-000062570000}"/>
    <cellStyle name="Comma 3 5 2 2 6 2" xfId="16306" xr:uid="{00000000-0005-0000-0000-000063570000}"/>
    <cellStyle name="Comma 3 5 2 2 6 2 2" xfId="29713" xr:uid="{00000000-0005-0000-0000-000064570000}"/>
    <cellStyle name="Comma 3 5 2 2 6 3" xfId="22049" xr:uid="{00000000-0005-0000-0000-000065570000}"/>
    <cellStyle name="Comma 3 5 2 2 7" xfId="9800" xr:uid="{00000000-0005-0000-0000-000066570000}"/>
    <cellStyle name="Comma 3 5 2 2 8" xfId="22058" xr:uid="{00000000-0005-0000-0000-000067570000}"/>
    <cellStyle name="Comma 3 5 2 3" xfId="5719" xr:uid="{00000000-0005-0000-0000-000068570000}"/>
    <cellStyle name="Comma 3 5 2 3 2" xfId="5720" xr:uid="{00000000-0005-0000-0000-000069570000}"/>
    <cellStyle name="Comma 3 5 2 3 2 2" xfId="11344" xr:uid="{00000000-0005-0000-0000-00006A570000}"/>
    <cellStyle name="Comma 3 5 2 3 2 3" xfId="22047" xr:uid="{00000000-0005-0000-0000-00006B570000}"/>
    <cellStyle name="Comma 3 5 2 3 3" xfId="5721" xr:uid="{00000000-0005-0000-0000-00006C570000}"/>
    <cellStyle name="Comma 3 5 2 3 3 2" xfId="16598" xr:uid="{00000000-0005-0000-0000-00006D570000}"/>
    <cellStyle name="Comma 3 5 2 3 3 2 2" xfId="30005" xr:uid="{00000000-0005-0000-0000-00006E570000}"/>
    <cellStyle name="Comma 3 5 2 3 3 3" xfId="22046" xr:uid="{00000000-0005-0000-0000-00006F570000}"/>
    <cellStyle name="Comma 3 5 2 3 4" xfId="9802" xr:uid="{00000000-0005-0000-0000-000070570000}"/>
    <cellStyle name="Comma 3 5 2 3 5" xfId="22048" xr:uid="{00000000-0005-0000-0000-000071570000}"/>
    <cellStyle name="Comma 3 5 2 4" xfId="5722" xr:uid="{00000000-0005-0000-0000-000072570000}"/>
    <cellStyle name="Comma 3 5 2 4 2" xfId="5723" xr:uid="{00000000-0005-0000-0000-000073570000}"/>
    <cellStyle name="Comma 3 5 2 4 2 2" xfId="13144" xr:uid="{00000000-0005-0000-0000-000074570000}"/>
    <cellStyle name="Comma 3 5 2 4 2 3" xfId="22044" xr:uid="{00000000-0005-0000-0000-000075570000}"/>
    <cellStyle name="Comma 3 5 2 4 3" xfId="11975" xr:uid="{00000000-0005-0000-0000-000076570000}"/>
    <cellStyle name="Comma 3 5 2 4 3 2" xfId="25690" xr:uid="{00000000-0005-0000-0000-000077570000}"/>
    <cellStyle name="Comma 3 5 2 4 4" xfId="22045" xr:uid="{00000000-0005-0000-0000-000078570000}"/>
    <cellStyle name="Comma 3 5 2 5" xfId="5724" xr:uid="{00000000-0005-0000-0000-000079570000}"/>
    <cellStyle name="Comma 3 5 2 5 2" xfId="5725" xr:uid="{00000000-0005-0000-0000-00007A570000}"/>
    <cellStyle name="Comma 3 5 2 5 2 2" xfId="15613" xr:uid="{00000000-0005-0000-0000-00007B570000}"/>
    <cellStyle name="Comma 3 5 2 5 2 3" xfId="22042" xr:uid="{00000000-0005-0000-0000-00007C570000}"/>
    <cellStyle name="Comma 3 5 2 5 3" xfId="13550" xr:uid="{00000000-0005-0000-0000-00007D570000}"/>
    <cellStyle name="Comma 3 5 2 5 3 2" xfId="27099" xr:uid="{00000000-0005-0000-0000-00007E570000}"/>
    <cellStyle name="Comma 3 5 2 5 4" xfId="22043" xr:uid="{00000000-0005-0000-0000-00007F570000}"/>
    <cellStyle name="Comma 3 5 2 6" xfId="5726" xr:uid="{00000000-0005-0000-0000-000080570000}"/>
    <cellStyle name="Comma 3 5 2 6 2" xfId="14131" xr:uid="{00000000-0005-0000-0000-000081570000}"/>
    <cellStyle name="Comma 3 5 2 6 2 2" xfId="27680" xr:uid="{00000000-0005-0000-0000-000082570000}"/>
    <cellStyle name="Comma 3 5 2 6 3" xfId="22041" xr:uid="{00000000-0005-0000-0000-000083570000}"/>
    <cellStyle name="Comma 3 5 2 7" xfId="5727" xr:uid="{00000000-0005-0000-0000-000084570000}"/>
    <cellStyle name="Comma 3 5 2 7 2" xfId="16017" xr:uid="{00000000-0005-0000-0000-000085570000}"/>
    <cellStyle name="Comma 3 5 2 7 2 2" xfId="29424" xr:uid="{00000000-0005-0000-0000-000086570000}"/>
    <cellStyle name="Comma 3 5 2 7 3" xfId="22040" xr:uid="{00000000-0005-0000-0000-000087570000}"/>
    <cellStyle name="Comma 3 5 2 8" xfId="9799" xr:uid="{00000000-0005-0000-0000-000088570000}"/>
    <cellStyle name="Comma 3 5 2 9" xfId="22059" xr:uid="{00000000-0005-0000-0000-000089570000}"/>
    <cellStyle name="Comma 3 5 3" xfId="5728" xr:uid="{00000000-0005-0000-0000-00008A570000}"/>
    <cellStyle name="Comma 3 5 3 2" xfId="5729" xr:uid="{00000000-0005-0000-0000-00008B570000}"/>
    <cellStyle name="Comma 3 5 3 2 2" xfId="5730" xr:uid="{00000000-0005-0000-0000-00008C570000}"/>
    <cellStyle name="Comma 3 5 3 2 2 2" xfId="11345" xr:uid="{00000000-0005-0000-0000-00008D570000}"/>
    <cellStyle name="Comma 3 5 3 2 2 3" xfId="22037" xr:uid="{00000000-0005-0000-0000-00008E570000}"/>
    <cellStyle name="Comma 3 5 3 2 3" xfId="5731" xr:uid="{00000000-0005-0000-0000-00008F570000}"/>
    <cellStyle name="Comma 3 5 3 2 3 2" xfId="16747" xr:uid="{00000000-0005-0000-0000-000090570000}"/>
    <cellStyle name="Comma 3 5 3 2 3 2 2" xfId="30154" xr:uid="{00000000-0005-0000-0000-000091570000}"/>
    <cellStyle name="Comma 3 5 3 2 3 3" xfId="22036" xr:uid="{00000000-0005-0000-0000-000092570000}"/>
    <cellStyle name="Comma 3 5 3 2 4" xfId="9804" xr:uid="{00000000-0005-0000-0000-000093570000}"/>
    <cellStyle name="Comma 3 5 3 2 5" xfId="22038" xr:uid="{00000000-0005-0000-0000-000094570000}"/>
    <cellStyle name="Comma 3 5 3 3" xfId="5732" xr:uid="{00000000-0005-0000-0000-000095570000}"/>
    <cellStyle name="Comma 3 5 3 3 2" xfId="5733" xr:uid="{00000000-0005-0000-0000-000096570000}"/>
    <cellStyle name="Comma 3 5 3 3 2 2" xfId="13145" xr:uid="{00000000-0005-0000-0000-000097570000}"/>
    <cellStyle name="Comma 3 5 3 3 2 3" xfId="22034" xr:uid="{00000000-0005-0000-0000-000098570000}"/>
    <cellStyle name="Comma 3 5 3 3 3" xfId="12135" xr:uid="{00000000-0005-0000-0000-000099570000}"/>
    <cellStyle name="Comma 3 5 3 3 3 2" xfId="25847" xr:uid="{00000000-0005-0000-0000-00009A570000}"/>
    <cellStyle name="Comma 3 5 3 3 4" xfId="22035" xr:uid="{00000000-0005-0000-0000-00009B570000}"/>
    <cellStyle name="Comma 3 5 3 4" xfId="5734" xr:uid="{00000000-0005-0000-0000-00009C570000}"/>
    <cellStyle name="Comma 3 5 3 4 2" xfId="5735" xr:uid="{00000000-0005-0000-0000-00009D570000}"/>
    <cellStyle name="Comma 3 5 3 4 2 2" xfId="15614" xr:uid="{00000000-0005-0000-0000-00009E570000}"/>
    <cellStyle name="Comma 3 5 3 4 2 3" xfId="22032" xr:uid="{00000000-0005-0000-0000-00009F570000}"/>
    <cellStyle name="Comma 3 5 3 4 3" xfId="13699" xr:uid="{00000000-0005-0000-0000-0000A0570000}"/>
    <cellStyle name="Comma 3 5 3 4 3 2" xfId="27248" xr:uid="{00000000-0005-0000-0000-0000A1570000}"/>
    <cellStyle name="Comma 3 5 3 4 4" xfId="22033" xr:uid="{00000000-0005-0000-0000-0000A2570000}"/>
    <cellStyle name="Comma 3 5 3 5" xfId="5736" xr:uid="{00000000-0005-0000-0000-0000A3570000}"/>
    <cellStyle name="Comma 3 5 3 5 2" xfId="14280" xr:uid="{00000000-0005-0000-0000-0000A4570000}"/>
    <cellStyle name="Comma 3 5 3 5 2 2" xfId="27829" xr:uid="{00000000-0005-0000-0000-0000A5570000}"/>
    <cellStyle name="Comma 3 5 3 5 3" xfId="22031" xr:uid="{00000000-0005-0000-0000-0000A6570000}"/>
    <cellStyle name="Comma 3 5 3 6" xfId="5737" xr:uid="{00000000-0005-0000-0000-0000A7570000}"/>
    <cellStyle name="Comma 3 5 3 6 2" xfId="16166" xr:uid="{00000000-0005-0000-0000-0000A8570000}"/>
    <cellStyle name="Comma 3 5 3 6 2 2" xfId="29573" xr:uid="{00000000-0005-0000-0000-0000A9570000}"/>
    <cellStyle name="Comma 3 5 3 6 3" xfId="22030" xr:uid="{00000000-0005-0000-0000-0000AA570000}"/>
    <cellStyle name="Comma 3 5 3 7" xfId="9803" xr:uid="{00000000-0005-0000-0000-0000AB570000}"/>
    <cellStyle name="Comma 3 5 3 8" xfId="22039" xr:uid="{00000000-0005-0000-0000-0000AC570000}"/>
    <cellStyle name="Comma 3 5 4" xfId="5738" xr:uid="{00000000-0005-0000-0000-0000AD570000}"/>
    <cellStyle name="Comma 3 5 4 2" xfId="5739" xr:uid="{00000000-0005-0000-0000-0000AE570000}"/>
    <cellStyle name="Comma 3 5 4 2 2" xfId="16455" xr:uid="{00000000-0005-0000-0000-0000AF570000}"/>
    <cellStyle name="Comma 3 5 4 2 2 2" xfId="29862" xr:uid="{00000000-0005-0000-0000-0000B0570000}"/>
    <cellStyle name="Comma 3 5 4 2 3" xfId="22028" xr:uid="{00000000-0005-0000-0000-0000B1570000}"/>
    <cellStyle name="Comma 3 5 4 3" xfId="9805" xr:uid="{00000000-0005-0000-0000-0000B2570000}"/>
    <cellStyle name="Comma 3 5 4 4" xfId="22029" xr:uid="{00000000-0005-0000-0000-0000B3570000}"/>
    <cellStyle name="Comma 3 5 5" xfId="5740" xr:uid="{00000000-0005-0000-0000-0000B4570000}"/>
    <cellStyle name="Comma 3 5 5 2" xfId="5741" xr:uid="{00000000-0005-0000-0000-0000B5570000}"/>
    <cellStyle name="Comma 3 5 5 2 2" xfId="11346" xr:uid="{00000000-0005-0000-0000-0000B6570000}"/>
    <cellStyle name="Comma 3 5 5 2 3" xfId="22026" xr:uid="{00000000-0005-0000-0000-0000B7570000}"/>
    <cellStyle name="Comma 3 5 5 3" xfId="9806" xr:uid="{00000000-0005-0000-0000-0000B8570000}"/>
    <cellStyle name="Comma 3 5 5 4" xfId="22027" xr:uid="{00000000-0005-0000-0000-0000B9570000}"/>
    <cellStyle name="Comma 3 5 6" xfId="5742" xr:uid="{00000000-0005-0000-0000-0000BA570000}"/>
    <cellStyle name="Comma 3 5 6 2" xfId="5743" xr:uid="{00000000-0005-0000-0000-0000BB570000}"/>
    <cellStyle name="Comma 3 5 6 2 2" xfId="13146" xr:uid="{00000000-0005-0000-0000-0000BC570000}"/>
    <cellStyle name="Comma 3 5 6 2 3" xfId="22024" xr:uid="{00000000-0005-0000-0000-0000BD570000}"/>
    <cellStyle name="Comma 3 5 6 3" xfId="11806" xr:uid="{00000000-0005-0000-0000-0000BE570000}"/>
    <cellStyle name="Comma 3 5 6 3 2" xfId="25521" xr:uid="{00000000-0005-0000-0000-0000BF570000}"/>
    <cellStyle name="Comma 3 5 6 4" xfId="22025" xr:uid="{00000000-0005-0000-0000-0000C0570000}"/>
    <cellStyle name="Comma 3 5 7" xfId="5744" xr:uid="{00000000-0005-0000-0000-0000C1570000}"/>
    <cellStyle name="Comma 3 5 7 2" xfId="5745" xr:uid="{00000000-0005-0000-0000-0000C2570000}"/>
    <cellStyle name="Comma 3 5 7 2 2" xfId="15615" xr:uid="{00000000-0005-0000-0000-0000C3570000}"/>
    <cellStyle name="Comma 3 5 7 2 3" xfId="22022" xr:uid="{00000000-0005-0000-0000-0000C4570000}"/>
    <cellStyle name="Comma 3 5 7 3" xfId="13407" xr:uid="{00000000-0005-0000-0000-0000C5570000}"/>
    <cellStyle name="Comma 3 5 7 3 2" xfId="26956" xr:uid="{00000000-0005-0000-0000-0000C6570000}"/>
    <cellStyle name="Comma 3 5 7 4" xfId="22023" xr:uid="{00000000-0005-0000-0000-0000C7570000}"/>
    <cellStyle name="Comma 3 5 8" xfId="5746" xr:uid="{00000000-0005-0000-0000-0000C8570000}"/>
    <cellStyle name="Comma 3 5 8 2" xfId="13988" xr:uid="{00000000-0005-0000-0000-0000C9570000}"/>
    <cellStyle name="Comma 3 5 8 2 2" xfId="27537" xr:uid="{00000000-0005-0000-0000-0000CA570000}"/>
    <cellStyle name="Comma 3 5 8 3" xfId="22021" xr:uid="{00000000-0005-0000-0000-0000CB570000}"/>
    <cellStyle name="Comma 3 5 9" xfId="5747" xr:uid="{00000000-0005-0000-0000-0000CC570000}"/>
    <cellStyle name="Comma 3 5 9 2" xfId="15874" xr:uid="{00000000-0005-0000-0000-0000CD570000}"/>
    <cellStyle name="Comma 3 5 9 2 2" xfId="29281" xr:uid="{00000000-0005-0000-0000-0000CE570000}"/>
    <cellStyle name="Comma 3 5 9 3" xfId="22020" xr:uid="{00000000-0005-0000-0000-0000CF570000}"/>
    <cellStyle name="Comma 3 6" xfId="5748" xr:uid="{00000000-0005-0000-0000-0000D0570000}"/>
    <cellStyle name="Comma 3 6 10" xfId="9807" xr:uid="{00000000-0005-0000-0000-0000D1570000}"/>
    <cellStyle name="Comma 3 6 11" xfId="22019" xr:uid="{00000000-0005-0000-0000-0000D2570000}"/>
    <cellStyle name="Comma 3 6 2" xfId="5749" xr:uid="{00000000-0005-0000-0000-0000D3570000}"/>
    <cellStyle name="Comma 3 6 2 2" xfId="5750" xr:uid="{00000000-0005-0000-0000-0000D4570000}"/>
    <cellStyle name="Comma 3 6 2 2 2" xfId="5751" xr:uid="{00000000-0005-0000-0000-0000D5570000}"/>
    <cellStyle name="Comma 3 6 2 2 2 2" xfId="5752" xr:uid="{00000000-0005-0000-0000-0000D6570000}"/>
    <cellStyle name="Comma 3 6 2 2 2 2 2" xfId="11347" xr:uid="{00000000-0005-0000-0000-0000D7570000}"/>
    <cellStyle name="Comma 3 6 2 2 2 2 3" xfId="22015" xr:uid="{00000000-0005-0000-0000-0000D8570000}"/>
    <cellStyle name="Comma 3 6 2 2 2 3" xfId="5753" xr:uid="{00000000-0005-0000-0000-0000D9570000}"/>
    <cellStyle name="Comma 3 6 2 2 2 3 2" xfId="16993" xr:uid="{00000000-0005-0000-0000-0000DA570000}"/>
    <cellStyle name="Comma 3 6 2 2 2 3 2 2" xfId="30400" xr:uid="{00000000-0005-0000-0000-0000DB570000}"/>
    <cellStyle name="Comma 3 6 2 2 2 3 3" xfId="22014" xr:uid="{00000000-0005-0000-0000-0000DC570000}"/>
    <cellStyle name="Comma 3 6 2 2 2 4" xfId="9810" xr:uid="{00000000-0005-0000-0000-0000DD570000}"/>
    <cellStyle name="Comma 3 6 2 2 2 5" xfId="22016" xr:uid="{00000000-0005-0000-0000-0000DE570000}"/>
    <cellStyle name="Comma 3 6 2 2 3" xfId="5754" xr:uid="{00000000-0005-0000-0000-0000DF570000}"/>
    <cellStyle name="Comma 3 6 2 2 3 2" xfId="5755" xr:uid="{00000000-0005-0000-0000-0000E0570000}"/>
    <cellStyle name="Comma 3 6 2 2 3 2 2" xfId="13147" xr:uid="{00000000-0005-0000-0000-0000E1570000}"/>
    <cellStyle name="Comma 3 6 2 2 3 2 3" xfId="22012" xr:uid="{00000000-0005-0000-0000-0000E2570000}"/>
    <cellStyle name="Comma 3 6 2 2 3 3" xfId="12381" xr:uid="{00000000-0005-0000-0000-0000E3570000}"/>
    <cellStyle name="Comma 3 6 2 2 3 3 2" xfId="26093" xr:uid="{00000000-0005-0000-0000-0000E4570000}"/>
    <cellStyle name="Comma 3 6 2 2 3 4" xfId="22013" xr:uid="{00000000-0005-0000-0000-0000E5570000}"/>
    <cellStyle name="Comma 3 6 2 2 4" xfId="5756" xr:uid="{00000000-0005-0000-0000-0000E6570000}"/>
    <cellStyle name="Comma 3 6 2 2 4 2" xfId="5757" xr:uid="{00000000-0005-0000-0000-0000E7570000}"/>
    <cellStyle name="Comma 3 6 2 2 4 2 2" xfId="15616" xr:uid="{00000000-0005-0000-0000-0000E8570000}"/>
    <cellStyle name="Comma 3 6 2 2 4 2 3" xfId="22010" xr:uid="{00000000-0005-0000-0000-0000E9570000}"/>
    <cellStyle name="Comma 3 6 2 2 4 3" xfId="13945" xr:uid="{00000000-0005-0000-0000-0000EA570000}"/>
    <cellStyle name="Comma 3 6 2 2 4 3 2" xfId="27494" xr:uid="{00000000-0005-0000-0000-0000EB570000}"/>
    <cellStyle name="Comma 3 6 2 2 4 4" xfId="22011" xr:uid="{00000000-0005-0000-0000-0000EC570000}"/>
    <cellStyle name="Comma 3 6 2 2 5" xfId="5758" xr:uid="{00000000-0005-0000-0000-0000ED570000}"/>
    <cellStyle name="Comma 3 6 2 2 5 2" xfId="14526" xr:uid="{00000000-0005-0000-0000-0000EE570000}"/>
    <cellStyle name="Comma 3 6 2 2 5 2 2" xfId="28075" xr:uid="{00000000-0005-0000-0000-0000EF570000}"/>
    <cellStyle name="Comma 3 6 2 2 5 3" xfId="22009" xr:uid="{00000000-0005-0000-0000-0000F0570000}"/>
    <cellStyle name="Comma 3 6 2 2 6" xfId="5759" xr:uid="{00000000-0005-0000-0000-0000F1570000}"/>
    <cellStyle name="Comma 3 6 2 2 6 2" xfId="16412" xr:uid="{00000000-0005-0000-0000-0000F2570000}"/>
    <cellStyle name="Comma 3 6 2 2 6 2 2" xfId="29819" xr:uid="{00000000-0005-0000-0000-0000F3570000}"/>
    <cellStyle name="Comma 3 6 2 2 6 3" xfId="22008" xr:uid="{00000000-0005-0000-0000-0000F4570000}"/>
    <cellStyle name="Comma 3 6 2 2 7" xfId="9809" xr:uid="{00000000-0005-0000-0000-0000F5570000}"/>
    <cellStyle name="Comma 3 6 2 2 8" xfId="22017" xr:uid="{00000000-0005-0000-0000-0000F6570000}"/>
    <cellStyle name="Comma 3 6 2 3" xfId="5760" xr:uid="{00000000-0005-0000-0000-0000F7570000}"/>
    <cellStyle name="Comma 3 6 2 3 2" xfId="5761" xr:uid="{00000000-0005-0000-0000-0000F8570000}"/>
    <cellStyle name="Comma 3 6 2 3 2 2" xfId="11348" xr:uid="{00000000-0005-0000-0000-0000F9570000}"/>
    <cellStyle name="Comma 3 6 2 3 2 3" xfId="22006" xr:uid="{00000000-0005-0000-0000-0000FA570000}"/>
    <cellStyle name="Comma 3 6 2 3 3" xfId="5762" xr:uid="{00000000-0005-0000-0000-0000FB570000}"/>
    <cellStyle name="Comma 3 6 2 3 3 2" xfId="16704" xr:uid="{00000000-0005-0000-0000-0000FC570000}"/>
    <cellStyle name="Comma 3 6 2 3 3 2 2" xfId="30111" xr:uid="{00000000-0005-0000-0000-0000FD570000}"/>
    <cellStyle name="Comma 3 6 2 3 3 3" xfId="22005" xr:uid="{00000000-0005-0000-0000-0000FE570000}"/>
    <cellStyle name="Comma 3 6 2 3 4" xfId="9811" xr:uid="{00000000-0005-0000-0000-0000FF570000}"/>
    <cellStyle name="Comma 3 6 2 3 5" xfId="22007" xr:uid="{00000000-0005-0000-0000-000000580000}"/>
    <cellStyle name="Comma 3 6 2 4" xfId="5763" xr:uid="{00000000-0005-0000-0000-000001580000}"/>
    <cellStyle name="Comma 3 6 2 4 2" xfId="5764" xr:uid="{00000000-0005-0000-0000-000002580000}"/>
    <cellStyle name="Comma 3 6 2 4 2 2" xfId="13148" xr:uid="{00000000-0005-0000-0000-000003580000}"/>
    <cellStyle name="Comma 3 6 2 4 2 3" xfId="22003" xr:uid="{00000000-0005-0000-0000-000004580000}"/>
    <cellStyle name="Comma 3 6 2 4 3" xfId="12081" xr:uid="{00000000-0005-0000-0000-000005580000}"/>
    <cellStyle name="Comma 3 6 2 4 3 2" xfId="25796" xr:uid="{00000000-0005-0000-0000-000006580000}"/>
    <cellStyle name="Comma 3 6 2 4 4" xfId="22004" xr:uid="{00000000-0005-0000-0000-000007580000}"/>
    <cellStyle name="Comma 3 6 2 5" xfId="5765" xr:uid="{00000000-0005-0000-0000-000008580000}"/>
    <cellStyle name="Comma 3 6 2 5 2" xfId="5766" xr:uid="{00000000-0005-0000-0000-000009580000}"/>
    <cellStyle name="Comma 3 6 2 5 2 2" xfId="15617" xr:uid="{00000000-0005-0000-0000-00000A580000}"/>
    <cellStyle name="Comma 3 6 2 5 2 3" xfId="22001" xr:uid="{00000000-0005-0000-0000-00000B580000}"/>
    <cellStyle name="Comma 3 6 2 5 3" xfId="13656" xr:uid="{00000000-0005-0000-0000-00000C580000}"/>
    <cellStyle name="Comma 3 6 2 5 3 2" xfId="27205" xr:uid="{00000000-0005-0000-0000-00000D580000}"/>
    <cellStyle name="Comma 3 6 2 5 4" xfId="22002" xr:uid="{00000000-0005-0000-0000-00000E580000}"/>
    <cellStyle name="Comma 3 6 2 6" xfId="5767" xr:uid="{00000000-0005-0000-0000-00000F580000}"/>
    <cellStyle name="Comma 3 6 2 6 2" xfId="14237" xr:uid="{00000000-0005-0000-0000-000010580000}"/>
    <cellStyle name="Comma 3 6 2 6 2 2" xfId="27786" xr:uid="{00000000-0005-0000-0000-000011580000}"/>
    <cellStyle name="Comma 3 6 2 6 3" xfId="22000" xr:uid="{00000000-0005-0000-0000-000012580000}"/>
    <cellStyle name="Comma 3 6 2 7" xfId="5768" xr:uid="{00000000-0005-0000-0000-000013580000}"/>
    <cellStyle name="Comma 3 6 2 7 2" xfId="16123" xr:uid="{00000000-0005-0000-0000-000014580000}"/>
    <cellStyle name="Comma 3 6 2 7 2 2" xfId="29530" xr:uid="{00000000-0005-0000-0000-000015580000}"/>
    <cellStyle name="Comma 3 6 2 7 3" xfId="21999" xr:uid="{00000000-0005-0000-0000-000016580000}"/>
    <cellStyle name="Comma 3 6 2 8" xfId="9808" xr:uid="{00000000-0005-0000-0000-000017580000}"/>
    <cellStyle name="Comma 3 6 2 9" xfId="22018" xr:uid="{00000000-0005-0000-0000-000018580000}"/>
    <cellStyle name="Comma 3 6 3" xfId="5769" xr:uid="{00000000-0005-0000-0000-000019580000}"/>
    <cellStyle name="Comma 3 6 3 2" xfId="5770" xr:uid="{00000000-0005-0000-0000-00001A580000}"/>
    <cellStyle name="Comma 3 6 3 2 2" xfId="5771" xr:uid="{00000000-0005-0000-0000-00001B580000}"/>
    <cellStyle name="Comma 3 6 3 2 2 2" xfId="11349" xr:uid="{00000000-0005-0000-0000-00001C580000}"/>
    <cellStyle name="Comma 3 6 3 2 2 3" xfId="21996" xr:uid="{00000000-0005-0000-0000-00001D580000}"/>
    <cellStyle name="Comma 3 6 3 2 3" xfId="5772" xr:uid="{00000000-0005-0000-0000-00001E580000}"/>
    <cellStyle name="Comma 3 6 3 2 3 2" xfId="16850" xr:uid="{00000000-0005-0000-0000-00001F580000}"/>
    <cellStyle name="Comma 3 6 3 2 3 2 2" xfId="30257" xr:uid="{00000000-0005-0000-0000-000020580000}"/>
    <cellStyle name="Comma 3 6 3 2 3 3" xfId="21995" xr:uid="{00000000-0005-0000-0000-000021580000}"/>
    <cellStyle name="Comma 3 6 3 2 4" xfId="9813" xr:uid="{00000000-0005-0000-0000-000022580000}"/>
    <cellStyle name="Comma 3 6 3 2 5" xfId="21997" xr:uid="{00000000-0005-0000-0000-000023580000}"/>
    <cellStyle name="Comma 3 6 3 3" xfId="5773" xr:uid="{00000000-0005-0000-0000-000024580000}"/>
    <cellStyle name="Comma 3 6 3 3 2" xfId="5774" xr:uid="{00000000-0005-0000-0000-000025580000}"/>
    <cellStyle name="Comma 3 6 3 3 2 2" xfId="13149" xr:uid="{00000000-0005-0000-0000-000026580000}"/>
    <cellStyle name="Comma 3 6 3 3 2 3" xfId="21993" xr:uid="{00000000-0005-0000-0000-000027580000}"/>
    <cellStyle name="Comma 3 6 3 3 3" xfId="12238" xr:uid="{00000000-0005-0000-0000-000028580000}"/>
    <cellStyle name="Comma 3 6 3 3 3 2" xfId="25950" xr:uid="{00000000-0005-0000-0000-000029580000}"/>
    <cellStyle name="Comma 3 6 3 3 4" xfId="21994" xr:uid="{00000000-0005-0000-0000-00002A580000}"/>
    <cellStyle name="Comma 3 6 3 4" xfId="5775" xr:uid="{00000000-0005-0000-0000-00002B580000}"/>
    <cellStyle name="Comma 3 6 3 4 2" xfId="5776" xr:uid="{00000000-0005-0000-0000-00002C580000}"/>
    <cellStyle name="Comma 3 6 3 4 2 2" xfId="15618" xr:uid="{00000000-0005-0000-0000-00002D580000}"/>
    <cellStyle name="Comma 3 6 3 4 2 3" xfId="21991" xr:uid="{00000000-0005-0000-0000-00002E580000}"/>
    <cellStyle name="Comma 3 6 3 4 3" xfId="13802" xr:uid="{00000000-0005-0000-0000-00002F580000}"/>
    <cellStyle name="Comma 3 6 3 4 3 2" xfId="27351" xr:uid="{00000000-0005-0000-0000-000030580000}"/>
    <cellStyle name="Comma 3 6 3 4 4" xfId="21992" xr:uid="{00000000-0005-0000-0000-000031580000}"/>
    <cellStyle name="Comma 3 6 3 5" xfId="5777" xr:uid="{00000000-0005-0000-0000-000032580000}"/>
    <cellStyle name="Comma 3 6 3 5 2" xfId="14383" xr:uid="{00000000-0005-0000-0000-000033580000}"/>
    <cellStyle name="Comma 3 6 3 5 2 2" xfId="27932" xr:uid="{00000000-0005-0000-0000-000034580000}"/>
    <cellStyle name="Comma 3 6 3 5 3" xfId="21990" xr:uid="{00000000-0005-0000-0000-000035580000}"/>
    <cellStyle name="Comma 3 6 3 6" xfId="5778" xr:uid="{00000000-0005-0000-0000-000036580000}"/>
    <cellStyle name="Comma 3 6 3 6 2" xfId="16269" xr:uid="{00000000-0005-0000-0000-000037580000}"/>
    <cellStyle name="Comma 3 6 3 6 2 2" xfId="29676" xr:uid="{00000000-0005-0000-0000-000038580000}"/>
    <cellStyle name="Comma 3 6 3 6 3" xfId="21989" xr:uid="{00000000-0005-0000-0000-000039580000}"/>
    <cellStyle name="Comma 3 6 3 7" xfId="9812" xr:uid="{00000000-0005-0000-0000-00003A580000}"/>
    <cellStyle name="Comma 3 6 3 8" xfId="21998" xr:uid="{00000000-0005-0000-0000-00003B580000}"/>
    <cellStyle name="Comma 3 6 4" xfId="5779" xr:uid="{00000000-0005-0000-0000-00003C580000}"/>
    <cellStyle name="Comma 3 6 4 2" xfId="5780" xr:uid="{00000000-0005-0000-0000-00003D580000}"/>
    <cellStyle name="Comma 3 6 4 2 2" xfId="16561" xr:uid="{00000000-0005-0000-0000-00003E580000}"/>
    <cellStyle name="Comma 3 6 4 2 2 2" xfId="29968" xr:uid="{00000000-0005-0000-0000-00003F580000}"/>
    <cellStyle name="Comma 3 6 4 2 3" xfId="21987" xr:uid="{00000000-0005-0000-0000-000040580000}"/>
    <cellStyle name="Comma 3 6 4 3" xfId="9814" xr:uid="{00000000-0005-0000-0000-000041580000}"/>
    <cellStyle name="Comma 3 6 4 4" xfId="21988" xr:uid="{00000000-0005-0000-0000-000042580000}"/>
    <cellStyle name="Comma 3 6 5" xfId="5781" xr:uid="{00000000-0005-0000-0000-000043580000}"/>
    <cellStyle name="Comma 3 6 5 2" xfId="5782" xr:uid="{00000000-0005-0000-0000-000044580000}"/>
    <cellStyle name="Comma 3 6 5 2 2" xfId="11350" xr:uid="{00000000-0005-0000-0000-000045580000}"/>
    <cellStyle name="Comma 3 6 5 2 3" xfId="21985" xr:uid="{00000000-0005-0000-0000-000046580000}"/>
    <cellStyle name="Comma 3 6 5 3" xfId="9815" xr:uid="{00000000-0005-0000-0000-000047580000}"/>
    <cellStyle name="Comma 3 6 5 4" xfId="21986" xr:uid="{00000000-0005-0000-0000-000048580000}"/>
    <cellStyle name="Comma 3 6 6" xfId="5783" xr:uid="{00000000-0005-0000-0000-000049580000}"/>
    <cellStyle name="Comma 3 6 6 2" xfId="5784" xr:uid="{00000000-0005-0000-0000-00004A580000}"/>
    <cellStyle name="Comma 3 6 6 2 2" xfId="13150" xr:uid="{00000000-0005-0000-0000-00004B580000}"/>
    <cellStyle name="Comma 3 6 6 2 3" xfId="21983" xr:uid="{00000000-0005-0000-0000-00004C580000}"/>
    <cellStyle name="Comma 3 6 6 3" xfId="11936" xr:uid="{00000000-0005-0000-0000-00004D580000}"/>
    <cellStyle name="Comma 3 6 6 3 2" xfId="25651" xr:uid="{00000000-0005-0000-0000-00004E580000}"/>
    <cellStyle name="Comma 3 6 6 4" xfId="21984" xr:uid="{00000000-0005-0000-0000-00004F580000}"/>
    <cellStyle name="Comma 3 6 7" xfId="5785" xr:uid="{00000000-0005-0000-0000-000050580000}"/>
    <cellStyle name="Comma 3 6 7 2" xfId="5786" xr:uid="{00000000-0005-0000-0000-000051580000}"/>
    <cellStyle name="Comma 3 6 7 2 2" xfId="15619" xr:uid="{00000000-0005-0000-0000-000052580000}"/>
    <cellStyle name="Comma 3 6 7 2 3" xfId="21981" xr:uid="{00000000-0005-0000-0000-000053580000}"/>
    <cellStyle name="Comma 3 6 7 3" xfId="13513" xr:uid="{00000000-0005-0000-0000-000054580000}"/>
    <cellStyle name="Comma 3 6 7 3 2" xfId="27062" xr:uid="{00000000-0005-0000-0000-000055580000}"/>
    <cellStyle name="Comma 3 6 7 4" xfId="21982" xr:uid="{00000000-0005-0000-0000-000056580000}"/>
    <cellStyle name="Comma 3 6 8" xfId="5787" xr:uid="{00000000-0005-0000-0000-000057580000}"/>
    <cellStyle name="Comma 3 6 8 2" xfId="14094" xr:uid="{00000000-0005-0000-0000-000058580000}"/>
    <cellStyle name="Comma 3 6 8 2 2" xfId="27643" xr:uid="{00000000-0005-0000-0000-000059580000}"/>
    <cellStyle name="Comma 3 6 8 3" xfId="21980" xr:uid="{00000000-0005-0000-0000-00005A580000}"/>
    <cellStyle name="Comma 3 6 9" xfId="5788" xr:uid="{00000000-0005-0000-0000-00005B580000}"/>
    <cellStyle name="Comma 3 6 9 2" xfId="15980" xr:uid="{00000000-0005-0000-0000-00005C580000}"/>
    <cellStyle name="Comma 3 6 9 2 2" xfId="29387" xr:uid="{00000000-0005-0000-0000-00005D580000}"/>
    <cellStyle name="Comma 3 6 9 3" xfId="21979" xr:uid="{00000000-0005-0000-0000-00005E580000}"/>
    <cellStyle name="Comma 3 7" xfId="5789" xr:uid="{00000000-0005-0000-0000-00005F580000}"/>
    <cellStyle name="Comma 3 7 2" xfId="5790" xr:uid="{00000000-0005-0000-0000-000060580000}"/>
    <cellStyle name="Comma 3 7 2 2" xfId="5791" xr:uid="{00000000-0005-0000-0000-000061580000}"/>
    <cellStyle name="Comma 3 7 2 2 2" xfId="5792" xr:uid="{00000000-0005-0000-0000-000062580000}"/>
    <cellStyle name="Comma 3 7 2 2 2 2" xfId="11351" xr:uid="{00000000-0005-0000-0000-000063580000}"/>
    <cellStyle name="Comma 3 7 2 2 2 3" xfId="21975" xr:uid="{00000000-0005-0000-0000-000064580000}"/>
    <cellStyle name="Comma 3 7 2 2 3" xfId="5793" xr:uid="{00000000-0005-0000-0000-000065580000}"/>
    <cellStyle name="Comma 3 7 2 2 3 2" xfId="16870" xr:uid="{00000000-0005-0000-0000-000066580000}"/>
    <cellStyle name="Comma 3 7 2 2 3 2 2" xfId="30277" xr:uid="{00000000-0005-0000-0000-000067580000}"/>
    <cellStyle name="Comma 3 7 2 2 3 3" xfId="21974" xr:uid="{00000000-0005-0000-0000-000068580000}"/>
    <cellStyle name="Comma 3 7 2 2 4" xfId="9818" xr:uid="{00000000-0005-0000-0000-000069580000}"/>
    <cellStyle name="Comma 3 7 2 2 5" xfId="21976" xr:uid="{00000000-0005-0000-0000-00006A580000}"/>
    <cellStyle name="Comma 3 7 2 3" xfId="5794" xr:uid="{00000000-0005-0000-0000-00006B580000}"/>
    <cellStyle name="Comma 3 7 2 3 2" xfId="5795" xr:uid="{00000000-0005-0000-0000-00006C580000}"/>
    <cellStyle name="Comma 3 7 2 3 2 2" xfId="13151" xr:uid="{00000000-0005-0000-0000-00006D580000}"/>
    <cellStyle name="Comma 3 7 2 3 2 3" xfId="21972" xr:uid="{00000000-0005-0000-0000-00006E580000}"/>
    <cellStyle name="Comma 3 7 2 3 3" xfId="12258" xr:uid="{00000000-0005-0000-0000-00006F580000}"/>
    <cellStyle name="Comma 3 7 2 3 3 2" xfId="25970" xr:uid="{00000000-0005-0000-0000-000070580000}"/>
    <cellStyle name="Comma 3 7 2 3 4" xfId="21973" xr:uid="{00000000-0005-0000-0000-000071580000}"/>
    <cellStyle name="Comma 3 7 2 4" xfId="5796" xr:uid="{00000000-0005-0000-0000-000072580000}"/>
    <cellStyle name="Comma 3 7 2 4 2" xfId="5797" xr:uid="{00000000-0005-0000-0000-000073580000}"/>
    <cellStyle name="Comma 3 7 2 4 2 2" xfId="15620" xr:uid="{00000000-0005-0000-0000-000074580000}"/>
    <cellStyle name="Comma 3 7 2 4 2 3" xfId="21970" xr:uid="{00000000-0005-0000-0000-000075580000}"/>
    <cellStyle name="Comma 3 7 2 4 3" xfId="13822" xr:uid="{00000000-0005-0000-0000-000076580000}"/>
    <cellStyle name="Comma 3 7 2 4 3 2" xfId="27371" xr:uid="{00000000-0005-0000-0000-000077580000}"/>
    <cellStyle name="Comma 3 7 2 4 4" xfId="21971" xr:uid="{00000000-0005-0000-0000-000078580000}"/>
    <cellStyle name="Comma 3 7 2 5" xfId="5798" xr:uid="{00000000-0005-0000-0000-000079580000}"/>
    <cellStyle name="Comma 3 7 2 5 2" xfId="14403" xr:uid="{00000000-0005-0000-0000-00007A580000}"/>
    <cellStyle name="Comma 3 7 2 5 2 2" xfId="27952" xr:uid="{00000000-0005-0000-0000-00007B580000}"/>
    <cellStyle name="Comma 3 7 2 5 3" xfId="21969" xr:uid="{00000000-0005-0000-0000-00007C580000}"/>
    <cellStyle name="Comma 3 7 2 6" xfId="5799" xr:uid="{00000000-0005-0000-0000-00007D580000}"/>
    <cellStyle name="Comma 3 7 2 6 2" xfId="16289" xr:uid="{00000000-0005-0000-0000-00007E580000}"/>
    <cellStyle name="Comma 3 7 2 6 2 2" xfId="29696" xr:uid="{00000000-0005-0000-0000-00007F580000}"/>
    <cellStyle name="Comma 3 7 2 6 3" xfId="21968" xr:uid="{00000000-0005-0000-0000-000080580000}"/>
    <cellStyle name="Comma 3 7 2 7" xfId="9817" xr:uid="{00000000-0005-0000-0000-000081580000}"/>
    <cellStyle name="Comma 3 7 2 8" xfId="21977" xr:uid="{00000000-0005-0000-0000-000082580000}"/>
    <cellStyle name="Comma 3 7 3" xfId="5800" xr:uid="{00000000-0005-0000-0000-000083580000}"/>
    <cellStyle name="Comma 3 7 3 2" xfId="5801" xr:uid="{00000000-0005-0000-0000-000084580000}"/>
    <cellStyle name="Comma 3 7 3 2 2" xfId="11352" xr:uid="{00000000-0005-0000-0000-000085580000}"/>
    <cellStyle name="Comma 3 7 3 2 3" xfId="21966" xr:uid="{00000000-0005-0000-0000-000086580000}"/>
    <cellStyle name="Comma 3 7 3 3" xfId="5802" xr:uid="{00000000-0005-0000-0000-000087580000}"/>
    <cellStyle name="Comma 3 7 3 3 2" xfId="16581" xr:uid="{00000000-0005-0000-0000-000088580000}"/>
    <cellStyle name="Comma 3 7 3 3 2 2" xfId="29988" xr:uid="{00000000-0005-0000-0000-000089580000}"/>
    <cellStyle name="Comma 3 7 3 3 3" xfId="21965" xr:uid="{00000000-0005-0000-0000-00008A580000}"/>
    <cellStyle name="Comma 3 7 3 4" xfId="9819" xr:uid="{00000000-0005-0000-0000-00008B580000}"/>
    <cellStyle name="Comma 3 7 3 5" xfId="21967" xr:uid="{00000000-0005-0000-0000-00008C580000}"/>
    <cellStyle name="Comma 3 7 4" xfId="5803" xr:uid="{00000000-0005-0000-0000-00008D580000}"/>
    <cellStyle name="Comma 3 7 4 2" xfId="5804" xr:uid="{00000000-0005-0000-0000-00008E580000}"/>
    <cellStyle name="Comma 3 7 4 2 2" xfId="13152" xr:uid="{00000000-0005-0000-0000-00008F580000}"/>
    <cellStyle name="Comma 3 7 4 2 3" xfId="21963" xr:uid="{00000000-0005-0000-0000-000090580000}"/>
    <cellStyle name="Comma 3 7 4 3" xfId="11956" xr:uid="{00000000-0005-0000-0000-000091580000}"/>
    <cellStyle name="Comma 3 7 4 3 2" xfId="25671" xr:uid="{00000000-0005-0000-0000-000092580000}"/>
    <cellStyle name="Comma 3 7 4 4" xfId="21964" xr:uid="{00000000-0005-0000-0000-000093580000}"/>
    <cellStyle name="Comma 3 7 5" xfId="5805" xr:uid="{00000000-0005-0000-0000-000094580000}"/>
    <cellStyle name="Comma 3 7 5 2" xfId="5806" xr:uid="{00000000-0005-0000-0000-000095580000}"/>
    <cellStyle name="Comma 3 7 5 2 2" xfId="15621" xr:uid="{00000000-0005-0000-0000-000096580000}"/>
    <cellStyle name="Comma 3 7 5 2 3" xfId="21961" xr:uid="{00000000-0005-0000-0000-000097580000}"/>
    <cellStyle name="Comma 3 7 5 3" xfId="13533" xr:uid="{00000000-0005-0000-0000-000098580000}"/>
    <cellStyle name="Comma 3 7 5 3 2" xfId="27082" xr:uid="{00000000-0005-0000-0000-000099580000}"/>
    <cellStyle name="Comma 3 7 5 4" xfId="21962" xr:uid="{00000000-0005-0000-0000-00009A580000}"/>
    <cellStyle name="Comma 3 7 6" xfId="5807" xr:uid="{00000000-0005-0000-0000-00009B580000}"/>
    <cellStyle name="Comma 3 7 6 2" xfId="14114" xr:uid="{00000000-0005-0000-0000-00009C580000}"/>
    <cellStyle name="Comma 3 7 6 2 2" xfId="27663" xr:uid="{00000000-0005-0000-0000-00009D580000}"/>
    <cellStyle name="Comma 3 7 6 3" xfId="21960" xr:uid="{00000000-0005-0000-0000-00009E580000}"/>
    <cellStyle name="Comma 3 7 7" xfId="5808" xr:uid="{00000000-0005-0000-0000-00009F580000}"/>
    <cellStyle name="Comma 3 7 7 2" xfId="16000" xr:uid="{00000000-0005-0000-0000-0000A0580000}"/>
    <cellStyle name="Comma 3 7 7 2 2" xfId="29407" xr:uid="{00000000-0005-0000-0000-0000A1580000}"/>
    <cellStyle name="Comma 3 7 7 3" xfId="21959" xr:uid="{00000000-0005-0000-0000-0000A2580000}"/>
    <cellStyle name="Comma 3 7 8" xfId="9816" xr:uid="{00000000-0005-0000-0000-0000A3580000}"/>
    <cellStyle name="Comma 3 7 9" xfId="21978" xr:uid="{00000000-0005-0000-0000-0000A4580000}"/>
    <cellStyle name="Comma 3 8" xfId="5809" xr:uid="{00000000-0005-0000-0000-0000A5580000}"/>
    <cellStyle name="Comma 3 8 2" xfId="5810" xr:uid="{00000000-0005-0000-0000-0000A6580000}"/>
    <cellStyle name="Comma 3 8 2 2" xfId="5811" xr:uid="{00000000-0005-0000-0000-0000A7580000}"/>
    <cellStyle name="Comma 3 8 2 2 2" xfId="11353" xr:uid="{00000000-0005-0000-0000-0000A8580000}"/>
    <cellStyle name="Comma 3 8 2 2 3" xfId="21956" xr:uid="{00000000-0005-0000-0000-0000A9580000}"/>
    <cellStyle name="Comma 3 8 2 3" xfId="5812" xr:uid="{00000000-0005-0000-0000-0000AA580000}"/>
    <cellStyle name="Comma 3 8 2 3 2" xfId="16726" xr:uid="{00000000-0005-0000-0000-0000AB580000}"/>
    <cellStyle name="Comma 3 8 2 3 2 2" xfId="30133" xr:uid="{00000000-0005-0000-0000-0000AC580000}"/>
    <cellStyle name="Comma 3 8 2 3 3" xfId="21955" xr:uid="{00000000-0005-0000-0000-0000AD580000}"/>
    <cellStyle name="Comma 3 8 2 4" xfId="9821" xr:uid="{00000000-0005-0000-0000-0000AE580000}"/>
    <cellStyle name="Comma 3 8 2 5" xfId="21957" xr:uid="{00000000-0005-0000-0000-0000AF580000}"/>
    <cellStyle name="Comma 3 8 3" xfId="5813" xr:uid="{00000000-0005-0000-0000-0000B0580000}"/>
    <cellStyle name="Comma 3 8 3 2" xfId="5814" xr:uid="{00000000-0005-0000-0000-0000B1580000}"/>
    <cellStyle name="Comma 3 8 3 2 2" xfId="13153" xr:uid="{00000000-0005-0000-0000-0000B2580000}"/>
    <cellStyle name="Comma 3 8 3 2 3" xfId="21953" xr:uid="{00000000-0005-0000-0000-0000B3580000}"/>
    <cellStyle name="Comma 3 8 3 3" xfId="12108" xr:uid="{00000000-0005-0000-0000-0000B4580000}"/>
    <cellStyle name="Comma 3 8 3 3 2" xfId="25820" xr:uid="{00000000-0005-0000-0000-0000B5580000}"/>
    <cellStyle name="Comma 3 8 3 4" xfId="21954" xr:uid="{00000000-0005-0000-0000-0000B6580000}"/>
    <cellStyle name="Comma 3 8 4" xfId="5815" xr:uid="{00000000-0005-0000-0000-0000B7580000}"/>
    <cellStyle name="Comma 3 8 4 2" xfId="5816" xr:uid="{00000000-0005-0000-0000-0000B8580000}"/>
    <cellStyle name="Comma 3 8 4 2 2" xfId="15622" xr:uid="{00000000-0005-0000-0000-0000B9580000}"/>
    <cellStyle name="Comma 3 8 4 2 3" xfId="21951" xr:uid="{00000000-0005-0000-0000-0000BA580000}"/>
    <cellStyle name="Comma 3 8 4 3" xfId="13678" xr:uid="{00000000-0005-0000-0000-0000BB580000}"/>
    <cellStyle name="Comma 3 8 4 3 2" xfId="27227" xr:uid="{00000000-0005-0000-0000-0000BC580000}"/>
    <cellStyle name="Comma 3 8 4 4" xfId="21952" xr:uid="{00000000-0005-0000-0000-0000BD580000}"/>
    <cellStyle name="Comma 3 8 5" xfId="5817" xr:uid="{00000000-0005-0000-0000-0000BE580000}"/>
    <cellStyle name="Comma 3 8 5 2" xfId="14259" xr:uid="{00000000-0005-0000-0000-0000BF580000}"/>
    <cellStyle name="Comma 3 8 5 2 2" xfId="27808" xr:uid="{00000000-0005-0000-0000-0000C0580000}"/>
    <cellStyle name="Comma 3 8 5 3" xfId="21950" xr:uid="{00000000-0005-0000-0000-0000C1580000}"/>
    <cellStyle name="Comma 3 8 6" xfId="5818" xr:uid="{00000000-0005-0000-0000-0000C2580000}"/>
    <cellStyle name="Comma 3 8 6 2" xfId="16145" xr:uid="{00000000-0005-0000-0000-0000C3580000}"/>
    <cellStyle name="Comma 3 8 6 2 2" xfId="29552" xr:uid="{00000000-0005-0000-0000-0000C4580000}"/>
    <cellStyle name="Comma 3 8 6 3" xfId="21949" xr:uid="{00000000-0005-0000-0000-0000C5580000}"/>
    <cellStyle name="Comma 3 8 7" xfId="9820" xr:uid="{00000000-0005-0000-0000-0000C6580000}"/>
    <cellStyle name="Comma 3 8 8" xfId="21958" xr:uid="{00000000-0005-0000-0000-0000C7580000}"/>
    <cellStyle name="Comma 3 9" xfId="5819" xr:uid="{00000000-0005-0000-0000-0000C8580000}"/>
    <cellStyle name="Comma 3 9 2" xfId="5820" xr:uid="{00000000-0005-0000-0000-0000C9580000}"/>
    <cellStyle name="Comma 3 9 2 2" xfId="5821" xr:uid="{00000000-0005-0000-0000-0000CA580000}"/>
    <cellStyle name="Comma 3 9 2 2 2" xfId="11354" xr:uid="{00000000-0005-0000-0000-0000CB580000}"/>
    <cellStyle name="Comma 3 9 2 2 3" xfId="21946" xr:uid="{00000000-0005-0000-0000-0000CC580000}"/>
    <cellStyle name="Comma 3 9 2 3" xfId="5822" xr:uid="{00000000-0005-0000-0000-0000CD580000}"/>
    <cellStyle name="Comma 3 9 2 3 2" xfId="16724" xr:uid="{00000000-0005-0000-0000-0000CE580000}"/>
    <cellStyle name="Comma 3 9 2 3 2 2" xfId="30131" xr:uid="{00000000-0005-0000-0000-0000CF580000}"/>
    <cellStyle name="Comma 3 9 2 3 3" xfId="21945" xr:uid="{00000000-0005-0000-0000-0000D0580000}"/>
    <cellStyle name="Comma 3 9 2 4" xfId="9823" xr:uid="{00000000-0005-0000-0000-0000D1580000}"/>
    <cellStyle name="Comma 3 9 2 5" xfId="21947" xr:uid="{00000000-0005-0000-0000-0000D2580000}"/>
    <cellStyle name="Comma 3 9 3" xfId="5823" xr:uid="{00000000-0005-0000-0000-0000D3580000}"/>
    <cellStyle name="Comma 3 9 3 2" xfId="5824" xr:uid="{00000000-0005-0000-0000-0000D4580000}"/>
    <cellStyle name="Comma 3 9 3 2 2" xfId="13154" xr:uid="{00000000-0005-0000-0000-0000D5580000}"/>
    <cellStyle name="Comma 3 9 3 2 3" xfId="21943" xr:uid="{00000000-0005-0000-0000-0000D6580000}"/>
    <cellStyle name="Comma 3 9 3 3" xfId="12104" xr:uid="{00000000-0005-0000-0000-0000D7580000}"/>
    <cellStyle name="Comma 3 9 3 3 2" xfId="25816" xr:uid="{00000000-0005-0000-0000-0000D8580000}"/>
    <cellStyle name="Comma 3 9 3 4" xfId="21944" xr:uid="{00000000-0005-0000-0000-0000D9580000}"/>
    <cellStyle name="Comma 3 9 4" xfId="5825" xr:uid="{00000000-0005-0000-0000-0000DA580000}"/>
    <cellStyle name="Comma 3 9 4 2" xfId="5826" xr:uid="{00000000-0005-0000-0000-0000DB580000}"/>
    <cellStyle name="Comma 3 9 4 2 2" xfId="15623" xr:uid="{00000000-0005-0000-0000-0000DC580000}"/>
    <cellStyle name="Comma 3 9 4 2 3" xfId="21941" xr:uid="{00000000-0005-0000-0000-0000DD580000}"/>
    <cellStyle name="Comma 3 9 4 3" xfId="13676" xr:uid="{00000000-0005-0000-0000-0000DE580000}"/>
    <cellStyle name="Comma 3 9 4 3 2" xfId="27225" xr:uid="{00000000-0005-0000-0000-0000DF580000}"/>
    <cellStyle name="Comma 3 9 4 4" xfId="21942" xr:uid="{00000000-0005-0000-0000-0000E0580000}"/>
    <cellStyle name="Comma 3 9 5" xfId="5827" xr:uid="{00000000-0005-0000-0000-0000E1580000}"/>
    <cellStyle name="Comma 3 9 5 2" xfId="14257" xr:uid="{00000000-0005-0000-0000-0000E2580000}"/>
    <cellStyle name="Comma 3 9 5 2 2" xfId="27806" xr:uid="{00000000-0005-0000-0000-0000E3580000}"/>
    <cellStyle name="Comma 3 9 5 3" xfId="21940" xr:uid="{00000000-0005-0000-0000-0000E4580000}"/>
    <cellStyle name="Comma 3 9 6" xfId="5828" xr:uid="{00000000-0005-0000-0000-0000E5580000}"/>
    <cellStyle name="Comma 3 9 6 2" xfId="16143" xr:uid="{00000000-0005-0000-0000-0000E6580000}"/>
    <cellStyle name="Comma 3 9 6 2 2" xfId="29550" xr:uid="{00000000-0005-0000-0000-0000E7580000}"/>
    <cellStyle name="Comma 3 9 6 3" xfId="21939" xr:uid="{00000000-0005-0000-0000-0000E8580000}"/>
    <cellStyle name="Comma 3 9 7" xfId="9822" xr:uid="{00000000-0005-0000-0000-0000E9580000}"/>
    <cellStyle name="Comma 3 9 8" xfId="21948" xr:uid="{00000000-0005-0000-0000-0000EA580000}"/>
    <cellStyle name="Comma 4" xfId="5829" xr:uid="{00000000-0005-0000-0000-0000EB580000}"/>
    <cellStyle name="Comma 4 2" xfId="5830" xr:uid="{00000000-0005-0000-0000-0000EC580000}"/>
    <cellStyle name="Comma 4 2 2" xfId="9825" xr:uid="{00000000-0005-0000-0000-0000ED580000}"/>
    <cellStyle name="Comma 4 2 3" xfId="21937" xr:uid="{00000000-0005-0000-0000-0000EE580000}"/>
    <cellStyle name="Comma 4 3" xfId="5831" xr:uid="{00000000-0005-0000-0000-0000EF580000}"/>
    <cellStyle name="Comma 4 3 2" xfId="13155" xr:uid="{00000000-0005-0000-0000-0000F0580000}"/>
    <cellStyle name="Comma 4 3 3" xfId="21936" xr:uid="{00000000-0005-0000-0000-0000F1580000}"/>
    <cellStyle name="Comma 4 4" xfId="5832" xr:uid="{00000000-0005-0000-0000-0000F2580000}"/>
    <cellStyle name="Comma 4 4 2" xfId="9824" xr:uid="{00000000-0005-0000-0000-0000F3580000}"/>
    <cellStyle name="Comma 4 4 3" xfId="21935" xr:uid="{00000000-0005-0000-0000-0000F4580000}"/>
    <cellStyle name="Comma 4 5" xfId="8667" xr:uid="{00000000-0005-0000-0000-0000F5580000}"/>
    <cellStyle name="Comma 4 6" xfId="21938" xr:uid="{00000000-0005-0000-0000-0000F6580000}"/>
    <cellStyle name="Comma 4 7" xfId="32911" xr:uid="{00000000-0005-0000-0000-0000F7580000}"/>
    <cellStyle name="Comma 4 8" xfId="33086" xr:uid="{00000000-0005-0000-0000-0000F8580000}"/>
    <cellStyle name="Comma 5" xfId="5833" xr:uid="{00000000-0005-0000-0000-0000F9580000}"/>
    <cellStyle name="Comma 5 2" xfId="5834" xr:uid="{00000000-0005-0000-0000-0000FA580000}"/>
    <cellStyle name="Comma 5 2 2" xfId="17021" xr:uid="{00000000-0005-0000-0000-0000FB580000}"/>
    <cellStyle name="Comma 5 2 2 2" xfId="30428" xr:uid="{00000000-0005-0000-0000-0000FC580000}"/>
    <cellStyle name="Comma 5 2 3" xfId="21933" xr:uid="{00000000-0005-0000-0000-0000FD580000}"/>
    <cellStyle name="Comma 5 2 4" xfId="33098" xr:uid="{00000000-0005-0000-0000-0000FE580000}"/>
    <cellStyle name="Comma 5 3" xfId="5835" xr:uid="{00000000-0005-0000-0000-0000FF580000}"/>
    <cellStyle name="Comma 5 3 2" xfId="17332" xr:uid="{00000000-0005-0000-0000-000000590000}"/>
    <cellStyle name="Comma 5 3 3" xfId="21932" xr:uid="{00000000-0005-0000-0000-000001590000}"/>
    <cellStyle name="Comma 5 4" xfId="8728" xr:uid="{00000000-0005-0000-0000-000002590000}"/>
    <cellStyle name="Comma 5 4 2" xfId="33100" xr:uid="{00000000-0005-0000-0000-000003590000}"/>
    <cellStyle name="Comma 5 5" xfId="21934" xr:uid="{00000000-0005-0000-0000-000004590000}"/>
    <cellStyle name="Comma 6" xfId="5836" xr:uid="{00000000-0005-0000-0000-000005590000}"/>
    <cellStyle name="Comma 6 2" xfId="5837" xr:uid="{00000000-0005-0000-0000-000006590000}"/>
    <cellStyle name="Comma 6 2 2" xfId="17022" xr:uid="{00000000-0005-0000-0000-000007590000}"/>
    <cellStyle name="Comma 6 2 2 2" xfId="30429" xr:uid="{00000000-0005-0000-0000-000008590000}"/>
    <cellStyle name="Comma 6 2 3" xfId="21930" xr:uid="{00000000-0005-0000-0000-000009590000}"/>
    <cellStyle name="Comma 6 3" xfId="9826" xr:uid="{00000000-0005-0000-0000-00000A590000}"/>
    <cellStyle name="Comma 6 4" xfId="21931" xr:uid="{00000000-0005-0000-0000-00000B590000}"/>
    <cellStyle name="Comma 7" xfId="5838" xr:uid="{00000000-0005-0000-0000-00000C590000}"/>
    <cellStyle name="Comma 7 2" xfId="5839" xr:uid="{00000000-0005-0000-0000-00000D590000}"/>
    <cellStyle name="Comma 7 2 2" xfId="17023" xr:uid="{00000000-0005-0000-0000-00000E590000}"/>
    <cellStyle name="Comma 7 2 2 2" xfId="30430" xr:uid="{00000000-0005-0000-0000-00000F590000}"/>
    <cellStyle name="Comma 7 2 3" xfId="21928" xr:uid="{00000000-0005-0000-0000-000010590000}"/>
    <cellStyle name="Comma 7 3" xfId="9827" xr:uid="{00000000-0005-0000-0000-000011590000}"/>
    <cellStyle name="Comma 7 4" xfId="21929" xr:uid="{00000000-0005-0000-0000-000012590000}"/>
    <cellStyle name="Comma 8" xfId="5840" xr:uid="{00000000-0005-0000-0000-000013590000}"/>
    <cellStyle name="Comma 8 2" xfId="5841" xr:uid="{00000000-0005-0000-0000-000014590000}"/>
    <cellStyle name="Comma 8 2 2" xfId="9829" xr:uid="{00000000-0005-0000-0000-000015590000}"/>
    <cellStyle name="Comma 8 2 3" xfId="21926" xr:uid="{00000000-0005-0000-0000-000016590000}"/>
    <cellStyle name="Comma 8 3" xfId="5842" xr:uid="{00000000-0005-0000-0000-000017590000}"/>
    <cellStyle name="Comma 8 3 2" xfId="13156" xr:uid="{00000000-0005-0000-0000-000018590000}"/>
    <cellStyle name="Comma 8 3 3" xfId="21925" xr:uid="{00000000-0005-0000-0000-000019590000}"/>
    <cellStyle name="Comma 8 4" xfId="9828" xr:uid="{00000000-0005-0000-0000-00001A590000}"/>
    <cellStyle name="Comma 8 5" xfId="21927" xr:uid="{00000000-0005-0000-0000-00001B590000}"/>
    <cellStyle name="Comma 9" xfId="5843" xr:uid="{00000000-0005-0000-0000-00001C590000}"/>
    <cellStyle name="Comma 9 2" xfId="5844" xr:uid="{00000000-0005-0000-0000-00001D590000}"/>
    <cellStyle name="Comma 9 2 2" xfId="5845" xr:uid="{00000000-0005-0000-0000-00001E590000}"/>
    <cellStyle name="Comma 9 2 2 2" xfId="11356" xr:uid="{00000000-0005-0000-0000-00001F590000}"/>
    <cellStyle name="Comma 9 2 2 3" xfId="21922" xr:uid="{00000000-0005-0000-0000-000020590000}"/>
    <cellStyle name="Comma 9 2 3" xfId="9831" xr:uid="{00000000-0005-0000-0000-000021590000}"/>
    <cellStyle name="Comma 9 2 4" xfId="21923" xr:uid="{00000000-0005-0000-0000-000022590000}"/>
    <cellStyle name="Comma 9 3" xfId="5846" xr:uid="{00000000-0005-0000-0000-000023590000}"/>
    <cellStyle name="Comma 9 3 2" xfId="11355" xr:uid="{00000000-0005-0000-0000-000024590000}"/>
    <cellStyle name="Comma 9 3 3" xfId="21921" xr:uid="{00000000-0005-0000-0000-000025590000}"/>
    <cellStyle name="Comma 9 4" xfId="5847" xr:uid="{00000000-0005-0000-0000-000026590000}"/>
    <cellStyle name="Comma 9 4 2" xfId="13157" xr:uid="{00000000-0005-0000-0000-000027590000}"/>
    <cellStyle name="Comma 9 4 3" xfId="21920" xr:uid="{00000000-0005-0000-0000-000028590000}"/>
    <cellStyle name="Comma 9 5" xfId="9830" xr:uid="{00000000-0005-0000-0000-000029590000}"/>
    <cellStyle name="Comma 9 6" xfId="21924" xr:uid="{00000000-0005-0000-0000-00002A590000}"/>
    <cellStyle name="Comma0" xfId="5848" xr:uid="{00000000-0005-0000-0000-00002B590000}"/>
    <cellStyle name="Comma0 2" xfId="5849" xr:uid="{00000000-0005-0000-0000-00002C590000}"/>
    <cellStyle name="Comma0 2 2" xfId="5850" xr:uid="{00000000-0005-0000-0000-00002D590000}"/>
    <cellStyle name="Comma0 2 2 2" xfId="17024" xr:uid="{00000000-0005-0000-0000-00002E590000}"/>
    <cellStyle name="Comma0 2 2 3" xfId="21917" xr:uid="{00000000-0005-0000-0000-00002F590000}"/>
    <cellStyle name="Comma0 2 3" xfId="8668" xr:uid="{00000000-0005-0000-0000-000030590000}"/>
    <cellStyle name="Comma0 2 4" xfId="21918" xr:uid="{00000000-0005-0000-0000-000031590000}"/>
    <cellStyle name="Comma0 3" xfId="5851" xr:uid="{00000000-0005-0000-0000-000032590000}"/>
    <cellStyle name="Comma0 3 2" xfId="8732" xr:uid="{00000000-0005-0000-0000-000033590000}"/>
    <cellStyle name="Comma0 3 2 2" xfId="17333" xr:uid="{00000000-0005-0000-0000-000034590000}"/>
    <cellStyle name="Comma0 3 3" xfId="17295" xr:uid="{00000000-0005-0000-0000-000035590000}"/>
    <cellStyle name="Comma0 3 4" xfId="9832" xr:uid="{00000000-0005-0000-0000-000036590000}"/>
    <cellStyle name="Comma0 3 5" xfId="21916" xr:uid="{00000000-0005-0000-0000-000037590000}"/>
    <cellStyle name="Comma0 4" xfId="8660" xr:uid="{00000000-0005-0000-0000-000038590000}"/>
    <cellStyle name="Comma0 5" xfId="21919" xr:uid="{00000000-0005-0000-0000-000039590000}"/>
    <cellStyle name="Currency" xfId="33110" builtinId="4"/>
    <cellStyle name="Currency 10" xfId="5852" xr:uid="{00000000-0005-0000-0000-00003A590000}"/>
    <cellStyle name="Currency 10 2" xfId="9833" xr:uid="{00000000-0005-0000-0000-00003B590000}"/>
    <cellStyle name="Currency 10 3" xfId="21915" xr:uid="{00000000-0005-0000-0000-00003C590000}"/>
    <cellStyle name="Currency 11" xfId="5853" xr:uid="{00000000-0005-0000-0000-00003D590000}"/>
    <cellStyle name="Currency 11 2" xfId="5854" xr:uid="{00000000-0005-0000-0000-00003E590000}"/>
    <cellStyle name="Currency 11 2 2" xfId="9835" xr:uid="{00000000-0005-0000-0000-00003F590000}"/>
    <cellStyle name="Currency 11 2 3" xfId="21913" xr:uid="{00000000-0005-0000-0000-000040590000}"/>
    <cellStyle name="Currency 11 3" xfId="5855" xr:uid="{00000000-0005-0000-0000-000041590000}"/>
    <cellStyle name="Currency 11 3 2" xfId="13158" xr:uid="{00000000-0005-0000-0000-000042590000}"/>
    <cellStyle name="Currency 11 3 3" xfId="21912" xr:uid="{00000000-0005-0000-0000-000043590000}"/>
    <cellStyle name="Currency 11 4" xfId="9834" xr:uid="{00000000-0005-0000-0000-000044590000}"/>
    <cellStyle name="Currency 11 5" xfId="21914" xr:uid="{00000000-0005-0000-0000-000045590000}"/>
    <cellStyle name="Currency 12" xfId="5856" xr:uid="{00000000-0005-0000-0000-000046590000}"/>
    <cellStyle name="Currency 12 2" xfId="13159" xr:uid="{00000000-0005-0000-0000-000047590000}"/>
    <cellStyle name="Currency 12 3" xfId="21911" xr:uid="{00000000-0005-0000-0000-000048590000}"/>
    <cellStyle name="Currency 2" xfId="6" xr:uid="{00000000-0005-0000-0000-000049590000}"/>
    <cellStyle name="Currency 2 2" xfId="5858" xr:uid="{00000000-0005-0000-0000-00004A590000}"/>
    <cellStyle name="Currency 2 2 2" xfId="5859" xr:uid="{00000000-0005-0000-0000-00004B590000}"/>
    <cellStyle name="Currency 2 2 2 2" xfId="9837" xr:uid="{00000000-0005-0000-0000-00004C590000}"/>
    <cellStyle name="Currency 2 2 2 3" xfId="21908" xr:uid="{00000000-0005-0000-0000-00004D590000}"/>
    <cellStyle name="Currency 2 2 3" xfId="5860" xr:uid="{00000000-0005-0000-0000-00004E590000}"/>
    <cellStyle name="Currency 2 2 3 2" xfId="13160" xr:uid="{00000000-0005-0000-0000-00004F590000}"/>
    <cellStyle name="Currency 2 2 3 3" xfId="21907" xr:uid="{00000000-0005-0000-0000-000050590000}"/>
    <cellStyle name="Currency 2 2 4" xfId="5861" xr:uid="{00000000-0005-0000-0000-000051590000}"/>
    <cellStyle name="Currency 2 2 4 2" xfId="17025" xr:uid="{00000000-0005-0000-0000-000052590000}"/>
    <cellStyle name="Currency 2 2 4 2 2" xfId="30432" xr:uid="{00000000-0005-0000-0000-000053590000}"/>
    <cellStyle name="Currency 2 2 4 3" xfId="21906" xr:uid="{00000000-0005-0000-0000-000054590000}"/>
    <cellStyle name="Currency 2 2 5" xfId="8679" xr:uid="{00000000-0005-0000-0000-000055590000}"/>
    <cellStyle name="Currency 2 2 6" xfId="21909" xr:uid="{00000000-0005-0000-0000-000056590000}"/>
    <cellStyle name="Currency 2 3" xfId="5862" xr:uid="{00000000-0005-0000-0000-000057590000}"/>
    <cellStyle name="Currency 2 3 2" xfId="5863" xr:uid="{00000000-0005-0000-0000-000058590000}"/>
    <cellStyle name="Currency 2 3 2 2" xfId="13161" xr:uid="{00000000-0005-0000-0000-000059590000}"/>
    <cellStyle name="Currency 2 3 2 3" xfId="21904" xr:uid="{00000000-0005-0000-0000-00005A590000}"/>
    <cellStyle name="Currency 2 3 3" xfId="5864" xr:uid="{00000000-0005-0000-0000-00005B590000}"/>
    <cellStyle name="Currency 2 3 3 2" xfId="17026" xr:uid="{00000000-0005-0000-0000-00005C590000}"/>
    <cellStyle name="Currency 2 3 3 2 2" xfId="30433" xr:uid="{00000000-0005-0000-0000-00005D590000}"/>
    <cellStyle name="Currency 2 3 3 3" xfId="21903" xr:uid="{00000000-0005-0000-0000-00005E590000}"/>
    <cellStyle name="Currency 2 3 4" xfId="5865" xr:uid="{00000000-0005-0000-0000-00005F590000}"/>
    <cellStyle name="Currency 2 3 4 2" xfId="17368" xr:uid="{00000000-0005-0000-0000-000060590000}"/>
    <cellStyle name="Currency 2 3 4 3" xfId="21902" xr:uid="{00000000-0005-0000-0000-000061590000}"/>
    <cellStyle name="Currency 2 3 5" xfId="8738" xr:uid="{00000000-0005-0000-0000-000062590000}"/>
    <cellStyle name="Currency 2 3 6" xfId="10516" xr:uid="{00000000-0005-0000-0000-000063590000}"/>
    <cellStyle name="Currency 2 3 7" xfId="21905" xr:uid="{00000000-0005-0000-0000-000064590000}"/>
    <cellStyle name="Currency 2 4" xfId="8653" xr:uid="{00000000-0005-0000-0000-000065590000}"/>
    <cellStyle name="Currency 2 4 2" xfId="9836" xr:uid="{00000000-0005-0000-0000-000066590000}"/>
    <cellStyle name="Currency 2 5" xfId="17301" xr:uid="{00000000-0005-0000-0000-000067590000}"/>
    <cellStyle name="Currency 2 6" xfId="21910" xr:uid="{00000000-0005-0000-0000-000068590000}"/>
    <cellStyle name="Currency 2 7" xfId="32974" xr:uid="{00000000-0005-0000-0000-000069590000}"/>
    <cellStyle name="Currency 2 8" xfId="5857" xr:uid="{00000000-0005-0000-0000-00006A590000}"/>
    <cellStyle name="Currency 3" xfId="5866" xr:uid="{00000000-0005-0000-0000-00006B590000}"/>
    <cellStyle name="Currency 3 10" xfId="5867" xr:uid="{00000000-0005-0000-0000-00006C590000}"/>
    <cellStyle name="Currency 3 10 2" xfId="9839" xr:uid="{00000000-0005-0000-0000-00006D590000}"/>
    <cellStyle name="Currency 3 10 3" xfId="21900" xr:uid="{00000000-0005-0000-0000-00006E590000}"/>
    <cellStyle name="Currency 3 11" xfId="5868" xr:uid="{00000000-0005-0000-0000-00006F590000}"/>
    <cellStyle name="Currency 3 11 2" xfId="5869" xr:uid="{00000000-0005-0000-0000-000070590000}"/>
    <cellStyle name="Currency 3 11 2 2" xfId="13162" xr:uid="{00000000-0005-0000-0000-000071590000}"/>
    <cellStyle name="Currency 3 11 2 3" xfId="21898" xr:uid="{00000000-0005-0000-0000-000072590000}"/>
    <cellStyle name="Currency 3 11 3" xfId="5870" xr:uid="{00000000-0005-0000-0000-000073590000}"/>
    <cellStyle name="Currency 3 11 3 2" xfId="17027" xr:uid="{00000000-0005-0000-0000-000074590000}"/>
    <cellStyle name="Currency 3 11 3 2 2" xfId="30434" xr:uid="{00000000-0005-0000-0000-000075590000}"/>
    <cellStyle name="Currency 3 11 3 3" xfId="21897" xr:uid="{00000000-0005-0000-0000-000076590000}"/>
    <cellStyle name="Currency 3 11 4" xfId="9840" xr:uid="{00000000-0005-0000-0000-000077590000}"/>
    <cellStyle name="Currency 3 11 5" xfId="21899" xr:uid="{00000000-0005-0000-0000-000078590000}"/>
    <cellStyle name="Currency 3 12" xfId="5871" xr:uid="{00000000-0005-0000-0000-000079590000}"/>
    <cellStyle name="Currency 3 12 2" xfId="5872" xr:uid="{00000000-0005-0000-0000-00007A590000}"/>
    <cellStyle name="Currency 3 12 2 2" xfId="13164" xr:uid="{00000000-0005-0000-0000-00007B590000}"/>
    <cellStyle name="Currency 3 12 2 3" xfId="21895" xr:uid="{00000000-0005-0000-0000-00007C590000}"/>
    <cellStyle name="Currency 3 12 3" xfId="5873" xr:uid="{00000000-0005-0000-0000-00007D590000}"/>
    <cellStyle name="Currency 3 12 3 2" xfId="13163" xr:uid="{00000000-0005-0000-0000-00007E590000}"/>
    <cellStyle name="Currency 3 12 3 2 2" xfId="26875" xr:uid="{00000000-0005-0000-0000-00007F590000}"/>
    <cellStyle name="Currency 3 12 3 3" xfId="21894" xr:uid="{00000000-0005-0000-0000-000080590000}"/>
    <cellStyle name="Currency 3 12 4" xfId="5874" xr:uid="{00000000-0005-0000-0000-000081590000}"/>
    <cellStyle name="Currency 3 12 4 2" xfId="17109" xr:uid="{00000000-0005-0000-0000-000082590000}"/>
    <cellStyle name="Currency 3 12 4 2 2" xfId="30468" xr:uid="{00000000-0005-0000-0000-000083590000}"/>
    <cellStyle name="Currency 3 12 4 3" xfId="21893" xr:uid="{00000000-0005-0000-0000-000084590000}"/>
    <cellStyle name="Currency 3 12 5" xfId="9841" xr:uid="{00000000-0005-0000-0000-000085590000}"/>
    <cellStyle name="Currency 3 12 6" xfId="21896" xr:uid="{00000000-0005-0000-0000-000086590000}"/>
    <cellStyle name="Currency 3 13" xfId="5875" xr:uid="{00000000-0005-0000-0000-000087590000}"/>
    <cellStyle name="Currency 3 13 2" xfId="5876" xr:uid="{00000000-0005-0000-0000-000088590000}"/>
    <cellStyle name="Currency 3 13 2 2" xfId="17198" xr:uid="{00000000-0005-0000-0000-000089590000}"/>
    <cellStyle name="Currency 3 13 2 2 2" xfId="30557" xr:uid="{00000000-0005-0000-0000-00008A590000}"/>
    <cellStyle name="Currency 3 13 2 3" xfId="21891" xr:uid="{00000000-0005-0000-0000-00008B590000}"/>
    <cellStyle name="Currency 3 13 3" xfId="9842" xr:uid="{00000000-0005-0000-0000-00008C590000}"/>
    <cellStyle name="Currency 3 13 4" xfId="21892" xr:uid="{00000000-0005-0000-0000-00008D590000}"/>
    <cellStyle name="Currency 3 14" xfId="5877" xr:uid="{00000000-0005-0000-0000-00008E590000}"/>
    <cellStyle name="Currency 3 14 2" xfId="5878" xr:uid="{00000000-0005-0000-0000-00008F590000}"/>
    <cellStyle name="Currency 3 14 2 2" xfId="5879" xr:uid="{00000000-0005-0000-0000-000090590000}"/>
    <cellStyle name="Currency 3 14 2 2 2" xfId="11359" xr:uid="{00000000-0005-0000-0000-000091590000}"/>
    <cellStyle name="Currency 3 14 2 2 3" xfId="21888" xr:uid="{00000000-0005-0000-0000-000092590000}"/>
    <cellStyle name="Currency 3 14 2 3" xfId="9844" xr:uid="{00000000-0005-0000-0000-000093590000}"/>
    <cellStyle name="Currency 3 14 2 4" xfId="21889" xr:uid="{00000000-0005-0000-0000-000094590000}"/>
    <cellStyle name="Currency 3 14 3" xfId="5880" xr:uid="{00000000-0005-0000-0000-000095590000}"/>
    <cellStyle name="Currency 3 14 3 2" xfId="11358" xr:uid="{00000000-0005-0000-0000-000096590000}"/>
    <cellStyle name="Currency 3 14 3 3" xfId="21887" xr:uid="{00000000-0005-0000-0000-000097590000}"/>
    <cellStyle name="Currency 3 14 4" xfId="5881" xr:uid="{00000000-0005-0000-0000-000098590000}"/>
    <cellStyle name="Currency 3 14 4 2" xfId="17287" xr:uid="{00000000-0005-0000-0000-000099590000}"/>
    <cellStyle name="Currency 3 14 4 2 2" xfId="30646" xr:uid="{00000000-0005-0000-0000-00009A590000}"/>
    <cellStyle name="Currency 3 14 4 3" xfId="21886" xr:uid="{00000000-0005-0000-0000-00009B590000}"/>
    <cellStyle name="Currency 3 14 5" xfId="9843" xr:uid="{00000000-0005-0000-0000-00009C590000}"/>
    <cellStyle name="Currency 3 14 6" xfId="21890" xr:uid="{00000000-0005-0000-0000-00009D590000}"/>
    <cellStyle name="Currency 3 15" xfId="5882" xr:uid="{00000000-0005-0000-0000-00009E590000}"/>
    <cellStyle name="Currency 3 15 2" xfId="5883" xr:uid="{00000000-0005-0000-0000-00009F590000}"/>
    <cellStyle name="Currency 3 15 2 2" xfId="11360" xr:uid="{00000000-0005-0000-0000-0000A0590000}"/>
    <cellStyle name="Currency 3 15 2 3" xfId="21884" xr:uid="{00000000-0005-0000-0000-0000A1590000}"/>
    <cellStyle name="Currency 3 15 3" xfId="5884" xr:uid="{00000000-0005-0000-0000-0000A2590000}"/>
    <cellStyle name="Currency 3 15 3 2" xfId="16439" xr:uid="{00000000-0005-0000-0000-0000A3590000}"/>
    <cellStyle name="Currency 3 15 3 2 2" xfId="29846" xr:uid="{00000000-0005-0000-0000-0000A4590000}"/>
    <cellStyle name="Currency 3 15 3 3" xfId="21883" xr:uid="{00000000-0005-0000-0000-0000A5590000}"/>
    <cellStyle name="Currency 3 15 4" xfId="9845" xr:uid="{00000000-0005-0000-0000-0000A6590000}"/>
    <cellStyle name="Currency 3 15 5" xfId="21885" xr:uid="{00000000-0005-0000-0000-0000A7590000}"/>
    <cellStyle name="Currency 3 16" xfId="5885" xr:uid="{00000000-0005-0000-0000-0000A8590000}"/>
    <cellStyle name="Currency 3 16 2" xfId="5886" xr:uid="{00000000-0005-0000-0000-0000A9590000}"/>
    <cellStyle name="Currency 3 16 2 2" xfId="11361" xr:uid="{00000000-0005-0000-0000-0000AA590000}"/>
    <cellStyle name="Currency 3 16 2 3" xfId="21881" xr:uid="{00000000-0005-0000-0000-0000AB590000}"/>
    <cellStyle name="Currency 3 16 3" xfId="9846" xr:uid="{00000000-0005-0000-0000-0000AC590000}"/>
    <cellStyle name="Currency 3 16 4" xfId="21882" xr:uid="{00000000-0005-0000-0000-0000AD590000}"/>
    <cellStyle name="Currency 3 17" xfId="5887" xr:uid="{00000000-0005-0000-0000-0000AE590000}"/>
    <cellStyle name="Currency 3 17 2" xfId="5888" xr:uid="{00000000-0005-0000-0000-0000AF590000}"/>
    <cellStyle name="Currency 3 17 2 2" xfId="11362" xr:uid="{00000000-0005-0000-0000-0000B0590000}"/>
    <cellStyle name="Currency 3 17 2 3" xfId="21879" xr:uid="{00000000-0005-0000-0000-0000B1590000}"/>
    <cellStyle name="Currency 3 17 3" xfId="9847" xr:uid="{00000000-0005-0000-0000-0000B2590000}"/>
    <cellStyle name="Currency 3 17 4" xfId="21880" xr:uid="{00000000-0005-0000-0000-0000B3590000}"/>
    <cellStyle name="Currency 3 18" xfId="5889" xr:uid="{00000000-0005-0000-0000-0000B4590000}"/>
    <cellStyle name="Currency 3 18 2" xfId="5890" xr:uid="{00000000-0005-0000-0000-0000B5590000}"/>
    <cellStyle name="Currency 3 18 2 2" xfId="11363" xr:uid="{00000000-0005-0000-0000-0000B6590000}"/>
    <cellStyle name="Currency 3 18 2 3" xfId="21877" xr:uid="{00000000-0005-0000-0000-0000B7590000}"/>
    <cellStyle name="Currency 3 18 3" xfId="9848" xr:uid="{00000000-0005-0000-0000-0000B8590000}"/>
    <cellStyle name="Currency 3 18 4" xfId="21878" xr:uid="{00000000-0005-0000-0000-0000B9590000}"/>
    <cellStyle name="Currency 3 19" xfId="5891" xr:uid="{00000000-0005-0000-0000-0000BA590000}"/>
    <cellStyle name="Currency 3 19 2" xfId="5892" xr:uid="{00000000-0005-0000-0000-0000BB590000}"/>
    <cellStyle name="Currency 3 19 2 2" xfId="11364" xr:uid="{00000000-0005-0000-0000-0000BC590000}"/>
    <cellStyle name="Currency 3 19 2 3" xfId="21875" xr:uid="{00000000-0005-0000-0000-0000BD590000}"/>
    <cellStyle name="Currency 3 19 3" xfId="9849" xr:uid="{00000000-0005-0000-0000-0000BE590000}"/>
    <cellStyle name="Currency 3 19 4" xfId="21876" xr:uid="{00000000-0005-0000-0000-0000BF590000}"/>
    <cellStyle name="Currency 3 2" xfId="5893" xr:uid="{00000000-0005-0000-0000-0000C0590000}"/>
    <cellStyle name="Currency 3 2 10" xfId="5894" xr:uid="{00000000-0005-0000-0000-0000C1590000}"/>
    <cellStyle name="Currency 3 2 10 2" xfId="11365" xr:uid="{00000000-0005-0000-0000-0000C2590000}"/>
    <cellStyle name="Currency 3 2 10 3" xfId="21873" xr:uid="{00000000-0005-0000-0000-0000C3590000}"/>
    <cellStyle name="Currency 3 2 11" xfId="5895" xr:uid="{00000000-0005-0000-0000-0000C4590000}"/>
    <cellStyle name="Currency 3 2 11 2" xfId="5896" xr:uid="{00000000-0005-0000-0000-0000C5590000}"/>
    <cellStyle name="Currency 3 2 11 2 2" xfId="13165" xr:uid="{00000000-0005-0000-0000-0000C6590000}"/>
    <cellStyle name="Currency 3 2 11 2 2 2" xfId="26877" xr:uid="{00000000-0005-0000-0000-0000C7590000}"/>
    <cellStyle name="Currency 3 2 11 2 3" xfId="21871" xr:uid="{00000000-0005-0000-0000-0000C8590000}"/>
    <cellStyle name="Currency 3 2 11 3" xfId="5897" xr:uid="{00000000-0005-0000-0000-0000C9590000}"/>
    <cellStyle name="Currency 3 2 11 3 2" xfId="15624" xr:uid="{00000000-0005-0000-0000-0000CA590000}"/>
    <cellStyle name="Currency 3 2 11 3 3" xfId="21870" xr:uid="{00000000-0005-0000-0000-0000CB590000}"/>
    <cellStyle name="Currency 3 2 11 4" xfId="11699" xr:uid="{00000000-0005-0000-0000-0000CC590000}"/>
    <cellStyle name="Currency 3 2 11 5" xfId="21872" xr:uid="{00000000-0005-0000-0000-0000CD590000}"/>
    <cellStyle name="Currency 3 2 12" xfId="5898" xr:uid="{00000000-0005-0000-0000-0000CE590000}"/>
    <cellStyle name="Currency 3 2 12 2" xfId="11855" xr:uid="{00000000-0005-0000-0000-0000CF590000}"/>
    <cellStyle name="Currency 3 2 12 2 2" xfId="25570" xr:uid="{00000000-0005-0000-0000-0000D0590000}"/>
    <cellStyle name="Currency 3 2 12 3" xfId="21869" xr:uid="{00000000-0005-0000-0000-0000D1590000}"/>
    <cellStyle name="Currency 3 2 13" xfId="5899" xr:uid="{00000000-0005-0000-0000-0000D2590000}"/>
    <cellStyle name="Currency 3 2 13 2" xfId="13448" xr:uid="{00000000-0005-0000-0000-0000D3590000}"/>
    <cellStyle name="Currency 3 2 13 2 2" xfId="26997" xr:uid="{00000000-0005-0000-0000-0000D4590000}"/>
    <cellStyle name="Currency 3 2 13 3" xfId="21868" xr:uid="{00000000-0005-0000-0000-0000D5590000}"/>
    <cellStyle name="Currency 3 2 14" xfId="5900" xr:uid="{00000000-0005-0000-0000-0000D6590000}"/>
    <cellStyle name="Currency 3 2 14 2" xfId="14029" xr:uid="{00000000-0005-0000-0000-0000D7590000}"/>
    <cellStyle name="Currency 3 2 14 2 2" xfId="27578" xr:uid="{00000000-0005-0000-0000-0000D8590000}"/>
    <cellStyle name="Currency 3 2 14 3" xfId="21867" xr:uid="{00000000-0005-0000-0000-0000D9590000}"/>
    <cellStyle name="Currency 3 2 15" xfId="5901" xr:uid="{00000000-0005-0000-0000-0000DA590000}"/>
    <cellStyle name="Currency 3 2 15 2" xfId="15915" xr:uid="{00000000-0005-0000-0000-0000DB590000}"/>
    <cellStyle name="Currency 3 2 15 2 2" xfId="29322" xr:uid="{00000000-0005-0000-0000-0000DC590000}"/>
    <cellStyle name="Currency 3 2 15 3" xfId="21866" xr:uid="{00000000-0005-0000-0000-0000DD590000}"/>
    <cellStyle name="Currency 3 2 16" xfId="5902" xr:uid="{00000000-0005-0000-0000-0000DE590000}"/>
    <cellStyle name="Currency 3 2 16 2" xfId="9850" xr:uid="{00000000-0005-0000-0000-0000DF590000}"/>
    <cellStyle name="Currency 3 2 16 3" xfId="21865" xr:uid="{00000000-0005-0000-0000-0000E0590000}"/>
    <cellStyle name="Currency 3 2 17" xfId="8715" xr:uid="{00000000-0005-0000-0000-0000E1590000}"/>
    <cellStyle name="Currency 3 2 18" xfId="21874" xr:uid="{00000000-0005-0000-0000-0000E2590000}"/>
    <cellStyle name="Currency 3 2 2" xfId="5903" xr:uid="{00000000-0005-0000-0000-0000E3590000}"/>
    <cellStyle name="Currency 3 2 2 10" xfId="9851" xr:uid="{00000000-0005-0000-0000-0000E4590000}"/>
    <cellStyle name="Currency 3 2 2 11" xfId="21864" xr:uid="{00000000-0005-0000-0000-0000E5590000}"/>
    <cellStyle name="Currency 3 2 2 2" xfId="5904" xr:uid="{00000000-0005-0000-0000-0000E6590000}"/>
    <cellStyle name="Currency 3 2 2 2 2" xfId="5905" xr:uid="{00000000-0005-0000-0000-0000E7590000}"/>
    <cellStyle name="Currency 3 2 2 2 2 2" xfId="5906" xr:uid="{00000000-0005-0000-0000-0000E8590000}"/>
    <cellStyle name="Currency 3 2 2 2 2 2 2" xfId="5907" xr:uid="{00000000-0005-0000-0000-0000E9590000}"/>
    <cellStyle name="Currency 3 2 2 2 2 2 2 2" xfId="11366" xr:uid="{00000000-0005-0000-0000-0000EA590000}"/>
    <cellStyle name="Currency 3 2 2 2 2 2 2 3" xfId="21860" xr:uid="{00000000-0005-0000-0000-0000EB590000}"/>
    <cellStyle name="Currency 3 2 2 2 2 2 3" xfId="5908" xr:uid="{00000000-0005-0000-0000-0000EC590000}"/>
    <cellStyle name="Currency 3 2 2 2 2 2 3 2" xfId="16974" xr:uid="{00000000-0005-0000-0000-0000ED590000}"/>
    <cellStyle name="Currency 3 2 2 2 2 2 3 2 2" xfId="30381" xr:uid="{00000000-0005-0000-0000-0000EE590000}"/>
    <cellStyle name="Currency 3 2 2 2 2 2 3 3" xfId="21859" xr:uid="{00000000-0005-0000-0000-0000EF590000}"/>
    <cellStyle name="Currency 3 2 2 2 2 2 4" xfId="9854" xr:uid="{00000000-0005-0000-0000-0000F0590000}"/>
    <cellStyle name="Currency 3 2 2 2 2 2 5" xfId="21861" xr:uid="{00000000-0005-0000-0000-0000F1590000}"/>
    <cellStyle name="Currency 3 2 2 2 2 3" xfId="5909" xr:uid="{00000000-0005-0000-0000-0000F2590000}"/>
    <cellStyle name="Currency 3 2 2 2 2 3 2" xfId="5910" xr:uid="{00000000-0005-0000-0000-0000F3590000}"/>
    <cellStyle name="Currency 3 2 2 2 2 3 2 2" xfId="13166" xr:uid="{00000000-0005-0000-0000-0000F4590000}"/>
    <cellStyle name="Currency 3 2 2 2 2 3 2 3" xfId="21857" xr:uid="{00000000-0005-0000-0000-0000F5590000}"/>
    <cellStyle name="Currency 3 2 2 2 2 3 3" xfId="12362" xr:uid="{00000000-0005-0000-0000-0000F6590000}"/>
    <cellStyle name="Currency 3 2 2 2 2 3 3 2" xfId="26074" xr:uid="{00000000-0005-0000-0000-0000F7590000}"/>
    <cellStyle name="Currency 3 2 2 2 2 3 4" xfId="21858" xr:uid="{00000000-0005-0000-0000-0000F8590000}"/>
    <cellStyle name="Currency 3 2 2 2 2 4" xfId="5911" xr:uid="{00000000-0005-0000-0000-0000F9590000}"/>
    <cellStyle name="Currency 3 2 2 2 2 4 2" xfId="5912" xr:uid="{00000000-0005-0000-0000-0000FA590000}"/>
    <cellStyle name="Currency 3 2 2 2 2 4 2 2" xfId="15625" xr:uid="{00000000-0005-0000-0000-0000FB590000}"/>
    <cellStyle name="Currency 3 2 2 2 2 4 2 3" xfId="21855" xr:uid="{00000000-0005-0000-0000-0000FC590000}"/>
    <cellStyle name="Currency 3 2 2 2 2 4 3" xfId="13926" xr:uid="{00000000-0005-0000-0000-0000FD590000}"/>
    <cellStyle name="Currency 3 2 2 2 2 4 3 2" xfId="27475" xr:uid="{00000000-0005-0000-0000-0000FE590000}"/>
    <cellStyle name="Currency 3 2 2 2 2 4 4" xfId="21856" xr:uid="{00000000-0005-0000-0000-0000FF590000}"/>
    <cellStyle name="Currency 3 2 2 2 2 5" xfId="5913" xr:uid="{00000000-0005-0000-0000-0000005A0000}"/>
    <cellStyle name="Currency 3 2 2 2 2 5 2" xfId="14507" xr:uid="{00000000-0005-0000-0000-0000015A0000}"/>
    <cellStyle name="Currency 3 2 2 2 2 5 2 2" xfId="28056" xr:uid="{00000000-0005-0000-0000-0000025A0000}"/>
    <cellStyle name="Currency 3 2 2 2 2 5 3" xfId="21854" xr:uid="{00000000-0005-0000-0000-0000035A0000}"/>
    <cellStyle name="Currency 3 2 2 2 2 6" xfId="5914" xr:uid="{00000000-0005-0000-0000-0000045A0000}"/>
    <cellStyle name="Currency 3 2 2 2 2 6 2" xfId="16393" xr:uid="{00000000-0005-0000-0000-0000055A0000}"/>
    <cellStyle name="Currency 3 2 2 2 2 6 2 2" xfId="29800" xr:uid="{00000000-0005-0000-0000-0000065A0000}"/>
    <cellStyle name="Currency 3 2 2 2 2 6 3" xfId="21853" xr:uid="{00000000-0005-0000-0000-0000075A0000}"/>
    <cellStyle name="Currency 3 2 2 2 2 7" xfId="9853" xr:uid="{00000000-0005-0000-0000-0000085A0000}"/>
    <cellStyle name="Currency 3 2 2 2 2 8" xfId="21862" xr:uid="{00000000-0005-0000-0000-0000095A0000}"/>
    <cellStyle name="Currency 3 2 2 2 3" xfId="5915" xr:uid="{00000000-0005-0000-0000-00000A5A0000}"/>
    <cellStyle name="Currency 3 2 2 2 3 2" xfId="5916" xr:uid="{00000000-0005-0000-0000-00000B5A0000}"/>
    <cellStyle name="Currency 3 2 2 2 3 2 2" xfId="11367" xr:uid="{00000000-0005-0000-0000-00000C5A0000}"/>
    <cellStyle name="Currency 3 2 2 2 3 2 3" xfId="21851" xr:uid="{00000000-0005-0000-0000-00000D5A0000}"/>
    <cellStyle name="Currency 3 2 2 2 3 3" xfId="5917" xr:uid="{00000000-0005-0000-0000-00000E5A0000}"/>
    <cellStyle name="Currency 3 2 2 2 3 3 2" xfId="16685" xr:uid="{00000000-0005-0000-0000-00000F5A0000}"/>
    <cellStyle name="Currency 3 2 2 2 3 3 2 2" xfId="30092" xr:uid="{00000000-0005-0000-0000-0000105A0000}"/>
    <cellStyle name="Currency 3 2 2 2 3 3 3" xfId="21850" xr:uid="{00000000-0005-0000-0000-0000115A0000}"/>
    <cellStyle name="Currency 3 2 2 2 3 4" xfId="9855" xr:uid="{00000000-0005-0000-0000-0000125A0000}"/>
    <cellStyle name="Currency 3 2 2 2 3 5" xfId="21852" xr:uid="{00000000-0005-0000-0000-0000135A0000}"/>
    <cellStyle name="Currency 3 2 2 2 4" xfId="5918" xr:uid="{00000000-0005-0000-0000-0000145A0000}"/>
    <cellStyle name="Currency 3 2 2 2 4 2" xfId="5919" xr:uid="{00000000-0005-0000-0000-0000155A0000}"/>
    <cellStyle name="Currency 3 2 2 2 4 2 2" xfId="13167" xr:uid="{00000000-0005-0000-0000-0000165A0000}"/>
    <cellStyle name="Currency 3 2 2 2 4 2 3" xfId="21848" xr:uid="{00000000-0005-0000-0000-0000175A0000}"/>
    <cellStyle name="Currency 3 2 2 2 4 3" xfId="12062" xr:uid="{00000000-0005-0000-0000-0000185A0000}"/>
    <cellStyle name="Currency 3 2 2 2 4 3 2" xfId="25777" xr:uid="{00000000-0005-0000-0000-0000195A0000}"/>
    <cellStyle name="Currency 3 2 2 2 4 4" xfId="21849" xr:uid="{00000000-0005-0000-0000-00001A5A0000}"/>
    <cellStyle name="Currency 3 2 2 2 5" xfId="5920" xr:uid="{00000000-0005-0000-0000-00001B5A0000}"/>
    <cellStyle name="Currency 3 2 2 2 5 2" xfId="5921" xr:uid="{00000000-0005-0000-0000-00001C5A0000}"/>
    <cellStyle name="Currency 3 2 2 2 5 2 2" xfId="15626" xr:uid="{00000000-0005-0000-0000-00001D5A0000}"/>
    <cellStyle name="Currency 3 2 2 2 5 2 3" xfId="21846" xr:uid="{00000000-0005-0000-0000-00001E5A0000}"/>
    <cellStyle name="Currency 3 2 2 2 5 3" xfId="13637" xr:uid="{00000000-0005-0000-0000-00001F5A0000}"/>
    <cellStyle name="Currency 3 2 2 2 5 3 2" xfId="27186" xr:uid="{00000000-0005-0000-0000-0000205A0000}"/>
    <cellStyle name="Currency 3 2 2 2 5 4" xfId="21847" xr:uid="{00000000-0005-0000-0000-0000215A0000}"/>
    <cellStyle name="Currency 3 2 2 2 6" xfId="5922" xr:uid="{00000000-0005-0000-0000-0000225A0000}"/>
    <cellStyle name="Currency 3 2 2 2 6 2" xfId="14218" xr:uid="{00000000-0005-0000-0000-0000235A0000}"/>
    <cellStyle name="Currency 3 2 2 2 6 2 2" xfId="27767" xr:uid="{00000000-0005-0000-0000-0000245A0000}"/>
    <cellStyle name="Currency 3 2 2 2 6 3" xfId="21845" xr:uid="{00000000-0005-0000-0000-0000255A0000}"/>
    <cellStyle name="Currency 3 2 2 2 7" xfId="5923" xr:uid="{00000000-0005-0000-0000-0000265A0000}"/>
    <cellStyle name="Currency 3 2 2 2 7 2" xfId="16104" xr:uid="{00000000-0005-0000-0000-0000275A0000}"/>
    <cellStyle name="Currency 3 2 2 2 7 2 2" xfId="29511" xr:uid="{00000000-0005-0000-0000-0000285A0000}"/>
    <cellStyle name="Currency 3 2 2 2 7 3" xfId="21844" xr:uid="{00000000-0005-0000-0000-0000295A0000}"/>
    <cellStyle name="Currency 3 2 2 2 8" xfId="9852" xr:uid="{00000000-0005-0000-0000-00002A5A0000}"/>
    <cellStyle name="Currency 3 2 2 2 9" xfId="21863" xr:uid="{00000000-0005-0000-0000-00002B5A0000}"/>
    <cellStyle name="Currency 3 2 2 3" xfId="5924" xr:uid="{00000000-0005-0000-0000-00002C5A0000}"/>
    <cellStyle name="Currency 3 2 2 3 2" xfId="5925" xr:uid="{00000000-0005-0000-0000-00002D5A0000}"/>
    <cellStyle name="Currency 3 2 2 3 2 2" xfId="5926" xr:uid="{00000000-0005-0000-0000-00002E5A0000}"/>
    <cellStyle name="Currency 3 2 2 3 2 2 2" xfId="11368" xr:uid="{00000000-0005-0000-0000-00002F5A0000}"/>
    <cellStyle name="Currency 3 2 2 3 2 2 3" xfId="21841" xr:uid="{00000000-0005-0000-0000-0000305A0000}"/>
    <cellStyle name="Currency 3 2 2 3 2 3" xfId="5927" xr:uid="{00000000-0005-0000-0000-0000315A0000}"/>
    <cellStyle name="Currency 3 2 2 3 2 3 2" xfId="16831" xr:uid="{00000000-0005-0000-0000-0000325A0000}"/>
    <cellStyle name="Currency 3 2 2 3 2 3 2 2" xfId="30238" xr:uid="{00000000-0005-0000-0000-0000335A0000}"/>
    <cellStyle name="Currency 3 2 2 3 2 3 3" xfId="21840" xr:uid="{00000000-0005-0000-0000-0000345A0000}"/>
    <cellStyle name="Currency 3 2 2 3 2 4" xfId="9857" xr:uid="{00000000-0005-0000-0000-0000355A0000}"/>
    <cellStyle name="Currency 3 2 2 3 2 5" xfId="21842" xr:uid="{00000000-0005-0000-0000-0000365A0000}"/>
    <cellStyle name="Currency 3 2 2 3 3" xfId="5928" xr:uid="{00000000-0005-0000-0000-0000375A0000}"/>
    <cellStyle name="Currency 3 2 2 3 3 2" xfId="5929" xr:uid="{00000000-0005-0000-0000-0000385A0000}"/>
    <cellStyle name="Currency 3 2 2 3 3 2 2" xfId="13168" xr:uid="{00000000-0005-0000-0000-0000395A0000}"/>
    <cellStyle name="Currency 3 2 2 3 3 2 3" xfId="21838" xr:uid="{00000000-0005-0000-0000-00003A5A0000}"/>
    <cellStyle name="Currency 3 2 2 3 3 3" xfId="12219" xr:uid="{00000000-0005-0000-0000-00003B5A0000}"/>
    <cellStyle name="Currency 3 2 2 3 3 3 2" xfId="25931" xr:uid="{00000000-0005-0000-0000-00003C5A0000}"/>
    <cellStyle name="Currency 3 2 2 3 3 4" xfId="21839" xr:uid="{00000000-0005-0000-0000-00003D5A0000}"/>
    <cellStyle name="Currency 3 2 2 3 4" xfId="5930" xr:uid="{00000000-0005-0000-0000-00003E5A0000}"/>
    <cellStyle name="Currency 3 2 2 3 4 2" xfId="5931" xr:uid="{00000000-0005-0000-0000-00003F5A0000}"/>
    <cellStyle name="Currency 3 2 2 3 4 2 2" xfId="15627" xr:uid="{00000000-0005-0000-0000-0000405A0000}"/>
    <cellStyle name="Currency 3 2 2 3 4 2 3" xfId="21836" xr:uid="{00000000-0005-0000-0000-0000415A0000}"/>
    <cellStyle name="Currency 3 2 2 3 4 3" xfId="13783" xr:uid="{00000000-0005-0000-0000-0000425A0000}"/>
    <cellStyle name="Currency 3 2 2 3 4 3 2" xfId="27332" xr:uid="{00000000-0005-0000-0000-0000435A0000}"/>
    <cellStyle name="Currency 3 2 2 3 4 4" xfId="21837" xr:uid="{00000000-0005-0000-0000-0000445A0000}"/>
    <cellStyle name="Currency 3 2 2 3 5" xfId="5932" xr:uid="{00000000-0005-0000-0000-0000455A0000}"/>
    <cellStyle name="Currency 3 2 2 3 5 2" xfId="14364" xr:uid="{00000000-0005-0000-0000-0000465A0000}"/>
    <cellStyle name="Currency 3 2 2 3 5 2 2" xfId="27913" xr:uid="{00000000-0005-0000-0000-0000475A0000}"/>
    <cellStyle name="Currency 3 2 2 3 5 3" xfId="21835" xr:uid="{00000000-0005-0000-0000-0000485A0000}"/>
    <cellStyle name="Currency 3 2 2 3 6" xfId="5933" xr:uid="{00000000-0005-0000-0000-0000495A0000}"/>
    <cellStyle name="Currency 3 2 2 3 6 2" xfId="16250" xr:uid="{00000000-0005-0000-0000-00004A5A0000}"/>
    <cellStyle name="Currency 3 2 2 3 6 2 2" xfId="29657" xr:uid="{00000000-0005-0000-0000-00004B5A0000}"/>
    <cellStyle name="Currency 3 2 2 3 6 3" xfId="21834" xr:uid="{00000000-0005-0000-0000-00004C5A0000}"/>
    <cellStyle name="Currency 3 2 2 3 7" xfId="9856" xr:uid="{00000000-0005-0000-0000-00004D5A0000}"/>
    <cellStyle name="Currency 3 2 2 3 8" xfId="21843" xr:uid="{00000000-0005-0000-0000-00004E5A0000}"/>
    <cellStyle name="Currency 3 2 2 4" xfId="5934" xr:uid="{00000000-0005-0000-0000-00004F5A0000}"/>
    <cellStyle name="Currency 3 2 2 4 2" xfId="5935" xr:uid="{00000000-0005-0000-0000-0000505A0000}"/>
    <cellStyle name="Currency 3 2 2 4 2 2" xfId="17178" xr:uid="{00000000-0005-0000-0000-0000515A0000}"/>
    <cellStyle name="Currency 3 2 2 4 2 2 2" xfId="30537" xr:uid="{00000000-0005-0000-0000-0000525A0000}"/>
    <cellStyle name="Currency 3 2 2 4 2 3" xfId="21832" xr:uid="{00000000-0005-0000-0000-0000535A0000}"/>
    <cellStyle name="Currency 3 2 2 4 3" xfId="9858" xr:uid="{00000000-0005-0000-0000-0000545A0000}"/>
    <cellStyle name="Currency 3 2 2 4 4" xfId="21833" xr:uid="{00000000-0005-0000-0000-0000555A0000}"/>
    <cellStyle name="Currency 3 2 2 5" xfId="5936" xr:uid="{00000000-0005-0000-0000-0000565A0000}"/>
    <cellStyle name="Currency 3 2 2 5 2" xfId="5937" xr:uid="{00000000-0005-0000-0000-0000575A0000}"/>
    <cellStyle name="Currency 3 2 2 5 2 2" xfId="11369" xr:uid="{00000000-0005-0000-0000-0000585A0000}"/>
    <cellStyle name="Currency 3 2 2 5 2 3" xfId="21830" xr:uid="{00000000-0005-0000-0000-0000595A0000}"/>
    <cellStyle name="Currency 3 2 2 5 3" xfId="5938" xr:uid="{00000000-0005-0000-0000-00005A5A0000}"/>
    <cellStyle name="Currency 3 2 2 5 3 2" xfId="17267" xr:uid="{00000000-0005-0000-0000-00005B5A0000}"/>
    <cellStyle name="Currency 3 2 2 5 3 2 2" xfId="30626" xr:uid="{00000000-0005-0000-0000-00005C5A0000}"/>
    <cellStyle name="Currency 3 2 2 5 3 3" xfId="21829" xr:uid="{00000000-0005-0000-0000-00005D5A0000}"/>
    <cellStyle name="Currency 3 2 2 5 4" xfId="9859" xr:uid="{00000000-0005-0000-0000-00005E5A0000}"/>
    <cellStyle name="Currency 3 2 2 5 5" xfId="21831" xr:uid="{00000000-0005-0000-0000-00005F5A0000}"/>
    <cellStyle name="Currency 3 2 2 6" xfId="5939" xr:uid="{00000000-0005-0000-0000-0000605A0000}"/>
    <cellStyle name="Currency 3 2 2 6 2" xfId="5940" xr:uid="{00000000-0005-0000-0000-0000615A0000}"/>
    <cellStyle name="Currency 3 2 2 6 2 2" xfId="13169" xr:uid="{00000000-0005-0000-0000-0000625A0000}"/>
    <cellStyle name="Currency 3 2 2 6 2 3" xfId="21827" xr:uid="{00000000-0005-0000-0000-0000635A0000}"/>
    <cellStyle name="Currency 3 2 2 6 3" xfId="5941" xr:uid="{00000000-0005-0000-0000-0000645A0000}"/>
    <cellStyle name="Currency 3 2 2 6 3 2" xfId="16542" xr:uid="{00000000-0005-0000-0000-0000655A0000}"/>
    <cellStyle name="Currency 3 2 2 6 3 2 2" xfId="29949" xr:uid="{00000000-0005-0000-0000-0000665A0000}"/>
    <cellStyle name="Currency 3 2 2 6 3 3" xfId="21826" xr:uid="{00000000-0005-0000-0000-0000675A0000}"/>
    <cellStyle name="Currency 3 2 2 6 4" xfId="11917" xr:uid="{00000000-0005-0000-0000-0000685A0000}"/>
    <cellStyle name="Currency 3 2 2 6 4 2" xfId="25632" xr:uid="{00000000-0005-0000-0000-0000695A0000}"/>
    <cellStyle name="Currency 3 2 2 6 5" xfId="21828" xr:uid="{00000000-0005-0000-0000-00006A5A0000}"/>
    <cellStyle name="Currency 3 2 2 7" xfId="5942" xr:uid="{00000000-0005-0000-0000-00006B5A0000}"/>
    <cellStyle name="Currency 3 2 2 7 2" xfId="5943" xr:uid="{00000000-0005-0000-0000-00006C5A0000}"/>
    <cellStyle name="Currency 3 2 2 7 2 2" xfId="15628" xr:uid="{00000000-0005-0000-0000-00006D5A0000}"/>
    <cellStyle name="Currency 3 2 2 7 2 3" xfId="21824" xr:uid="{00000000-0005-0000-0000-00006E5A0000}"/>
    <cellStyle name="Currency 3 2 2 7 3" xfId="13494" xr:uid="{00000000-0005-0000-0000-00006F5A0000}"/>
    <cellStyle name="Currency 3 2 2 7 3 2" xfId="27043" xr:uid="{00000000-0005-0000-0000-0000705A0000}"/>
    <cellStyle name="Currency 3 2 2 7 4" xfId="21825" xr:uid="{00000000-0005-0000-0000-0000715A0000}"/>
    <cellStyle name="Currency 3 2 2 8" xfId="5944" xr:uid="{00000000-0005-0000-0000-0000725A0000}"/>
    <cellStyle name="Currency 3 2 2 8 2" xfId="14075" xr:uid="{00000000-0005-0000-0000-0000735A0000}"/>
    <cellStyle name="Currency 3 2 2 8 2 2" xfId="27624" xr:uid="{00000000-0005-0000-0000-0000745A0000}"/>
    <cellStyle name="Currency 3 2 2 8 3" xfId="21823" xr:uid="{00000000-0005-0000-0000-0000755A0000}"/>
    <cellStyle name="Currency 3 2 2 9" xfId="5945" xr:uid="{00000000-0005-0000-0000-0000765A0000}"/>
    <cellStyle name="Currency 3 2 2 9 2" xfId="15961" xr:uid="{00000000-0005-0000-0000-0000775A0000}"/>
    <cellStyle name="Currency 3 2 2 9 2 2" xfId="29368" xr:uid="{00000000-0005-0000-0000-0000785A0000}"/>
    <cellStyle name="Currency 3 2 2 9 3" xfId="21822" xr:uid="{00000000-0005-0000-0000-0000795A0000}"/>
    <cellStyle name="Currency 3 2 3" xfId="5946" xr:uid="{00000000-0005-0000-0000-00007A5A0000}"/>
    <cellStyle name="Currency 3 2 3 2" xfId="5947" xr:uid="{00000000-0005-0000-0000-00007B5A0000}"/>
    <cellStyle name="Currency 3 2 3 2 2" xfId="5948" xr:uid="{00000000-0005-0000-0000-00007C5A0000}"/>
    <cellStyle name="Currency 3 2 3 2 2 2" xfId="5949" xr:uid="{00000000-0005-0000-0000-00007D5A0000}"/>
    <cellStyle name="Currency 3 2 3 2 2 2 2" xfId="11370" xr:uid="{00000000-0005-0000-0000-00007E5A0000}"/>
    <cellStyle name="Currency 3 2 3 2 2 2 3" xfId="21818" xr:uid="{00000000-0005-0000-0000-00007F5A0000}"/>
    <cellStyle name="Currency 3 2 3 2 2 3" xfId="5950" xr:uid="{00000000-0005-0000-0000-0000805A0000}"/>
    <cellStyle name="Currency 3 2 3 2 2 3 2" xfId="16928" xr:uid="{00000000-0005-0000-0000-0000815A0000}"/>
    <cellStyle name="Currency 3 2 3 2 2 3 2 2" xfId="30335" xr:uid="{00000000-0005-0000-0000-0000825A0000}"/>
    <cellStyle name="Currency 3 2 3 2 2 3 3" xfId="21817" xr:uid="{00000000-0005-0000-0000-0000835A0000}"/>
    <cellStyle name="Currency 3 2 3 2 2 4" xfId="9862" xr:uid="{00000000-0005-0000-0000-0000845A0000}"/>
    <cellStyle name="Currency 3 2 3 2 2 5" xfId="21819" xr:uid="{00000000-0005-0000-0000-0000855A0000}"/>
    <cellStyle name="Currency 3 2 3 2 3" xfId="5951" xr:uid="{00000000-0005-0000-0000-0000865A0000}"/>
    <cellStyle name="Currency 3 2 3 2 3 2" xfId="5952" xr:uid="{00000000-0005-0000-0000-0000875A0000}"/>
    <cellStyle name="Currency 3 2 3 2 3 2 2" xfId="13170" xr:uid="{00000000-0005-0000-0000-0000885A0000}"/>
    <cellStyle name="Currency 3 2 3 2 3 2 3" xfId="21815" xr:uid="{00000000-0005-0000-0000-0000895A0000}"/>
    <cellStyle name="Currency 3 2 3 2 3 3" xfId="12316" xr:uid="{00000000-0005-0000-0000-00008A5A0000}"/>
    <cellStyle name="Currency 3 2 3 2 3 3 2" xfId="26028" xr:uid="{00000000-0005-0000-0000-00008B5A0000}"/>
    <cellStyle name="Currency 3 2 3 2 3 4" xfId="21816" xr:uid="{00000000-0005-0000-0000-00008C5A0000}"/>
    <cellStyle name="Currency 3 2 3 2 4" xfId="5953" xr:uid="{00000000-0005-0000-0000-00008D5A0000}"/>
    <cellStyle name="Currency 3 2 3 2 4 2" xfId="5954" xr:uid="{00000000-0005-0000-0000-00008E5A0000}"/>
    <cellStyle name="Currency 3 2 3 2 4 2 2" xfId="15629" xr:uid="{00000000-0005-0000-0000-00008F5A0000}"/>
    <cellStyle name="Currency 3 2 3 2 4 2 3" xfId="21813" xr:uid="{00000000-0005-0000-0000-0000905A0000}"/>
    <cellStyle name="Currency 3 2 3 2 4 3" xfId="13880" xr:uid="{00000000-0005-0000-0000-0000915A0000}"/>
    <cellStyle name="Currency 3 2 3 2 4 3 2" xfId="27429" xr:uid="{00000000-0005-0000-0000-0000925A0000}"/>
    <cellStyle name="Currency 3 2 3 2 4 4" xfId="21814" xr:uid="{00000000-0005-0000-0000-0000935A0000}"/>
    <cellStyle name="Currency 3 2 3 2 5" xfId="5955" xr:uid="{00000000-0005-0000-0000-0000945A0000}"/>
    <cellStyle name="Currency 3 2 3 2 5 2" xfId="14461" xr:uid="{00000000-0005-0000-0000-0000955A0000}"/>
    <cellStyle name="Currency 3 2 3 2 5 2 2" xfId="28010" xr:uid="{00000000-0005-0000-0000-0000965A0000}"/>
    <cellStyle name="Currency 3 2 3 2 5 3" xfId="21812" xr:uid="{00000000-0005-0000-0000-0000975A0000}"/>
    <cellStyle name="Currency 3 2 3 2 6" xfId="5956" xr:uid="{00000000-0005-0000-0000-0000985A0000}"/>
    <cellStyle name="Currency 3 2 3 2 6 2" xfId="16347" xr:uid="{00000000-0005-0000-0000-0000995A0000}"/>
    <cellStyle name="Currency 3 2 3 2 6 2 2" xfId="29754" xr:uid="{00000000-0005-0000-0000-00009A5A0000}"/>
    <cellStyle name="Currency 3 2 3 2 6 3" xfId="21811" xr:uid="{00000000-0005-0000-0000-00009B5A0000}"/>
    <cellStyle name="Currency 3 2 3 2 7" xfId="9861" xr:uid="{00000000-0005-0000-0000-00009C5A0000}"/>
    <cellStyle name="Currency 3 2 3 2 8" xfId="21820" xr:uid="{00000000-0005-0000-0000-00009D5A0000}"/>
    <cellStyle name="Currency 3 2 3 3" xfId="5957" xr:uid="{00000000-0005-0000-0000-00009E5A0000}"/>
    <cellStyle name="Currency 3 2 3 3 2" xfId="5958" xr:uid="{00000000-0005-0000-0000-00009F5A0000}"/>
    <cellStyle name="Currency 3 2 3 3 2 2" xfId="11371" xr:uid="{00000000-0005-0000-0000-0000A05A0000}"/>
    <cellStyle name="Currency 3 2 3 3 2 3" xfId="21809" xr:uid="{00000000-0005-0000-0000-0000A15A0000}"/>
    <cellStyle name="Currency 3 2 3 3 3" xfId="5959" xr:uid="{00000000-0005-0000-0000-0000A25A0000}"/>
    <cellStyle name="Currency 3 2 3 3 3 2" xfId="16639" xr:uid="{00000000-0005-0000-0000-0000A35A0000}"/>
    <cellStyle name="Currency 3 2 3 3 3 2 2" xfId="30046" xr:uid="{00000000-0005-0000-0000-0000A45A0000}"/>
    <cellStyle name="Currency 3 2 3 3 3 3" xfId="21808" xr:uid="{00000000-0005-0000-0000-0000A55A0000}"/>
    <cellStyle name="Currency 3 2 3 3 4" xfId="9863" xr:uid="{00000000-0005-0000-0000-0000A65A0000}"/>
    <cellStyle name="Currency 3 2 3 3 5" xfId="21810" xr:uid="{00000000-0005-0000-0000-0000A75A0000}"/>
    <cellStyle name="Currency 3 2 3 4" xfId="5960" xr:uid="{00000000-0005-0000-0000-0000A85A0000}"/>
    <cellStyle name="Currency 3 2 3 4 2" xfId="5961" xr:uid="{00000000-0005-0000-0000-0000A95A0000}"/>
    <cellStyle name="Currency 3 2 3 4 2 2" xfId="13171" xr:uid="{00000000-0005-0000-0000-0000AA5A0000}"/>
    <cellStyle name="Currency 3 2 3 4 2 3" xfId="21806" xr:uid="{00000000-0005-0000-0000-0000AB5A0000}"/>
    <cellStyle name="Currency 3 2 3 4 3" xfId="12016" xr:uid="{00000000-0005-0000-0000-0000AC5A0000}"/>
    <cellStyle name="Currency 3 2 3 4 3 2" xfId="25731" xr:uid="{00000000-0005-0000-0000-0000AD5A0000}"/>
    <cellStyle name="Currency 3 2 3 4 4" xfId="21807" xr:uid="{00000000-0005-0000-0000-0000AE5A0000}"/>
    <cellStyle name="Currency 3 2 3 5" xfId="5962" xr:uid="{00000000-0005-0000-0000-0000AF5A0000}"/>
    <cellStyle name="Currency 3 2 3 5 2" xfId="5963" xr:uid="{00000000-0005-0000-0000-0000B05A0000}"/>
    <cellStyle name="Currency 3 2 3 5 2 2" xfId="15630" xr:uid="{00000000-0005-0000-0000-0000B15A0000}"/>
    <cellStyle name="Currency 3 2 3 5 2 3" xfId="21804" xr:uid="{00000000-0005-0000-0000-0000B25A0000}"/>
    <cellStyle name="Currency 3 2 3 5 3" xfId="13591" xr:uid="{00000000-0005-0000-0000-0000B35A0000}"/>
    <cellStyle name="Currency 3 2 3 5 3 2" xfId="27140" xr:uid="{00000000-0005-0000-0000-0000B45A0000}"/>
    <cellStyle name="Currency 3 2 3 5 4" xfId="21805" xr:uid="{00000000-0005-0000-0000-0000B55A0000}"/>
    <cellStyle name="Currency 3 2 3 6" xfId="5964" xr:uid="{00000000-0005-0000-0000-0000B65A0000}"/>
    <cellStyle name="Currency 3 2 3 6 2" xfId="14172" xr:uid="{00000000-0005-0000-0000-0000B75A0000}"/>
    <cellStyle name="Currency 3 2 3 6 2 2" xfId="27721" xr:uid="{00000000-0005-0000-0000-0000B85A0000}"/>
    <cellStyle name="Currency 3 2 3 6 3" xfId="21803" xr:uid="{00000000-0005-0000-0000-0000B95A0000}"/>
    <cellStyle name="Currency 3 2 3 7" xfId="5965" xr:uid="{00000000-0005-0000-0000-0000BA5A0000}"/>
    <cellStyle name="Currency 3 2 3 7 2" xfId="16058" xr:uid="{00000000-0005-0000-0000-0000BB5A0000}"/>
    <cellStyle name="Currency 3 2 3 7 2 2" xfId="29465" xr:uid="{00000000-0005-0000-0000-0000BC5A0000}"/>
    <cellStyle name="Currency 3 2 3 7 3" xfId="21802" xr:uid="{00000000-0005-0000-0000-0000BD5A0000}"/>
    <cellStyle name="Currency 3 2 3 8" xfId="9860" xr:uid="{00000000-0005-0000-0000-0000BE5A0000}"/>
    <cellStyle name="Currency 3 2 3 9" xfId="21821" xr:uid="{00000000-0005-0000-0000-0000BF5A0000}"/>
    <cellStyle name="Currency 3 2 4" xfId="5966" xr:uid="{00000000-0005-0000-0000-0000C05A0000}"/>
    <cellStyle name="Currency 3 2 4 2" xfId="5967" xr:uid="{00000000-0005-0000-0000-0000C15A0000}"/>
    <cellStyle name="Currency 3 2 4 2 2" xfId="5968" xr:uid="{00000000-0005-0000-0000-0000C25A0000}"/>
    <cellStyle name="Currency 3 2 4 2 2 2" xfId="11372" xr:uid="{00000000-0005-0000-0000-0000C35A0000}"/>
    <cellStyle name="Currency 3 2 4 2 2 3" xfId="21799" xr:uid="{00000000-0005-0000-0000-0000C45A0000}"/>
    <cellStyle name="Currency 3 2 4 2 3" xfId="5969" xr:uid="{00000000-0005-0000-0000-0000C55A0000}"/>
    <cellStyle name="Currency 3 2 4 2 3 2" xfId="16785" xr:uid="{00000000-0005-0000-0000-0000C65A0000}"/>
    <cellStyle name="Currency 3 2 4 2 3 2 2" xfId="30192" xr:uid="{00000000-0005-0000-0000-0000C75A0000}"/>
    <cellStyle name="Currency 3 2 4 2 3 3" xfId="21798" xr:uid="{00000000-0005-0000-0000-0000C85A0000}"/>
    <cellStyle name="Currency 3 2 4 2 4" xfId="9865" xr:uid="{00000000-0005-0000-0000-0000C95A0000}"/>
    <cellStyle name="Currency 3 2 4 2 5" xfId="21800" xr:uid="{00000000-0005-0000-0000-0000CA5A0000}"/>
    <cellStyle name="Currency 3 2 4 3" xfId="5970" xr:uid="{00000000-0005-0000-0000-0000CB5A0000}"/>
    <cellStyle name="Currency 3 2 4 3 2" xfId="5971" xr:uid="{00000000-0005-0000-0000-0000CC5A0000}"/>
    <cellStyle name="Currency 3 2 4 3 2 2" xfId="13172" xr:uid="{00000000-0005-0000-0000-0000CD5A0000}"/>
    <cellStyle name="Currency 3 2 4 3 2 3" xfId="21796" xr:uid="{00000000-0005-0000-0000-0000CE5A0000}"/>
    <cellStyle name="Currency 3 2 4 3 3" xfId="12173" xr:uid="{00000000-0005-0000-0000-0000CF5A0000}"/>
    <cellStyle name="Currency 3 2 4 3 3 2" xfId="25885" xr:uid="{00000000-0005-0000-0000-0000D05A0000}"/>
    <cellStyle name="Currency 3 2 4 3 4" xfId="21797" xr:uid="{00000000-0005-0000-0000-0000D15A0000}"/>
    <cellStyle name="Currency 3 2 4 4" xfId="5972" xr:uid="{00000000-0005-0000-0000-0000D25A0000}"/>
    <cellStyle name="Currency 3 2 4 4 2" xfId="5973" xr:uid="{00000000-0005-0000-0000-0000D35A0000}"/>
    <cellStyle name="Currency 3 2 4 4 2 2" xfId="15631" xr:uid="{00000000-0005-0000-0000-0000D45A0000}"/>
    <cellStyle name="Currency 3 2 4 4 2 3" xfId="21794" xr:uid="{00000000-0005-0000-0000-0000D55A0000}"/>
    <cellStyle name="Currency 3 2 4 4 3" xfId="13737" xr:uid="{00000000-0005-0000-0000-0000D65A0000}"/>
    <cellStyle name="Currency 3 2 4 4 3 2" xfId="27286" xr:uid="{00000000-0005-0000-0000-0000D75A0000}"/>
    <cellStyle name="Currency 3 2 4 4 4" xfId="21795" xr:uid="{00000000-0005-0000-0000-0000D85A0000}"/>
    <cellStyle name="Currency 3 2 4 5" xfId="5974" xr:uid="{00000000-0005-0000-0000-0000D95A0000}"/>
    <cellStyle name="Currency 3 2 4 5 2" xfId="14318" xr:uid="{00000000-0005-0000-0000-0000DA5A0000}"/>
    <cellStyle name="Currency 3 2 4 5 2 2" xfId="27867" xr:uid="{00000000-0005-0000-0000-0000DB5A0000}"/>
    <cellStyle name="Currency 3 2 4 5 3" xfId="21793" xr:uid="{00000000-0005-0000-0000-0000DC5A0000}"/>
    <cellStyle name="Currency 3 2 4 6" xfId="5975" xr:uid="{00000000-0005-0000-0000-0000DD5A0000}"/>
    <cellStyle name="Currency 3 2 4 6 2" xfId="16204" xr:uid="{00000000-0005-0000-0000-0000DE5A0000}"/>
    <cellStyle name="Currency 3 2 4 6 2 2" xfId="29611" xr:uid="{00000000-0005-0000-0000-0000DF5A0000}"/>
    <cellStyle name="Currency 3 2 4 6 3" xfId="21792" xr:uid="{00000000-0005-0000-0000-0000E05A0000}"/>
    <cellStyle name="Currency 3 2 4 7" xfId="9864" xr:uid="{00000000-0005-0000-0000-0000E15A0000}"/>
    <cellStyle name="Currency 3 2 4 8" xfId="21801" xr:uid="{00000000-0005-0000-0000-0000E25A0000}"/>
    <cellStyle name="Currency 3 2 5" xfId="5976" xr:uid="{00000000-0005-0000-0000-0000E35A0000}"/>
    <cellStyle name="Currency 3 2 5 2" xfId="5977" xr:uid="{00000000-0005-0000-0000-0000E45A0000}"/>
    <cellStyle name="Currency 3 2 5 2 2" xfId="5978" xr:uid="{00000000-0005-0000-0000-0000E55A0000}"/>
    <cellStyle name="Currency 3 2 5 2 2 2" xfId="11374" xr:uid="{00000000-0005-0000-0000-0000E65A0000}"/>
    <cellStyle name="Currency 3 2 5 2 2 3" xfId="21789" xr:uid="{00000000-0005-0000-0000-0000E75A0000}"/>
    <cellStyle name="Currency 3 2 5 2 3" xfId="9867" xr:uid="{00000000-0005-0000-0000-0000E85A0000}"/>
    <cellStyle name="Currency 3 2 5 2 4" xfId="21790" xr:uid="{00000000-0005-0000-0000-0000E95A0000}"/>
    <cellStyle name="Currency 3 2 5 3" xfId="5979" xr:uid="{00000000-0005-0000-0000-0000EA5A0000}"/>
    <cellStyle name="Currency 3 2 5 3 2" xfId="11373" xr:uid="{00000000-0005-0000-0000-0000EB5A0000}"/>
    <cellStyle name="Currency 3 2 5 3 3" xfId="21788" xr:uid="{00000000-0005-0000-0000-0000EC5A0000}"/>
    <cellStyle name="Currency 3 2 5 4" xfId="5980" xr:uid="{00000000-0005-0000-0000-0000ED5A0000}"/>
    <cellStyle name="Currency 3 2 5 4 2" xfId="17028" xr:uid="{00000000-0005-0000-0000-0000EE5A0000}"/>
    <cellStyle name="Currency 3 2 5 4 2 2" xfId="30435" xr:uid="{00000000-0005-0000-0000-0000EF5A0000}"/>
    <cellStyle name="Currency 3 2 5 4 3" xfId="21787" xr:uid="{00000000-0005-0000-0000-0000F05A0000}"/>
    <cellStyle name="Currency 3 2 5 5" xfId="9866" xr:uid="{00000000-0005-0000-0000-0000F15A0000}"/>
    <cellStyle name="Currency 3 2 5 6" xfId="21791" xr:uid="{00000000-0005-0000-0000-0000F25A0000}"/>
    <cellStyle name="Currency 3 2 6" xfId="5981" xr:uid="{00000000-0005-0000-0000-0000F35A0000}"/>
    <cellStyle name="Currency 3 2 6 2" xfId="5982" xr:uid="{00000000-0005-0000-0000-0000F45A0000}"/>
    <cellStyle name="Currency 3 2 6 2 2" xfId="17132" xr:uid="{00000000-0005-0000-0000-0000F55A0000}"/>
    <cellStyle name="Currency 3 2 6 2 2 2" xfId="30491" xr:uid="{00000000-0005-0000-0000-0000F65A0000}"/>
    <cellStyle name="Currency 3 2 6 2 3" xfId="21785" xr:uid="{00000000-0005-0000-0000-0000F75A0000}"/>
    <cellStyle name="Currency 3 2 6 3" xfId="9868" xr:uid="{00000000-0005-0000-0000-0000F85A0000}"/>
    <cellStyle name="Currency 3 2 6 4" xfId="21786" xr:uid="{00000000-0005-0000-0000-0000F95A0000}"/>
    <cellStyle name="Currency 3 2 7" xfId="5983" xr:uid="{00000000-0005-0000-0000-0000FA5A0000}"/>
    <cellStyle name="Currency 3 2 7 2" xfId="5984" xr:uid="{00000000-0005-0000-0000-0000FB5A0000}"/>
    <cellStyle name="Currency 3 2 7 2 2" xfId="11375" xr:uid="{00000000-0005-0000-0000-0000FC5A0000}"/>
    <cellStyle name="Currency 3 2 7 2 3" xfId="21783" xr:uid="{00000000-0005-0000-0000-0000FD5A0000}"/>
    <cellStyle name="Currency 3 2 7 3" xfId="5985" xr:uid="{00000000-0005-0000-0000-0000FE5A0000}"/>
    <cellStyle name="Currency 3 2 7 3 2" xfId="17221" xr:uid="{00000000-0005-0000-0000-0000FF5A0000}"/>
    <cellStyle name="Currency 3 2 7 3 2 2" xfId="30580" xr:uid="{00000000-0005-0000-0000-0000005B0000}"/>
    <cellStyle name="Currency 3 2 7 3 3" xfId="21782" xr:uid="{00000000-0005-0000-0000-0000015B0000}"/>
    <cellStyle name="Currency 3 2 7 4" xfId="9869" xr:uid="{00000000-0005-0000-0000-0000025B0000}"/>
    <cellStyle name="Currency 3 2 7 5" xfId="21784" xr:uid="{00000000-0005-0000-0000-0000035B0000}"/>
    <cellStyle name="Currency 3 2 8" xfId="5986" xr:uid="{00000000-0005-0000-0000-0000045B0000}"/>
    <cellStyle name="Currency 3 2 8 2" xfId="5987" xr:uid="{00000000-0005-0000-0000-0000055B0000}"/>
    <cellStyle name="Currency 3 2 8 2 2" xfId="11376" xr:uid="{00000000-0005-0000-0000-0000065B0000}"/>
    <cellStyle name="Currency 3 2 8 2 3" xfId="21780" xr:uid="{00000000-0005-0000-0000-0000075B0000}"/>
    <cellStyle name="Currency 3 2 8 3" xfId="5988" xr:uid="{00000000-0005-0000-0000-0000085B0000}"/>
    <cellStyle name="Currency 3 2 8 3 2" xfId="16496" xr:uid="{00000000-0005-0000-0000-0000095B0000}"/>
    <cellStyle name="Currency 3 2 8 3 2 2" xfId="29903" xr:uid="{00000000-0005-0000-0000-00000A5B0000}"/>
    <cellStyle name="Currency 3 2 8 3 3" xfId="21779" xr:uid="{00000000-0005-0000-0000-00000B5B0000}"/>
    <cellStyle name="Currency 3 2 8 4" xfId="9870" xr:uid="{00000000-0005-0000-0000-00000C5B0000}"/>
    <cellStyle name="Currency 3 2 8 5" xfId="21781" xr:uid="{00000000-0005-0000-0000-00000D5B0000}"/>
    <cellStyle name="Currency 3 2 9" xfId="5989" xr:uid="{00000000-0005-0000-0000-00000E5B0000}"/>
    <cellStyle name="Currency 3 2 9 2" xfId="5990" xr:uid="{00000000-0005-0000-0000-00000F5B0000}"/>
    <cellStyle name="Currency 3 2 9 2 2" xfId="13173" xr:uid="{00000000-0005-0000-0000-0000105B0000}"/>
    <cellStyle name="Currency 3 2 9 2 2 2" xfId="26878" xr:uid="{00000000-0005-0000-0000-0000115B0000}"/>
    <cellStyle name="Currency 3 2 9 2 3" xfId="21777" xr:uid="{00000000-0005-0000-0000-0000125B0000}"/>
    <cellStyle name="Currency 3 2 9 3" xfId="5991" xr:uid="{00000000-0005-0000-0000-0000135B0000}"/>
    <cellStyle name="Currency 3 2 9 3 2" xfId="15632" xr:uid="{00000000-0005-0000-0000-0000145B0000}"/>
    <cellStyle name="Currency 3 2 9 3 3" xfId="21776" xr:uid="{00000000-0005-0000-0000-0000155B0000}"/>
    <cellStyle name="Currency 3 2 9 4" xfId="10541" xr:uid="{00000000-0005-0000-0000-0000165B0000}"/>
    <cellStyle name="Currency 3 2 9 4 2" xfId="24483" xr:uid="{00000000-0005-0000-0000-0000175B0000}"/>
    <cellStyle name="Currency 3 2 9 5" xfId="21778" xr:uid="{00000000-0005-0000-0000-0000185B0000}"/>
    <cellStyle name="Currency 3 20" xfId="5992" xr:uid="{00000000-0005-0000-0000-0000195B0000}"/>
    <cellStyle name="Currency 3 20 2" xfId="5993" xr:uid="{00000000-0005-0000-0000-00001A5B0000}"/>
    <cellStyle name="Currency 3 20 2 2" xfId="11377" xr:uid="{00000000-0005-0000-0000-00001B5B0000}"/>
    <cellStyle name="Currency 3 20 2 3" xfId="21774" xr:uid="{00000000-0005-0000-0000-00001C5B0000}"/>
    <cellStyle name="Currency 3 20 3" xfId="9871" xr:uid="{00000000-0005-0000-0000-00001D5B0000}"/>
    <cellStyle name="Currency 3 20 4" xfId="21775" xr:uid="{00000000-0005-0000-0000-00001E5B0000}"/>
    <cellStyle name="Currency 3 21" xfId="5994" xr:uid="{00000000-0005-0000-0000-00001F5B0000}"/>
    <cellStyle name="Currency 3 21 2" xfId="5995" xr:uid="{00000000-0005-0000-0000-0000205B0000}"/>
    <cellStyle name="Currency 3 21 2 2" xfId="11723" xr:uid="{00000000-0005-0000-0000-0000215B0000}"/>
    <cellStyle name="Currency 3 21 2 2 2" xfId="25443" xr:uid="{00000000-0005-0000-0000-0000225B0000}"/>
    <cellStyle name="Currency 3 21 2 3" xfId="21772" xr:uid="{00000000-0005-0000-0000-0000235B0000}"/>
    <cellStyle name="Currency 3 21 3" xfId="5996" xr:uid="{00000000-0005-0000-0000-0000245B0000}"/>
    <cellStyle name="Currency 3 21 3 2" xfId="13174" xr:uid="{00000000-0005-0000-0000-0000255B0000}"/>
    <cellStyle name="Currency 3 21 3 2 2" xfId="26879" xr:uid="{00000000-0005-0000-0000-0000265B0000}"/>
    <cellStyle name="Currency 3 21 3 3" xfId="21771" xr:uid="{00000000-0005-0000-0000-0000275B0000}"/>
    <cellStyle name="Currency 3 21 4" xfId="5997" xr:uid="{00000000-0005-0000-0000-0000285B0000}"/>
    <cellStyle name="Currency 3 21 4 2" xfId="15633" xr:uid="{00000000-0005-0000-0000-0000295B0000}"/>
    <cellStyle name="Currency 3 21 4 3" xfId="21770" xr:uid="{00000000-0005-0000-0000-00002A5B0000}"/>
    <cellStyle name="Currency 3 21 5" xfId="10488" xr:uid="{00000000-0005-0000-0000-00002B5B0000}"/>
    <cellStyle name="Currency 3 21 5 2" xfId="24447" xr:uid="{00000000-0005-0000-0000-00002C5B0000}"/>
    <cellStyle name="Currency 3 21 6" xfId="21773" xr:uid="{00000000-0005-0000-0000-00002D5B0000}"/>
    <cellStyle name="Currency 3 22" xfId="5998" xr:uid="{00000000-0005-0000-0000-00002E5B0000}"/>
    <cellStyle name="Currency 3 22 2" xfId="5999" xr:uid="{00000000-0005-0000-0000-00002F5B0000}"/>
    <cellStyle name="Currency 3 22 2 2" xfId="13175" xr:uid="{00000000-0005-0000-0000-0000305B0000}"/>
    <cellStyle name="Currency 3 22 2 2 2" xfId="26880" xr:uid="{00000000-0005-0000-0000-0000315B0000}"/>
    <cellStyle name="Currency 3 22 2 3" xfId="21768" xr:uid="{00000000-0005-0000-0000-0000325B0000}"/>
    <cellStyle name="Currency 3 22 3" xfId="6000" xr:uid="{00000000-0005-0000-0000-0000335B0000}"/>
    <cellStyle name="Currency 3 22 3 2" xfId="15634" xr:uid="{00000000-0005-0000-0000-0000345B0000}"/>
    <cellStyle name="Currency 3 22 3 3" xfId="21767" xr:uid="{00000000-0005-0000-0000-0000355B0000}"/>
    <cellStyle name="Currency 3 22 4" xfId="10518" xr:uid="{00000000-0005-0000-0000-0000365B0000}"/>
    <cellStyle name="Currency 3 22 4 2" xfId="24466" xr:uid="{00000000-0005-0000-0000-0000375B0000}"/>
    <cellStyle name="Currency 3 22 5" xfId="21769" xr:uid="{00000000-0005-0000-0000-0000385B0000}"/>
    <cellStyle name="Currency 3 23" xfId="6001" xr:uid="{00000000-0005-0000-0000-0000395B0000}"/>
    <cellStyle name="Currency 3 23 2" xfId="11357" xr:uid="{00000000-0005-0000-0000-00003A5B0000}"/>
    <cellStyle name="Currency 3 23 3" xfId="21766" xr:uid="{00000000-0005-0000-0000-00003B5B0000}"/>
    <cellStyle name="Currency 3 24" xfId="6002" xr:uid="{00000000-0005-0000-0000-00003C5B0000}"/>
    <cellStyle name="Currency 3 24 2" xfId="11763" xr:uid="{00000000-0005-0000-0000-00003D5B0000}"/>
    <cellStyle name="Currency 3 24 2 2" xfId="25478" xr:uid="{00000000-0005-0000-0000-00003E5B0000}"/>
    <cellStyle name="Currency 3 24 3" xfId="21765" xr:uid="{00000000-0005-0000-0000-00003F5B0000}"/>
    <cellStyle name="Currency 3 25" xfId="6003" xr:uid="{00000000-0005-0000-0000-0000405B0000}"/>
    <cellStyle name="Currency 3 25 2" xfId="13391" xr:uid="{00000000-0005-0000-0000-0000415B0000}"/>
    <cellStyle name="Currency 3 25 2 2" xfId="26940" xr:uid="{00000000-0005-0000-0000-0000425B0000}"/>
    <cellStyle name="Currency 3 25 3" xfId="21764" xr:uid="{00000000-0005-0000-0000-0000435B0000}"/>
    <cellStyle name="Currency 3 26" xfId="6004" xr:uid="{00000000-0005-0000-0000-0000445B0000}"/>
    <cellStyle name="Currency 3 26 2" xfId="13972" xr:uid="{00000000-0005-0000-0000-0000455B0000}"/>
    <cellStyle name="Currency 3 26 2 2" xfId="27521" xr:uid="{00000000-0005-0000-0000-0000465B0000}"/>
    <cellStyle name="Currency 3 26 3" xfId="21763" xr:uid="{00000000-0005-0000-0000-0000475B0000}"/>
    <cellStyle name="Currency 3 27" xfId="6005" xr:uid="{00000000-0005-0000-0000-0000485B0000}"/>
    <cellStyle name="Currency 3 27 2" xfId="15828" xr:uid="{00000000-0005-0000-0000-0000495B0000}"/>
    <cellStyle name="Currency 3 27 2 2" xfId="29235" xr:uid="{00000000-0005-0000-0000-00004A5B0000}"/>
    <cellStyle name="Currency 3 27 3" xfId="21762" xr:uid="{00000000-0005-0000-0000-00004B5B0000}"/>
    <cellStyle name="Currency 3 28" xfId="6006" xr:uid="{00000000-0005-0000-0000-00004C5B0000}"/>
    <cellStyle name="Currency 3 28 2" xfId="15858" xr:uid="{00000000-0005-0000-0000-00004D5B0000}"/>
    <cellStyle name="Currency 3 28 2 2" xfId="29265" xr:uid="{00000000-0005-0000-0000-00004E5B0000}"/>
    <cellStyle name="Currency 3 28 3" xfId="21761" xr:uid="{00000000-0005-0000-0000-00004F5B0000}"/>
    <cellStyle name="Currency 3 29" xfId="8656" xr:uid="{00000000-0005-0000-0000-0000505B0000}"/>
    <cellStyle name="Currency 3 29 2" xfId="9838" xr:uid="{00000000-0005-0000-0000-0000515B0000}"/>
    <cellStyle name="Currency 3 3" xfId="6007" xr:uid="{00000000-0005-0000-0000-0000525B0000}"/>
    <cellStyle name="Currency 3 3 10" xfId="6008" xr:uid="{00000000-0005-0000-0000-0000535B0000}"/>
    <cellStyle name="Currency 3 3 10 2" xfId="17334" xr:uid="{00000000-0005-0000-0000-0000545B0000}"/>
    <cellStyle name="Currency 3 3 10 3" xfId="21759" xr:uid="{00000000-0005-0000-0000-0000555B0000}"/>
    <cellStyle name="Currency 3 3 11" xfId="8735" xr:uid="{00000000-0005-0000-0000-0000565B0000}"/>
    <cellStyle name="Currency 3 3 12" xfId="9872" xr:uid="{00000000-0005-0000-0000-0000575B0000}"/>
    <cellStyle name="Currency 3 3 13" xfId="21760" xr:uid="{00000000-0005-0000-0000-0000585B0000}"/>
    <cellStyle name="Currency 3 3 2" xfId="6009" xr:uid="{00000000-0005-0000-0000-0000595B0000}"/>
    <cellStyle name="Currency 3 3 2 2" xfId="6010" xr:uid="{00000000-0005-0000-0000-00005A5B0000}"/>
    <cellStyle name="Currency 3 3 2 2 2" xfId="6011" xr:uid="{00000000-0005-0000-0000-00005B5B0000}"/>
    <cellStyle name="Currency 3 3 2 2 2 2" xfId="6012" xr:uid="{00000000-0005-0000-0000-00005C5B0000}"/>
    <cellStyle name="Currency 3 3 2 2 2 2 2" xfId="11378" xr:uid="{00000000-0005-0000-0000-00005D5B0000}"/>
    <cellStyle name="Currency 3 3 2 2 2 2 3" xfId="21755" xr:uid="{00000000-0005-0000-0000-00005E5B0000}"/>
    <cellStyle name="Currency 3 3 2 2 2 3" xfId="6013" xr:uid="{00000000-0005-0000-0000-00005F5B0000}"/>
    <cellStyle name="Currency 3 3 2 2 2 3 2" xfId="16951" xr:uid="{00000000-0005-0000-0000-0000605B0000}"/>
    <cellStyle name="Currency 3 3 2 2 2 3 2 2" xfId="30358" xr:uid="{00000000-0005-0000-0000-0000615B0000}"/>
    <cellStyle name="Currency 3 3 2 2 2 3 3" xfId="21754" xr:uid="{00000000-0005-0000-0000-0000625B0000}"/>
    <cellStyle name="Currency 3 3 2 2 2 4" xfId="9875" xr:uid="{00000000-0005-0000-0000-0000635B0000}"/>
    <cellStyle name="Currency 3 3 2 2 2 5" xfId="21756" xr:uid="{00000000-0005-0000-0000-0000645B0000}"/>
    <cellStyle name="Currency 3 3 2 2 3" xfId="6014" xr:uid="{00000000-0005-0000-0000-0000655B0000}"/>
    <cellStyle name="Currency 3 3 2 2 3 2" xfId="6015" xr:uid="{00000000-0005-0000-0000-0000665B0000}"/>
    <cellStyle name="Currency 3 3 2 2 3 2 2" xfId="13176" xr:uid="{00000000-0005-0000-0000-0000675B0000}"/>
    <cellStyle name="Currency 3 3 2 2 3 2 3" xfId="21752" xr:uid="{00000000-0005-0000-0000-0000685B0000}"/>
    <cellStyle name="Currency 3 3 2 2 3 3" xfId="12339" xr:uid="{00000000-0005-0000-0000-0000695B0000}"/>
    <cellStyle name="Currency 3 3 2 2 3 3 2" xfId="26051" xr:uid="{00000000-0005-0000-0000-00006A5B0000}"/>
    <cellStyle name="Currency 3 3 2 2 3 4" xfId="21753" xr:uid="{00000000-0005-0000-0000-00006B5B0000}"/>
    <cellStyle name="Currency 3 3 2 2 4" xfId="6016" xr:uid="{00000000-0005-0000-0000-00006C5B0000}"/>
    <cellStyle name="Currency 3 3 2 2 4 2" xfId="6017" xr:uid="{00000000-0005-0000-0000-00006D5B0000}"/>
    <cellStyle name="Currency 3 3 2 2 4 2 2" xfId="15635" xr:uid="{00000000-0005-0000-0000-00006E5B0000}"/>
    <cellStyle name="Currency 3 3 2 2 4 2 3" xfId="21750" xr:uid="{00000000-0005-0000-0000-00006F5B0000}"/>
    <cellStyle name="Currency 3 3 2 2 4 3" xfId="13903" xr:uid="{00000000-0005-0000-0000-0000705B0000}"/>
    <cellStyle name="Currency 3 3 2 2 4 3 2" xfId="27452" xr:uid="{00000000-0005-0000-0000-0000715B0000}"/>
    <cellStyle name="Currency 3 3 2 2 4 4" xfId="21751" xr:uid="{00000000-0005-0000-0000-0000725B0000}"/>
    <cellStyle name="Currency 3 3 2 2 5" xfId="6018" xr:uid="{00000000-0005-0000-0000-0000735B0000}"/>
    <cellStyle name="Currency 3 3 2 2 5 2" xfId="14484" xr:uid="{00000000-0005-0000-0000-0000745B0000}"/>
    <cellStyle name="Currency 3 3 2 2 5 2 2" xfId="28033" xr:uid="{00000000-0005-0000-0000-0000755B0000}"/>
    <cellStyle name="Currency 3 3 2 2 5 3" xfId="21749" xr:uid="{00000000-0005-0000-0000-0000765B0000}"/>
    <cellStyle name="Currency 3 3 2 2 6" xfId="6019" xr:uid="{00000000-0005-0000-0000-0000775B0000}"/>
    <cellStyle name="Currency 3 3 2 2 6 2" xfId="16370" xr:uid="{00000000-0005-0000-0000-0000785B0000}"/>
    <cellStyle name="Currency 3 3 2 2 6 2 2" xfId="29777" xr:uid="{00000000-0005-0000-0000-0000795B0000}"/>
    <cellStyle name="Currency 3 3 2 2 6 3" xfId="21748" xr:uid="{00000000-0005-0000-0000-00007A5B0000}"/>
    <cellStyle name="Currency 3 3 2 2 7" xfId="9874" xr:uid="{00000000-0005-0000-0000-00007B5B0000}"/>
    <cellStyle name="Currency 3 3 2 2 8" xfId="21757" xr:uid="{00000000-0005-0000-0000-00007C5B0000}"/>
    <cellStyle name="Currency 3 3 2 3" xfId="6020" xr:uid="{00000000-0005-0000-0000-00007D5B0000}"/>
    <cellStyle name="Currency 3 3 2 3 2" xfId="6021" xr:uid="{00000000-0005-0000-0000-00007E5B0000}"/>
    <cellStyle name="Currency 3 3 2 3 2 2" xfId="11379" xr:uid="{00000000-0005-0000-0000-00007F5B0000}"/>
    <cellStyle name="Currency 3 3 2 3 2 3" xfId="21746" xr:uid="{00000000-0005-0000-0000-0000805B0000}"/>
    <cellStyle name="Currency 3 3 2 3 3" xfId="6022" xr:uid="{00000000-0005-0000-0000-0000815B0000}"/>
    <cellStyle name="Currency 3 3 2 3 3 2" xfId="16662" xr:uid="{00000000-0005-0000-0000-0000825B0000}"/>
    <cellStyle name="Currency 3 3 2 3 3 2 2" xfId="30069" xr:uid="{00000000-0005-0000-0000-0000835B0000}"/>
    <cellStyle name="Currency 3 3 2 3 3 3" xfId="21745" xr:uid="{00000000-0005-0000-0000-0000845B0000}"/>
    <cellStyle name="Currency 3 3 2 3 4" xfId="9876" xr:uid="{00000000-0005-0000-0000-0000855B0000}"/>
    <cellStyle name="Currency 3 3 2 3 5" xfId="21747" xr:uid="{00000000-0005-0000-0000-0000865B0000}"/>
    <cellStyle name="Currency 3 3 2 4" xfId="6023" xr:uid="{00000000-0005-0000-0000-0000875B0000}"/>
    <cellStyle name="Currency 3 3 2 4 2" xfId="6024" xr:uid="{00000000-0005-0000-0000-0000885B0000}"/>
    <cellStyle name="Currency 3 3 2 4 2 2" xfId="13177" xr:uid="{00000000-0005-0000-0000-0000895B0000}"/>
    <cellStyle name="Currency 3 3 2 4 2 3" xfId="21743" xr:uid="{00000000-0005-0000-0000-00008A5B0000}"/>
    <cellStyle name="Currency 3 3 2 4 3" xfId="12039" xr:uid="{00000000-0005-0000-0000-00008B5B0000}"/>
    <cellStyle name="Currency 3 3 2 4 3 2" xfId="25754" xr:uid="{00000000-0005-0000-0000-00008C5B0000}"/>
    <cellStyle name="Currency 3 3 2 4 4" xfId="21744" xr:uid="{00000000-0005-0000-0000-00008D5B0000}"/>
    <cellStyle name="Currency 3 3 2 5" xfId="6025" xr:uid="{00000000-0005-0000-0000-00008E5B0000}"/>
    <cellStyle name="Currency 3 3 2 5 2" xfId="6026" xr:uid="{00000000-0005-0000-0000-00008F5B0000}"/>
    <cellStyle name="Currency 3 3 2 5 2 2" xfId="15636" xr:uid="{00000000-0005-0000-0000-0000905B0000}"/>
    <cellStyle name="Currency 3 3 2 5 2 3" xfId="21741" xr:uid="{00000000-0005-0000-0000-0000915B0000}"/>
    <cellStyle name="Currency 3 3 2 5 3" xfId="13614" xr:uid="{00000000-0005-0000-0000-0000925B0000}"/>
    <cellStyle name="Currency 3 3 2 5 3 2" xfId="27163" xr:uid="{00000000-0005-0000-0000-0000935B0000}"/>
    <cellStyle name="Currency 3 3 2 5 4" xfId="21742" xr:uid="{00000000-0005-0000-0000-0000945B0000}"/>
    <cellStyle name="Currency 3 3 2 6" xfId="6027" xr:uid="{00000000-0005-0000-0000-0000955B0000}"/>
    <cellStyle name="Currency 3 3 2 6 2" xfId="14195" xr:uid="{00000000-0005-0000-0000-0000965B0000}"/>
    <cellStyle name="Currency 3 3 2 6 2 2" xfId="27744" xr:uid="{00000000-0005-0000-0000-0000975B0000}"/>
    <cellStyle name="Currency 3 3 2 6 3" xfId="21740" xr:uid="{00000000-0005-0000-0000-0000985B0000}"/>
    <cellStyle name="Currency 3 3 2 7" xfId="6028" xr:uid="{00000000-0005-0000-0000-0000995B0000}"/>
    <cellStyle name="Currency 3 3 2 7 2" xfId="16081" xr:uid="{00000000-0005-0000-0000-00009A5B0000}"/>
    <cellStyle name="Currency 3 3 2 7 2 2" xfId="29488" xr:uid="{00000000-0005-0000-0000-00009B5B0000}"/>
    <cellStyle name="Currency 3 3 2 7 3" xfId="21739" xr:uid="{00000000-0005-0000-0000-00009C5B0000}"/>
    <cellStyle name="Currency 3 3 2 8" xfId="9873" xr:uid="{00000000-0005-0000-0000-00009D5B0000}"/>
    <cellStyle name="Currency 3 3 2 9" xfId="21758" xr:uid="{00000000-0005-0000-0000-00009E5B0000}"/>
    <cellStyle name="Currency 3 3 3" xfId="6029" xr:uid="{00000000-0005-0000-0000-00009F5B0000}"/>
    <cellStyle name="Currency 3 3 3 2" xfId="6030" xr:uid="{00000000-0005-0000-0000-0000A05B0000}"/>
    <cellStyle name="Currency 3 3 3 2 2" xfId="6031" xr:uid="{00000000-0005-0000-0000-0000A15B0000}"/>
    <cellStyle name="Currency 3 3 3 2 2 2" xfId="11380" xr:uid="{00000000-0005-0000-0000-0000A25B0000}"/>
    <cellStyle name="Currency 3 3 3 2 2 3" xfId="21736" xr:uid="{00000000-0005-0000-0000-0000A35B0000}"/>
    <cellStyle name="Currency 3 3 3 2 3" xfId="6032" xr:uid="{00000000-0005-0000-0000-0000A45B0000}"/>
    <cellStyle name="Currency 3 3 3 2 3 2" xfId="16808" xr:uid="{00000000-0005-0000-0000-0000A55B0000}"/>
    <cellStyle name="Currency 3 3 3 2 3 2 2" xfId="30215" xr:uid="{00000000-0005-0000-0000-0000A65B0000}"/>
    <cellStyle name="Currency 3 3 3 2 3 3" xfId="21735" xr:uid="{00000000-0005-0000-0000-0000A75B0000}"/>
    <cellStyle name="Currency 3 3 3 2 4" xfId="9878" xr:uid="{00000000-0005-0000-0000-0000A85B0000}"/>
    <cellStyle name="Currency 3 3 3 2 5" xfId="21737" xr:uid="{00000000-0005-0000-0000-0000A95B0000}"/>
    <cellStyle name="Currency 3 3 3 3" xfId="6033" xr:uid="{00000000-0005-0000-0000-0000AA5B0000}"/>
    <cellStyle name="Currency 3 3 3 3 2" xfId="6034" xr:uid="{00000000-0005-0000-0000-0000AB5B0000}"/>
    <cellStyle name="Currency 3 3 3 3 2 2" xfId="13178" xr:uid="{00000000-0005-0000-0000-0000AC5B0000}"/>
    <cellStyle name="Currency 3 3 3 3 2 3" xfId="21733" xr:uid="{00000000-0005-0000-0000-0000AD5B0000}"/>
    <cellStyle name="Currency 3 3 3 3 3" xfId="12196" xr:uid="{00000000-0005-0000-0000-0000AE5B0000}"/>
    <cellStyle name="Currency 3 3 3 3 3 2" xfId="25908" xr:uid="{00000000-0005-0000-0000-0000AF5B0000}"/>
    <cellStyle name="Currency 3 3 3 3 4" xfId="21734" xr:uid="{00000000-0005-0000-0000-0000B05B0000}"/>
    <cellStyle name="Currency 3 3 3 4" xfId="6035" xr:uid="{00000000-0005-0000-0000-0000B15B0000}"/>
    <cellStyle name="Currency 3 3 3 4 2" xfId="6036" xr:uid="{00000000-0005-0000-0000-0000B25B0000}"/>
    <cellStyle name="Currency 3 3 3 4 2 2" xfId="15637" xr:uid="{00000000-0005-0000-0000-0000B35B0000}"/>
    <cellStyle name="Currency 3 3 3 4 2 3" xfId="21731" xr:uid="{00000000-0005-0000-0000-0000B45B0000}"/>
    <cellStyle name="Currency 3 3 3 4 3" xfId="13760" xr:uid="{00000000-0005-0000-0000-0000B55B0000}"/>
    <cellStyle name="Currency 3 3 3 4 3 2" xfId="27309" xr:uid="{00000000-0005-0000-0000-0000B65B0000}"/>
    <cellStyle name="Currency 3 3 3 4 4" xfId="21732" xr:uid="{00000000-0005-0000-0000-0000B75B0000}"/>
    <cellStyle name="Currency 3 3 3 5" xfId="6037" xr:uid="{00000000-0005-0000-0000-0000B85B0000}"/>
    <cellStyle name="Currency 3 3 3 5 2" xfId="14341" xr:uid="{00000000-0005-0000-0000-0000B95B0000}"/>
    <cellStyle name="Currency 3 3 3 5 2 2" xfId="27890" xr:uid="{00000000-0005-0000-0000-0000BA5B0000}"/>
    <cellStyle name="Currency 3 3 3 5 3" xfId="21730" xr:uid="{00000000-0005-0000-0000-0000BB5B0000}"/>
    <cellStyle name="Currency 3 3 3 6" xfId="6038" xr:uid="{00000000-0005-0000-0000-0000BC5B0000}"/>
    <cellStyle name="Currency 3 3 3 6 2" xfId="16227" xr:uid="{00000000-0005-0000-0000-0000BD5B0000}"/>
    <cellStyle name="Currency 3 3 3 6 2 2" xfId="29634" xr:uid="{00000000-0005-0000-0000-0000BE5B0000}"/>
    <cellStyle name="Currency 3 3 3 6 3" xfId="21729" xr:uid="{00000000-0005-0000-0000-0000BF5B0000}"/>
    <cellStyle name="Currency 3 3 3 7" xfId="9877" xr:uid="{00000000-0005-0000-0000-0000C05B0000}"/>
    <cellStyle name="Currency 3 3 3 8" xfId="21738" xr:uid="{00000000-0005-0000-0000-0000C15B0000}"/>
    <cellStyle name="Currency 3 3 4" xfId="6039" xr:uid="{00000000-0005-0000-0000-0000C25B0000}"/>
    <cellStyle name="Currency 3 3 4 2" xfId="6040" xr:uid="{00000000-0005-0000-0000-0000C35B0000}"/>
    <cellStyle name="Currency 3 3 4 2 2" xfId="13179" xr:uid="{00000000-0005-0000-0000-0000C45B0000}"/>
    <cellStyle name="Currency 3 3 4 2 3" xfId="21727" xr:uid="{00000000-0005-0000-0000-0000C55B0000}"/>
    <cellStyle name="Currency 3 3 4 3" xfId="6041" xr:uid="{00000000-0005-0000-0000-0000C65B0000}"/>
    <cellStyle name="Currency 3 3 4 3 2" xfId="17029" xr:uid="{00000000-0005-0000-0000-0000C75B0000}"/>
    <cellStyle name="Currency 3 3 4 3 3" xfId="21726" xr:uid="{00000000-0005-0000-0000-0000C85B0000}"/>
    <cellStyle name="Currency 3 3 4 4" xfId="9879" xr:uid="{00000000-0005-0000-0000-0000C95B0000}"/>
    <cellStyle name="Currency 3 3 4 5" xfId="21728" xr:uid="{00000000-0005-0000-0000-0000CA5B0000}"/>
    <cellStyle name="Currency 3 3 5" xfId="6042" xr:uid="{00000000-0005-0000-0000-0000CB5B0000}"/>
    <cellStyle name="Currency 3 3 5 2" xfId="6043" xr:uid="{00000000-0005-0000-0000-0000CC5B0000}"/>
    <cellStyle name="Currency 3 3 5 2 2" xfId="11381" xr:uid="{00000000-0005-0000-0000-0000CD5B0000}"/>
    <cellStyle name="Currency 3 3 5 2 3" xfId="21724" xr:uid="{00000000-0005-0000-0000-0000CE5B0000}"/>
    <cellStyle name="Currency 3 3 5 3" xfId="6044" xr:uid="{00000000-0005-0000-0000-0000CF5B0000}"/>
    <cellStyle name="Currency 3 3 5 3 2" xfId="17155" xr:uid="{00000000-0005-0000-0000-0000D05B0000}"/>
    <cellStyle name="Currency 3 3 5 3 2 2" xfId="30514" xr:uid="{00000000-0005-0000-0000-0000D15B0000}"/>
    <cellStyle name="Currency 3 3 5 3 3" xfId="21723" xr:uid="{00000000-0005-0000-0000-0000D25B0000}"/>
    <cellStyle name="Currency 3 3 5 4" xfId="9880" xr:uid="{00000000-0005-0000-0000-0000D35B0000}"/>
    <cellStyle name="Currency 3 3 5 5" xfId="21725" xr:uid="{00000000-0005-0000-0000-0000D45B0000}"/>
    <cellStyle name="Currency 3 3 6" xfId="6045" xr:uid="{00000000-0005-0000-0000-0000D55B0000}"/>
    <cellStyle name="Currency 3 3 6 2" xfId="6046" xr:uid="{00000000-0005-0000-0000-0000D65B0000}"/>
    <cellStyle name="Currency 3 3 6 2 2" xfId="15638" xr:uid="{00000000-0005-0000-0000-0000D75B0000}"/>
    <cellStyle name="Currency 3 3 6 2 3" xfId="21721" xr:uid="{00000000-0005-0000-0000-0000D85B0000}"/>
    <cellStyle name="Currency 3 3 6 3" xfId="6047" xr:uid="{00000000-0005-0000-0000-0000D95B0000}"/>
    <cellStyle name="Currency 3 3 6 3 2" xfId="17244" xr:uid="{00000000-0005-0000-0000-0000DA5B0000}"/>
    <cellStyle name="Currency 3 3 6 3 2 2" xfId="30603" xr:uid="{00000000-0005-0000-0000-0000DB5B0000}"/>
    <cellStyle name="Currency 3 3 6 3 3" xfId="21720" xr:uid="{00000000-0005-0000-0000-0000DC5B0000}"/>
    <cellStyle name="Currency 3 3 6 4" xfId="11892" xr:uid="{00000000-0005-0000-0000-0000DD5B0000}"/>
    <cellStyle name="Currency 3 3 6 4 2" xfId="25607" xr:uid="{00000000-0005-0000-0000-0000DE5B0000}"/>
    <cellStyle name="Currency 3 3 6 5" xfId="21722" xr:uid="{00000000-0005-0000-0000-0000DF5B0000}"/>
    <cellStyle name="Currency 3 3 7" xfId="6048" xr:uid="{00000000-0005-0000-0000-0000E05B0000}"/>
    <cellStyle name="Currency 3 3 7 2" xfId="6049" xr:uid="{00000000-0005-0000-0000-0000E15B0000}"/>
    <cellStyle name="Currency 3 3 7 2 2" xfId="16519" xr:uid="{00000000-0005-0000-0000-0000E25B0000}"/>
    <cellStyle name="Currency 3 3 7 2 2 2" xfId="29926" xr:uid="{00000000-0005-0000-0000-0000E35B0000}"/>
    <cellStyle name="Currency 3 3 7 2 3" xfId="21718" xr:uid="{00000000-0005-0000-0000-0000E45B0000}"/>
    <cellStyle name="Currency 3 3 7 3" xfId="13471" xr:uid="{00000000-0005-0000-0000-0000E55B0000}"/>
    <cellStyle name="Currency 3 3 7 3 2" xfId="27020" xr:uid="{00000000-0005-0000-0000-0000E65B0000}"/>
    <cellStyle name="Currency 3 3 7 4" xfId="21719" xr:uid="{00000000-0005-0000-0000-0000E75B0000}"/>
    <cellStyle name="Currency 3 3 8" xfId="6050" xr:uid="{00000000-0005-0000-0000-0000E85B0000}"/>
    <cellStyle name="Currency 3 3 8 2" xfId="14052" xr:uid="{00000000-0005-0000-0000-0000E95B0000}"/>
    <cellStyle name="Currency 3 3 8 2 2" xfId="27601" xr:uid="{00000000-0005-0000-0000-0000EA5B0000}"/>
    <cellStyle name="Currency 3 3 8 3" xfId="21717" xr:uid="{00000000-0005-0000-0000-0000EB5B0000}"/>
    <cellStyle name="Currency 3 3 9" xfId="6051" xr:uid="{00000000-0005-0000-0000-0000EC5B0000}"/>
    <cellStyle name="Currency 3 3 9 2" xfId="15938" xr:uid="{00000000-0005-0000-0000-0000ED5B0000}"/>
    <cellStyle name="Currency 3 3 9 2 2" xfId="29345" xr:uid="{00000000-0005-0000-0000-0000EE5B0000}"/>
    <cellStyle name="Currency 3 3 9 3" xfId="21716" xr:uid="{00000000-0005-0000-0000-0000EF5B0000}"/>
    <cellStyle name="Currency 3 30" xfId="21901" xr:uid="{00000000-0005-0000-0000-0000F05B0000}"/>
    <cellStyle name="Currency 3 4" xfId="6052" xr:uid="{00000000-0005-0000-0000-0000F15B0000}"/>
    <cellStyle name="Currency 3 4 10" xfId="9881" xr:uid="{00000000-0005-0000-0000-0000F25B0000}"/>
    <cellStyle name="Currency 3 4 11" xfId="21715" xr:uid="{00000000-0005-0000-0000-0000F35B0000}"/>
    <cellStyle name="Currency 3 4 2" xfId="6053" xr:uid="{00000000-0005-0000-0000-0000F45B0000}"/>
    <cellStyle name="Currency 3 4 2 2" xfId="6054" xr:uid="{00000000-0005-0000-0000-0000F55B0000}"/>
    <cellStyle name="Currency 3 4 2 2 2" xfId="6055" xr:uid="{00000000-0005-0000-0000-0000F65B0000}"/>
    <cellStyle name="Currency 3 4 2 2 2 2" xfId="6056" xr:uid="{00000000-0005-0000-0000-0000F75B0000}"/>
    <cellStyle name="Currency 3 4 2 2 2 2 2" xfId="11382" xr:uid="{00000000-0005-0000-0000-0000F85B0000}"/>
    <cellStyle name="Currency 3 4 2 2 2 2 3" xfId="21711" xr:uid="{00000000-0005-0000-0000-0000F95B0000}"/>
    <cellStyle name="Currency 3 4 2 2 2 3" xfId="6057" xr:uid="{00000000-0005-0000-0000-0000FA5B0000}"/>
    <cellStyle name="Currency 3 4 2 2 2 3 2" xfId="16905" xr:uid="{00000000-0005-0000-0000-0000FB5B0000}"/>
    <cellStyle name="Currency 3 4 2 2 2 3 2 2" xfId="30312" xr:uid="{00000000-0005-0000-0000-0000FC5B0000}"/>
    <cellStyle name="Currency 3 4 2 2 2 3 3" xfId="21710" xr:uid="{00000000-0005-0000-0000-0000FD5B0000}"/>
    <cellStyle name="Currency 3 4 2 2 2 4" xfId="9884" xr:uid="{00000000-0005-0000-0000-0000FE5B0000}"/>
    <cellStyle name="Currency 3 4 2 2 2 5" xfId="21712" xr:uid="{00000000-0005-0000-0000-0000FF5B0000}"/>
    <cellStyle name="Currency 3 4 2 2 3" xfId="6058" xr:uid="{00000000-0005-0000-0000-0000005C0000}"/>
    <cellStyle name="Currency 3 4 2 2 3 2" xfId="6059" xr:uid="{00000000-0005-0000-0000-0000015C0000}"/>
    <cellStyle name="Currency 3 4 2 2 3 2 2" xfId="13180" xr:uid="{00000000-0005-0000-0000-0000025C0000}"/>
    <cellStyle name="Currency 3 4 2 2 3 2 3" xfId="21708" xr:uid="{00000000-0005-0000-0000-0000035C0000}"/>
    <cellStyle name="Currency 3 4 2 2 3 3" xfId="12293" xr:uid="{00000000-0005-0000-0000-0000045C0000}"/>
    <cellStyle name="Currency 3 4 2 2 3 3 2" xfId="26005" xr:uid="{00000000-0005-0000-0000-0000055C0000}"/>
    <cellStyle name="Currency 3 4 2 2 3 4" xfId="21709" xr:uid="{00000000-0005-0000-0000-0000065C0000}"/>
    <cellStyle name="Currency 3 4 2 2 4" xfId="6060" xr:uid="{00000000-0005-0000-0000-0000075C0000}"/>
    <cellStyle name="Currency 3 4 2 2 4 2" xfId="6061" xr:uid="{00000000-0005-0000-0000-0000085C0000}"/>
    <cellStyle name="Currency 3 4 2 2 4 2 2" xfId="15639" xr:uid="{00000000-0005-0000-0000-0000095C0000}"/>
    <cellStyle name="Currency 3 4 2 2 4 2 3" xfId="21706" xr:uid="{00000000-0005-0000-0000-00000A5C0000}"/>
    <cellStyle name="Currency 3 4 2 2 4 3" xfId="13857" xr:uid="{00000000-0005-0000-0000-00000B5C0000}"/>
    <cellStyle name="Currency 3 4 2 2 4 3 2" xfId="27406" xr:uid="{00000000-0005-0000-0000-00000C5C0000}"/>
    <cellStyle name="Currency 3 4 2 2 4 4" xfId="21707" xr:uid="{00000000-0005-0000-0000-00000D5C0000}"/>
    <cellStyle name="Currency 3 4 2 2 5" xfId="6062" xr:uid="{00000000-0005-0000-0000-00000E5C0000}"/>
    <cellStyle name="Currency 3 4 2 2 5 2" xfId="14438" xr:uid="{00000000-0005-0000-0000-00000F5C0000}"/>
    <cellStyle name="Currency 3 4 2 2 5 2 2" xfId="27987" xr:uid="{00000000-0005-0000-0000-0000105C0000}"/>
    <cellStyle name="Currency 3 4 2 2 5 3" xfId="21705" xr:uid="{00000000-0005-0000-0000-0000115C0000}"/>
    <cellStyle name="Currency 3 4 2 2 6" xfId="6063" xr:uid="{00000000-0005-0000-0000-0000125C0000}"/>
    <cellStyle name="Currency 3 4 2 2 6 2" xfId="16324" xr:uid="{00000000-0005-0000-0000-0000135C0000}"/>
    <cellStyle name="Currency 3 4 2 2 6 2 2" xfId="29731" xr:uid="{00000000-0005-0000-0000-0000145C0000}"/>
    <cellStyle name="Currency 3 4 2 2 6 3" xfId="21704" xr:uid="{00000000-0005-0000-0000-0000155C0000}"/>
    <cellStyle name="Currency 3 4 2 2 7" xfId="9883" xr:uid="{00000000-0005-0000-0000-0000165C0000}"/>
    <cellStyle name="Currency 3 4 2 2 8" xfId="21713" xr:uid="{00000000-0005-0000-0000-0000175C0000}"/>
    <cellStyle name="Currency 3 4 2 3" xfId="6064" xr:uid="{00000000-0005-0000-0000-0000185C0000}"/>
    <cellStyle name="Currency 3 4 2 3 2" xfId="6065" xr:uid="{00000000-0005-0000-0000-0000195C0000}"/>
    <cellStyle name="Currency 3 4 2 3 2 2" xfId="11383" xr:uid="{00000000-0005-0000-0000-00001A5C0000}"/>
    <cellStyle name="Currency 3 4 2 3 2 3" xfId="21702" xr:uid="{00000000-0005-0000-0000-00001B5C0000}"/>
    <cellStyle name="Currency 3 4 2 3 3" xfId="6066" xr:uid="{00000000-0005-0000-0000-00001C5C0000}"/>
    <cellStyle name="Currency 3 4 2 3 3 2" xfId="16616" xr:uid="{00000000-0005-0000-0000-00001D5C0000}"/>
    <cellStyle name="Currency 3 4 2 3 3 2 2" xfId="30023" xr:uid="{00000000-0005-0000-0000-00001E5C0000}"/>
    <cellStyle name="Currency 3 4 2 3 3 3" xfId="21701" xr:uid="{00000000-0005-0000-0000-00001F5C0000}"/>
    <cellStyle name="Currency 3 4 2 3 4" xfId="9885" xr:uid="{00000000-0005-0000-0000-0000205C0000}"/>
    <cellStyle name="Currency 3 4 2 3 5" xfId="21703" xr:uid="{00000000-0005-0000-0000-0000215C0000}"/>
    <cellStyle name="Currency 3 4 2 4" xfId="6067" xr:uid="{00000000-0005-0000-0000-0000225C0000}"/>
    <cellStyle name="Currency 3 4 2 4 2" xfId="6068" xr:uid="{00000000-0005-0000-0000-0000235C0000}"/>
    <cellStyle name="Currency 3 4 2 4 2 2" xfId="13181" xr:uid="{00000000-0005-0000-0000-0000245C0000}"/>
    <cellStyle name="Currency 3 4 2 4 2 3" xfId="21699" xr:uid="{00000000-0005-0000-0000-0000255C0000}"/>
    <cellStyle name="Currency 3 4 2 4 3" xfId="11993" xr:uid="{00000000-0005-0000-0000-0000265C0000}"/>
    <cellStyle name="Currency 3 4 2 4 3 2" xfId="25708" xr:uid="{00000000-0005-0000-0000-0000275C0000}"/>
    <cellStyle name="Currency 3 4 2 4 4" xfId="21700" xr:uid="{00000000-0005-0000-0000-0000285C0000}"/>
    <cellStyle name="Currency 3 4 2 5" xfId="6069" xr:uid="{00000000-0005-0000-0000-0000295C0000}"/>
    <cellStyle name="Currency 3 4 2 5 2" xfId="6070" xr:uid="{00000000-0005-0000-0000-00002A5C0000}"/>
    <cellStyle name="Currency 3 4 2 5 2 2" xfId="15640" xr:uid="{00000000-0005-0000-0000-00002B5C0000}"/>
    <cellStyle name="Currency 3 4 2 5 2 3" xfId="21697" xr:uid="{00000000-0005-0000-0000-00002C5C0000}"/>
    <cellStyle name="Currency 3 4 2 5 3" xfId="13568" xr:uid="{00000000-0005-0000-0000-00002D5C0000}"/>
    <cellStyle name="Currency 3 4 2 5 3 2" xfId="27117" xr:uid="{00000000-0005-0000-0000-00002E5C0000}"/>
    <cellStyle name="Currency 3 4 2 5 4" xfId="21698" xr:uid="{00000000-0005-0000-0000-00002F5C0000}"/>
    <cellStyle name="Currency 3 4 2 6" xfId="6071" xr:uid="{00000000-0005-0000-0000-0000305C0000}"/>
    <cellStyle name="Currency 3 4 2 6 2" xfId="14149" xr:uid="{00000000-0005-0000-0000-0000315C0000}"/>
    <cellStyle name="Currency 3 4 2 6 2 2" xfId="27698" xr:uid="{00000000-0005-0000-0000-0000325C0000}"/>
    <cellStyle name="Currency 3 4 2 6 3" xfId="21696" xr:uid="{00000000-0005-0000-0000-0000335C0000}"/>
    <cellStyle name="Currency 3 4 2 7" xfId="6072" xr:uid="{00000000-0005-0000-0000-0000345C0000}"/>
    <cellStyle name="Currency 3 4 2 7 2" xfId="16035" xr:uid="{00000000-0005-0000-0000-0000355C0000}"/>
    <cellStyle name="Currency 3 4 2 7 2 2" xfId="29442" xr:uid="{00000000-0005-0000-0000-0000365C0000}"/>
    <cellStyle name="Currency 3 4 2 7 3" xfId="21695" xr:uid="{00000000-0005-0000-0000-0000375C0000}"/>
    <cellStyle name="Currency 3 4 2 8" xfId="9882" xr:uid="{00000000-0005-0000-0000-0000385C0000}"/>
    <cellStyle name="Currency 3 4 2 9" xfId="21714" xr:uid="{00000000-0005-0000-0000-0000395C0000}"/>
    <cellStyle name="Currency 3 4 3" xfId="6073" xr:uid="{00000000-0005-0000-0000-00003A5C0000}"/>
    <cellStyle name="Currency 3 4 3 2" xfId="6074" xr:uid="{00000000-0005-0000-0000-00003B5C0000}"/>
    <cellStyle name="Currency 3 4 3 2 2" xfId="6075" xr:uid="{00000000-0005-0000-0000-00003C5C0000}"/>
    <cellStyle name="Currency 3 4 3 2 2 2" xfId="11384" xr:uid="{00000000-0005-0000-0000-00003D5C0000}"/>
    <cellStyle name="Currency 3 4 3 2 2 3" xfId="21692" xr:uid="{00000000-0005-0000-0000-00003E5C0000}"/>
    <cellStyle name="Currency 3 4 3 2 3" xfId="6076" xr:uid="{00000000-0005-0000-0000-00003F5C0000}"/>
    <cellStyle name="Currency 3 4 3 2 3 2" xfId="16765" xr:uid="{00000000-0005-0000-0000-0000405C0000}"/>
    <cellStyle name="Currency 3 4 3 2 3 2 2" xfId="30172" xr:uid="{00000000-0005-0000-0000-0000415C0000}"/>
    <cellStyle name="Currency 3 4 3 2 3 3" xfId="21691" xr:uid="{00000000-0005-0000-0000-0000425C0000}"/>
    <cellStyle name="Currency 3 4 3 2 4" xfId="9887" xr:uid="{00000000-0005-0000-0000-0000435C0000}"/>
    <cellStyle name="Currency 3 4 3 2 5" xfId="21693" xr:uid="{00000000-0005-0000-0000-0000445C0000}"/>
    <cellStyle name="Currency 3 4 3 3" xfId="6077" xr:uid="{00000000-0005-0000-0000-0000455C0000}"/>
    <cellStyle name="Currency 3 4 3 3 2" xfId="6078" xr:uid="{00000000-0005-0000-0000-0000465C0000}"/>
    <cellStyle name="Currency 3 4 3 3 2 2" xfId="13182" xr:uid="{00000000-0005-0000-0000-0000475C0000}"/>
    <cellStyle name="Currency 3 4 3 3 2 3" xfId="21689" xr:uid="{00000000-0005-0000-0000-0000485C0000}"/>
    <cellStyle name="Currency 3 4 3 3 3" xfId="12153" xr:uid="{00000000-0005-0000-0000-0000495C0000}"/>
    <cellStyle name="Currency 3 4 3 3 3 2" xfId="25865" xr:uid="{00000000-0005-0000-0000-00004A5C0000}"/>
    <cellStyle name="Currency 3 4 3 3 4" xfId="21690" xr:uid="{00000000-0005-0000-0000-00004B5C0000}"/>
    <cellStyle name="Currency 3 4 3 4" xfId="6079" xr:uid="{00000000-0005-0000-0000-00004C5C0000}"/>
    <cellStyle name="Currency 3 4 3 4 2" xfId="6080" xr:uid="{00000000-0005-0000-0000-00004D5C0000}"/>
    <cellStyle name="Currency 3 4 3 4 2 2" xfId="15641" xr:uid="{00000000-0005-0000-0000-00004E5C0000}"/>
    <cellStyle name="Currency 3 4 3 4 2 3" xfId="21687" xr:uid="{00000000-0005-0000-0000-00004F5C0000}"/>
    <cellStyle name="Currency 3 4 3 4 3" xfId="13717" xr:uid="{00000000-0005-0000-0000-0000505C0000}"/>
    <cellStyle name="Currency 3 4 3 4 3 2" xfId="27266" xr:uid="{00000000-0005-0000-0000-0000515C0000}"/>
    <cellStyle name="Currency 3 4 3 4 4" xfId="21688" xr:uid="{00000000-0005-0000-0000-0000525C0000}"/>
    <cellStyle name="Currency 3 4 3 5" xfId="6081" xr:uid="{00000000-0005-0000-0000-0000535C0000}"/>
    <cellStyle name="Currency 3 4 3 5 2" xfId="14298" xr:uid="{00000000-0005-0000-0000-0000545C0000}"/>
    <cellStyle name="Currency 3 4 3 5 2 2" xfId="27847" xr:uid="{00000000-0005-0000-0000-0000555C0000}"/>
    <cellStyle name="Currency 3 4 3 5 3" xfId="21686" xr:uid="{00000000-0005-0000-0000-0000565C0000}"/>
    <cellStyle name="Currency 3 4 3 6" xfId="6082" xr:uid="{00000000-0005-0000-0000-0000575C0000}"/>
    <cellStyle name="Currency 3 4 3 6 2" xfId="16184" xr:uid="{00000000-0005-0000-0000-0000585C0000}"/>
    <cellStyle name="Currency 3 4 3 6 2 2" xfId="29591" xr:uid="{00000000-0005-0000-0000-0000595C0000}"/>
    <cellStyle name="Currency 3 4 3 6 3" xfId="21685" xr:uid="{00000000-0005-0000-0000-00005A5C0000}"/>
    <cellStyle name="Currency 3 4 3 7" xfId="9886" xr:uid="{00000000-0005-0000-0000-00005B5C0000}"/>
    <cellStyle name="Currency 3 4 3 8" xfId="21694" xr:uid="{00000000-0005-0000-0000-00005C5C0000}"/>
    <cellStyle name="Currency 3 4 4" xfId="6083" xr:uid="{00000000-0005-0000-0000-00005D5C0000}"/>
    <cellStyle name="Currency 3 4 4 2" xfId="6084" xr:uid="{00000000-0005-0000-0000-00005E5C0000}"/>
    <cellStyle name="Currency 3 4 4 2 2" xfId="16473" xr:uid="{00000000-0005-0000-0000-00005F5C0000}"/>
    <cellStyle name="Currency 3 4 4 2 2 2" xfId="29880" xr:uid="{00000000-0005-0000-0000-0000605C0000}"/>
    <cellStyle name="Currency 3 4 4 2 3" xfId="21683" xr:uid="{00000000-0005-0000-0000-0000615C0000}"/>
    <cellStyle name="Currency 3 4 4 3" xfId="9888" xr:uid="{00000000-0005-0000-0000-0000625C0000}"/>
    <cellStyle name="Currency 3 4 4 4" xfId="21684" xr:uid="{00000000-0005-0000-0000-0000635C0000}"/>
    <cellStyle name="Currency 3 4 5" xfId="6085" xr:uid="{00000000-0005-0000-0000-0000645C0000}"/>
    <cellStyle name="Currency 3 4 5 2" xfId="6086" xr:uid="{00000000-0005-0000-0000-0000655C0000}"/>
    <cellStyle name="Currency 3 4 5 2 2" xfId="11385" xr:uid="{00000000-0005-0000-0000-0000665C0000}"/>
    <cellStyle name="Currency 3 4 5 2 3" xfId="21681" xr:uid="{00000000-0005-0000-0000-0000675C0000}"/>
    <cellStyle name="Currency 3 4 5 3" xfId="9889" xr:uid="{00000000-0005-0000-0000-0000685C0000}"/>
    <cellStyle name="Currency 3 4 5 4" xfId="21682" xr:uid="{00000000-0005-0000-0000-0000695C0000}"/>
    <cellStyle name="Currency 3 4 6" xfId="6087" xr:uid="{00000000-0005-0000-0000-00006A5C0000}"/>
    <cellStyle name="Currency 3 4 6 2" xfId="6088" xr:uid="{00000000-0005-0000-0000-00006B5C0000}"/>
    <cellStyle name="Currency 3 4 6 2 2" xfId="13183" xr:uid="{00000000-0005-0000-0000-00006C5C0000}"/>
    <cellStyle name="Currency 3 4 6 2 3" xfId="21679" xr:uid="{00000000-0005-0000-0000-00006D5C0000}"/>
    <cellStyle name="Currency 3 4 6 3" xfId="11824" xr:uid="{00000000-0005-0000-0000-00006E5C0000}"/>
    <cellStyle name="Currency 3 4 6 3 2" xfId="25539" xr:uid="{00000000-0005-0000-0000-00006F5C0000}"/>
    <cellStyle name="Currency 3 4 6 4" xfId="21680" xr:uid="{00000000-0005-0000-0000-0000705C0000}"/>
    <cellStyle name="Currency 3 4 7" xfId="6089" xr:uid="{00000000-0005-0000-0000-0000715C0000}"/>
    <cellStyle name="Currency 3 4 7 2" xfId="6090" xr:uid="{00000000-0005-0000-0000-0000725C0000}"/>
    <cellStyle name="Currency 3 4 7 2 2" xfId="15642" xr:uid="{00000000-0005-0000-0000-0000735C0000}"/>
    <cellStyle name="Currency 3 4 7 2 3" xfId="21677" xr:uid="{00000000-0005-0000-0000-0000745C0000}"/>
    <cellStyle name="Currency 3 4 7 3" xfId="13425" xr:uid="{00000000-0005-0000-0000-0000755C0000}"/>
    <cellStyle name="Currency 3 4 7 3 2" xfId="26974" xr:uid="{00000000-0005-0000-0000-0000765C0000}"/>
    <cellStyle name="Currency 3 4 7 4" xfId="21678" xr:uid="{00000000-0005-0000-0000-0000775C0000}"/>
    <cellStyle name="Currency 3 4 8" xfId="6091" xr:uid="{00000000-0005-0000-0000-0000785C0000}"/>
    <cellStyle name="Currency 3 4 8 2" xfId="14006" xr:uid="{00000000-0005-0000-0000-0000795C0000}"/>
    <cellStyle name="Currency 3 4 8 2 2" xfId="27555" xr:uid="{00000000-0005-0000-0000-00007A5C0000}"/>
    <cellStyle name="Currency 3 4 8 3" xfId="21676" xr:uid="{00000000-0005-0000-0000-00007B5C0000}"/>
    <cellStyle name="Currency 3 4 9" xfId="6092" xr:uid="{00000000-0005-0000-0000-00007C5C0000}"/>
    <cellStyle name="Currency 3 4 9 2" xfId="15892" xr:uid="{00000000-0005-0000-0000-00007D5C0000}"/>
    <cellStyle name="Currency 3 4 9 2 2" xfId="29299" xr:uid="{00000000-0005-0000-0000-00007E5C0000}"/>
    <cellStyle name="Currency 3 4 9 3" xfId="21675" xr:uid="{00000000-0005-0000-0000-00007F5C0000}"/>
    <cellStyle name="Currency 3 5" xfId="6093" xr:uid="{00000000-0005-0000-0000-0000805C0000}"/>
    <cellStyle name="Currency 3 5 10" xfId="9890" xr:uid="{00000000-0005-0000-0000-0000815C0000}"/>
    <cellStyle name="Currency 3 5 11" xfId="21674" xr:uid="{00000000-0005-0000-0000-0000825C0000}"/>
    <cellStyle name="Currency 3 5 2" xfId="6094" xr:uid="{00000000-0005-0000-0000-0000835C0000}"/>
    <cellStyle name="Currency 3 5 2 2" xfId="6095" xr:uid="{00000000-0005-0000-0000-0000845C0000}"/>
    <cellStyle name="Currency 3 5 2 2 2" xfId="6096" xr:uid="{00000000-0005-0000-0000-0000855C0000}"/>
    <cellStyle name="Currency 3 5 2 2 2 2" xfId="6097" xr:uid="{00000000-0005-0000-0000-0000865C0000}"/>
    <cellStyle name="Currency 3 5 2 2 2 2 2" xfId="11386" xr:uid="{00000000-0005-0000-0000-0000875C0000}"/>
    <cellStyle name="Currency 3 5 2 2 2 2 3" xfId="21670" xr:uid="{00000000-0005-0000-0000-0000885C0000}"/>
    <cellStyle name="Currency 3 5 2 2 2 3" xfId="6098" xr:uid="{00000000-0005-0000-0000-0000895C0000}"/>
    <cellStyle name="Currency 3 5 2 2 2 3 2" xfId="16888" xr:uid="{00000000-0005-0000-0000-00008A5C0000}"/>
    <cellStyle name="Currency 3 5 2 2 2 3 2 2" xfId="30295" xr:uid="{00000000-0005-0000-0000-00008B5C0000}"/>
    <cellStyle name="Currency 3 5 2 2 2 3 3" xfId="21669" xr:uid="{00000000-0005-0000-0000-00008C5C0000}"/>
    <cellStyle name="Currency 3 5 2 2 2 4" xfId="9893" xr:uid="{00000000-0005-0000-0000-00008D5C0000}"/>
    <cellStyle name="Currency 3 5 2 2 2 5" xfId="21671" xr:uid="{00000000-0005-0000-0000-00008E5C0000}"/>
    <cellStyle name="Currency 3 5 2 2 3" xfId="6099" xr:uid="{00000000-0005-0000-0000-00008F5C0000}"/>
    <cellStyle name="Currency 3 5 2 2 3 2" xfId="6100" xr:uid="{00000000-0005-0000-0000-0000905C0000}"/>
    <cellStyle name="Currency 3 5 2 2 3 2 2" xfId="13184" xr:uid="{00000000-0005-0000-0000-0000915C0000}"/>
    <cellStyle name="Currency 3 5 2 2 3 2 3" xfId="21667" xr:uid="{00000000-0005-0000-0000-0000925C0000}"/>
    <cellStyle name="Currency 3 5 2 2 3 3" xfId="12276" xr:uid="{00000000-0005-0000-0000-0000935C0000}"/>
    <cellStyle name="Currency 3 5 2 2 3 3 2" xfId="25988" xr:uid="{00000000-0005-0000-0000-0000945C0000}"/>
    <cellStyle name="Currency 3 5 2 2 3 4" xfId="21668" xr:uid="{00000000-0005-0000-0000-0000955C0000}"/>
    <cellStyle name="Currency 3 5 2 2 4" xfId="6101" xr:uid="{00000000-0005-0000-0000-0000965C0000}"/>
    <cellStyle name="Currency 3 5 2 2 4 2" xfId="6102" xr:uid="{00000000-0005-0000-0000-0000975C0000}"/>
    <cellStyle name="Currency 3 5 2 2 4 2 2" xfId="15643" xr:uid="{00000000-0005-0000-0000-0000985C0000}"/>
    <cellStyle name="Currency 3 5 2 2 4 2 3" xfId="21665" xr:uid="{00000000-0005-0000-0000-0000995C0000}"/>
    <cellStyle name="Currency 3 5 2 2 4 3" xfId="13840" xr:uid="{00000000-0005-0000-0000-00009A5C0000}"/>
    <cellStyle name="Currency 3 5 2 2 4 3 2" xfId="27389" xr:uid="{00000000-0005-0000-0000-00009B5C0000}"/>
    <cellStyle name="Currency 3 5 2 2 4 4" xfId="21666" xr:uid="{00000000-0005-0000-0000-00009C5C0000}"/>
    <cellStyle name="Currency 3 5 2 2 5" xfId="6103" xr:uid="{00000000-0005-0000-0000-00009D5C0000}"/>
    <cellStyle name="Currency 3 5 2 2 5 2" xfId="14421" xr:uid="{00000000-0005-0000-0000-00009E5C0000}"/>
    <cellStyle name="Currency 3 5 2 2 5 2 2" xfId="27970" xr:uid="{00000000-0005-0000-0000-00009F5C0000}"/>
    <cellStyle name="Currency 3 5 2 2 5 3" xfId="21664" xr:uid="{00000000-0005-0000-0000-0000A05C0000}"/>
    <cellStyle name="Currency 3 5 2 2 6" xfId="6104" xr:uid="{00000000-0005-0000-0000-0000A15C0000}"/>
    <cellStyle name="Currency 3 5 2 2 6 2" xfId="16307" xr:uid="{00000000-0005-0000-0000-0000A25C0000}"/>
    <cellStyle name="Currency 3 5 2 2 6 2 2" xfId="29714" xr:uid="{00000000-0005-0000-0000-0000A35C0000}"/>
    <cellStyle name="Currency 3 5 2 2 6 3" xfId="21663" xr:uid="{00000000-0005-0000-0000-0000A45C0000}"/>
    <cellStyle name="Currency 3 5 2 2 7" xfId="9892" xr:uid="{00000000-0005-0000-0000-0000A55C0000}"/>
    <cellStyle name="Currency 3 5 2 2 8" xfId="21672" xr:uid="{00000000-0005-0000-0000-0000A65C0000}"/>
    <cellStyle name="Currency 3 5 2 3" xfId="6105" xr:uid="{00000000-0005-0000-0000-0000A75C0000}"/>
    <cellStyle name="Currency 3 5 2 3 2" xfId="6106" xr:uid="{00000000-0005-0000-0000-0000A85C0000}"/>
    <cellStyle name="Currency 3 5 2 3 2 2" xfId="11387" xr:uid="{00000000-0005-0000-0000-0000A95C0000}"/>
    <cellStyle name="Currency 3 5 2 3 2 3" xfId="21661" xr:uid="{00000000-0005-0000-0000-0000AA5C0000}"/>
    <cellStyle name="Currency 3 5 2 3 3" xfId="6107" xr:uid="{00000000-0005-0000-0000-0000AB5C0000}"/>
    <cellStyle name="Currency 3 5 2 3 3 2" xfId="16599" xr:uid="{00000000-0005-0000-0000-0000AC5C0000}"/>
    <cellStyle name="Currency 3 5 2 3 3 2 2" xfId="30006" xr:uid="{00000000-0005-0000-0000-0000AD5C0000}"/>
    <cellStyle name="Currency 3 5 2 3 3 3" xfId="21660" xr:uid="{00000000-0005-0000-0000-0000AE5C0000}"/>
    <cellStyle name="Currency 3 5 2 3 4" xfId="9894" xr:uid="{00000000-0005-0000-0000-0000AF5C0000}"/>
    <cellStyle name="Currency 3 5 2 3 5" xfId="21662" xr:uid="{00000000-0005-0000-0000-0000B05C0000}"/>
    <cellStyle name="Currency 3 5 2 4" xfId="6108" xr:uid="{00000000-0005-0000-0000-0000B15C0000}"/>
    <cellStyle name="Currency 3 5 2 4 2" xfId="6109" xr:uid="{00000000-0005-0000-0000-0000B25C0000}"/>
    <cellStyle name="Currency 3 5 2 4 2 2" xfId="13185" xr:uid="{00000000-0005-0000-0000-0000B35C0000}"/>
    <cellStyle name="Currency 3 5 2 4 2 3" xfId="21658" xr:uid="{00000000-0005-0000-0000-0000B45C0000}"/>
    <cellStyle name="Currency 3 5 2 4 3" xfId="11976" xr:uid="{00000000-0005-0000-0000-0000B55C0000}"/>
    <cellStyle name="Currency 3 5 2 4 3 2" xfId="25691" xr:uid="{00000000-0005-0000-0000-0000B65C0000}"/>
    <cellStyle name="Currency 3 5 2 4 4" xfId="21659" xr:uid="{00000000-0005-0000-0000-0000B75C0000}"/>
    <cellStyle name="Currency 3 5 2 5" xfId="6110" xr:uid="{00000000-0005-0000-0000-0000B85C0000}"/>
    <cellStyle name="Currency 3 5 2 5 2" xfId="6111" xr:uid="{00000000-0005-0000-0000-0000B95C0000}"/>
    <cellStyle name="Currency 3 5 2 5 2 2" xfId="15644" xr:uid="{00000000-0005-0000-0000-0000BA5C0000}"/>
    <cellStyle name="Currency 3 5 2 5 2 3" xfId="21656" xr:uid="{00000000-0005-0000-0000-0000BB5C0000}"/>
    <cellStyle name="Currency 3 5 2 5 3" xfId="13551" xr:uid="{00000000-0005-0000-0000-0000BC5C0000}"/>
    <cellStyle name="Currency 3 5 2 5 3 2" xfId="27100" xr:uid="{00000000-0005-0000-0000-0000BD5C0000}"/>
    <cellStyle name="Currency 3 5 2 5 4" xfId="21657" xr:uid="{00000000-0005-0000-0000-0000BE5C0000}"/>
    <cellStyle name="Currency 3 5 2 6" xfId="6112" xr:uid="{00000000-0005-0000-0000-0000BF5C0000}"/>
    <cellStyle name="Currency 3 5 2 6 2" xfId="14132" xr:uid="{00000000-0005-0000-0000-0000C05C0000}"/>
    <cellStyle name="Currency 3 5 2 6 2 2" xfId="27681" xr:uid="{00000000-0005-0000-0000-0000C15C0000}"/>
    <cellStyle name="Currency 3 5 2 6 3" xfId="21655" xr:uid="{00000000-0005-0000-0000-0000C25C0000}"/>
    <cellStyle name="Currency 3 5 2 7" xfId="6113" xr:uid="{00000000-0005-0000-0000-0000C35C0000}"/>
    <cellStyle name="Currency 3 5 2 7 2" xfId="16018" xr:uid="{00000000-0005-0000-0000-0000C45C0000}"/>
    <cellStyle name="Currency 3 5 2 7 2 2" xfId="29425" xr:uid="{00000000-0005-0000-0000-0000C55C0000}"/>
    <cellStyle name="Currency 3 5 2 7 3" xfId="21654" xr:uid="{00000000-0005-0000-0000-0000C65C0000}"/>
    <cellStyle name="Currency 3 5 2 8" xfId="9891" xr:uid="{00000000-0005-0000-0000-0000C75C0000}"/>
    <cellStyle name="Currency 3 5 2 9" xfId="21673" xr:uid="{00000000-0005-0000-0000-0000C85C0000}"/>
    <cellStyle name="Currency 3 5 3" xfId="6114" xr:uid="{00000000-0005-0000-0000-0000C95C0000}"/>
    <cellStyle name="Currency 3 5 3 2" xfId="6115" xr:uid="{00000000-0005-0000-0000-0000CA5C0000}"/>
    <cellStyle name="Currency 3 5 3 2 2" xfId="6116" xr:uid="{00000000-0005-0000-0000-0000CB5C0000}"/>
    <cellStyle name="Currency 3 5 3 2 2 2" xfId="11388" xr:uid="{00000000-0005-0000-0000-0000CC5C0000}"/>
    <cellStyle name="Currency 3 5 3 2 2 3" xfId="21651" xr:uid="{00000000-0005-0000-0000-0000CD5C0000}"/>
    <cellStyle name="Currency 3 5 3 2 3" xfId="6117" xr:uid="{00000000-0005-0000-0000-0000CE5C0000}"/>
    <cellStyle name="Currency 3 5 3 2 3 2" xfId="16748" xr:uid="{00000000-0005-0000-0000-0000CF5C0000}"/>
    <cellStyle name="Currency 3 5 3 2 3 2 2" xfId="30155" xr:uid="{00000000-0005-0000-0000-0000D05C0000}"/>
    <cellStyle name="Currency 3 5 3 2 3 3" xfId="21650" xr:uid="{00000000-0005-0000-0000-0000D15C0000}"/>
    <cellStyle name="Currency 3 5 3 2 4" xfId="9896" xr:uid="{00000000-0005-0000-0000-0000D25C0000}"/>
    <cellStyle name="Currency 3 5 3 2 5" xfId="21652" xr:uid="{00000000-0005-0000-0000-0000D35C0000}"/>
    <cellStyle name="Currency 3 5 3 3" xfId="6118" xr:uid="{00000000-0005-0000-0000-0000D45C0000}"/>
    <cellStyle name="Currency 3 5 3 3 2" xfId="6119" xr:uid="{00000000-0005-0000-0000-0000D55C0000}"/>
    <cellStyle name="Currency 3 5 3 3 2 2" xfId="13186" xr:uid="{00000000-0005-0000-0000-0000D65C0000}"/>
    <cellStyle name="Currency 3 5 3 3 2 3" xfId="21648" xr:uid="{00000000-0005-0000-0000-0000D75C0000}"/>
    <cellStyle name="Currency 3 5 3 3 3" xfId="12136" xr:uid="{00000000-0005-0000-0000-0000D85C0000}"/>
    <cellStyle name="Currency 3 5 3 3 3 2" xfId="25848" xr:uid="{00000000-0005-0000-0000-0000D95C0000}"/>
    <cellStyle name="Currency 3 5 3 3 4" xfId="21649" xr:uid="{00000000-0005-0000-0000-0000DA5C0000}"/>
    <cellStyle name="Currency 3 5 3 4" xfId="6120" xr:uid="{00000000-0005-0000-0000-0000DB5C0000}"/>
    <cellStyle name="Currency 3 5 3 4 2" xfId="6121" xr:uid="{00000000-0005-0000-0000-0000DC5C0000}"/>
    <cellStyle name="Currency 3 5 3 4 2 2" xfId="15645" xr:uid="{00000000-0005-0000-0000-0000DD5C0000}"/>
    <cellStyle name="Currency 3 5 3 4 2 3" xfId="21646" xr:uid="{00000000-0005-0000-0000-0000DE5C0000}"/>
    <cellStyle name="Currency 3 5 3 4 3" xfId="13700" xr:uid="{00000000-0005-0000-0000-0000DF5C0000}"/>
    <cellStyle name="Currency 3 5 3 4 3 2" xfId="27249" xr:uid="{00000000-0005-0000-0000-0000E05C0000}"/>
    <cellStyle name="Currency 3 5 3 4 4" xfId="21647" xr:uid="{00000000-0005-0000-0000-0000E15C0000}"/>
    <cellStyle name="Currency 3 5 3 5" xfId="6122" xr:uid="{00000000-0005-0000-0000-0000E25C0000}"/>
    <cellStyle name="Currency 3 5 3 5 2" xfId="14281" xr:uid="{00000000-0005-0000-0000-0000E35C0000}"/>
    <cellStyle name="Currency 3 5 3 5 2 2" xfId="27830" xr:uid="{00000000-0005-0000-0000-0000E45C0000}"/>
    <cellStyle name="Currency 3 5 3 5 3" xfId="21645" xr:uid="{00000000-0005-0000-0000-0000E55C0000}"/>
    <cellStyle name="Currency 3 5 3 6" xfId="6123" xr:uid="{00000000-0005-0000-0000-0000E65C0000}"/>
    <cellStyle name="Currency 3 5 3 6 2" xfId="16167" xr:uid="{00000000-0005-0000-0000-0000E75C0000}"/>
    <cellStyle name="Currency 3 5 3 6 2 2" xfId="29574" xr:uid="{00000000-0005-0000-0000-0000E85C0000}"/>
    <cellStyle name="Currency 3 5 3 6 3" xfId="21644" xr:uid="{00000000-0005-0000-0000-0000E95C0000}"/>
    <cellStyle name="Currency 3 5 3 7" xfId="9895" xr:uid="{00000000-0005-0000-0000-0000EA5C0000}"/>
    <cellStyle name="Currency 3 5 3 8" xfId="21653" xr:uid="{00000000-0005-0000-0000-0000EB5C0000}"/>
    <cellStyle name="Currency 3 5 4" xfId="6124" xr:uid="{00000000-0005-0000-0000-0000EC5C0000}"/>
    <cellStyle name="Currency 3 5 4 2" xfId="6125" xr:uid="{00000000-0005-0000-0000-0000ED5C0000}"/>
    <cellStyle name="Currency 3 5 4 2 2" xfId="16456" xr:uid="{00000000-0005-0000-0000-0000EE5C0000}"/>
    <cellStyle name="Currency 3 5 4 2 2 2" xfId="29863" xr:uid="{00000000-0005-0000-0000-0000EF5C0000}"/>
    <cellStyle name="Currency 3 5 4 2 3" xfId="21642" xr:uid="{00000000-0005-0000-0000-0000F05C0000}"/>
    <cellStyle name="Currency 3 5 4 3" xfId="9897" xr:uid="{00000000-0005-0000-0000-0000F15C0000}"/>
    <cellStyle name="Currency 3 5 4 4" xfId="21643" xr:uid="{00000000-0005-0000-0000-0000F25C0000}"/>
    <cellStyle name="Currency 3 5 5" xfId="6126" xr:uid="{00000000-0005-0000-0000-0000F35C0000}"/>
    <cellStyle name="Currency 3 5 5 2" xfId="6127" xr:uid="{00000000-0005-0000-0000-0000F45C0000}"/>
    <cellStyle name="Currency 3 5 5 2 2" xfId="11389" xr:uid="{00000000-0005-0000-0000-0000F55C0000}"/>
    <cellStyle name="Currency 3 5 5 2 3" xfId="21640" xr:uid="{00000000-0005-0000-0000-0000F65C0000}"/>
    <cellStyle name="Currency 3 5 5 3" xfId="9898" xr:uid="{00000000-0005-0000-0000-0000F75C0000}"/>
    <cellStyle name="Currency 3 5 5 4" xfId="21641" xr:uid="{00000000-0005-0000-0000-0000F85C0000}"/>
    <cellStyle name="Currency 3 5 6" xfId="6128" xr:uid="{00000000-0005-0000-0000-0000F95C0000}"/>
    <cellStyle name="Currency 3 5 6 2" xfId="6129" xr:uid="{00000000-0005-0000-0000-0000FA5C0000}"/>
    <cellStyle name="Currency 3 5 6 2 2" xfId="13187" xr:uid="{00000000-0005-0000-0000-0000FB5C0000}"/>
    <cellStyle name="Currency 3 5 6 2 3" xfId="21638" xr:uid="{00000000-0005-0000-0000-0000FC5C0000}"/>
    <cellStyle name="Currency 3 5 6 3" xfId="11807" xr:uid="{00000000-0005-0000-0000-0000FD5C0000}"/>
    <cellStyle name="Currency 3 5 6 3 2" xfId="25522" xr:uid="{00000000-0005-0000-0000-0000FE5C0000}"/>
    <cellStyle name="Currency 3 5 6 4" xfId="21639" xr:uid="{00000000-0005-0000-0000-0000FF5C0000}"/>
    <cellStyle name="Currency 3 5 7" xfId="6130" xr:uid="{00000000-0005-0000-0000-0000005D0000}"/>
    <cellStyle name="Currency 3 5 7 2" xfId="6131" xr:uid="{00000000-0005-0000-0000-0000015D0000}"/>
    <cellStyle name="Currency 3 5 7 2 2" xfId="15646" xr:uid="{00000000-0005-0000-0000-0000025D0000}"/>
    <cellStyle name="Currency 3 5 7 2 3" xfId="21636" xr:uid="{00000000-0005-0000-0000-0000035D0000}"/>
    <cellStyle name="Currency 3 5 7 3" xfId="13408" xr:uid="{00000000-0005-0000-0000-0000045D0000}"/>
    <cellStyle name="Currency 3 5 7 3 2" xfId="26957" xr:uid="{00000000-0005-0000-0000-0000055D0000}"/>
    <cellStyle name="Currency 3 5 7 4" xfId="21637" xr:uid="{00000000-0005-0000-0000-0000065D0000}"/>
    <cellStyle name="Currency 3 5 8" xfId="6132" xr:uid="{00000000-0005-0000-0000-0000075D0000}"/>
    <cellStyle name="Currency 3 5 8 2" xfId="13989" xr:uid="{00000000-0005-0000-0000-0000085D0000}"/>
    <cellStyle name="Currency 3 5 8 2 2" xfId="27538" xr:uid="{00000000-0005-0000-0000-0000095D0000}"/>
    <cellStyle name="Currency 3 5 8 3" xfId="21635" xr:uid="{00000000-0005-0000-0000-00000A5D0000}"/>
    <cellStyle name="Currency 3 5 9" xfId="6133" xr:uid="{00000000-0005-0000-0000-00000B5D0000}"/>
    <cellStyle name="Currency 3 5 9 2" xfId="15875" xr:uid="{00000000-0005-0000-0000-00000C5D0000}"/>
    <cellStyle name="Currency 3 5 9 2 2" xfId="29282" xr:uid="{00000000-0005-0000-0000-00000D5D0000}"/>
    <cellStyle name="Currency 3 5 9 3" xfId="21634" xr:uid="{00000000-0005-0000-0000-00000E5D0000}"/>
    <cellStyle name="Currency 3 6" xfId="6134" xr:uid="{00000000-0005-0000-0000-00000F5D0000}"/>
    <cellStyle name="Currency 3 6 10" xfId="9899" xr:uid="{00000000-0005-0000-0000-0000105D0000}"/>
    <cellStyle name="Currency 3 6 11" xfId="21633" xr:uid="{00000000-0005-0000-0000-0000115D0000}"/>
    <cellStyle name="Currency 3 6 2" xfId="6135" xr:uid="{00000000-0005-0000-0000-0000125D0000}"/>
    <cellStyle name="Currency 3 6 2 2" xfId="6136" xr:uid="{00000000-0005-0000-0000-0000135D0000}"/>
    <cellStyle name="Currency 3 6 2 2 2" xfId="6137" xr:uid="{00000000-0005-0000-0000-0000145D0000}"/>
    <cellStyle name="Currency 3 6 2 2 2 2" xfId="6138" xr:uid="{00000000-0005-0000-0000-0000155D0000}"/>
    <cellStyle name="Currency 3 6 2 2 2 2 2" xfId="11390" xr:uid="{00000000-0005-0000-0000-0000165D0000}"/>
    <cellStyle name="Currency 3 6 2 2 2 2 3" xfId="21629" xr:uid="{00000000-0005-0000-0000-0000175D0000}"/>
    <cellStyle name="Currency 3 6 2 2 2 3" xfId="6139" xr:uid="{00000000-0005-0000-0000-0000185D0000}"/>
    <cellStyle name="Currency 3 6 2 2 2 3 2" xfId="16994" xr:uid="{00000000-0005-0000-0000-0000195D0000}"/>
    <cellStyle name="Currency 3 6 2 2 2 3 2 2" xfId="30401" xr:uid="{00000000-0005-0000-0000-00001A5D0000}"/>
    <cellStyle name="Currency 3 6 2 2 2 3 3" xfId="21628" xr:uid="{00000000-0005-0000-0000-00001B5D0000}"/>
    <cellStyle name="Currency 3 6 2 2 2 4" xfId="9902" xr:uid="{00000000-0005-0000-0000-00001C5D0000}"/>
    <cellStyle name="Currency 3 6 2 2 2 5" xfId="21630" xr:uid="{00000000-0005-0000-0000-00001D5D0000}"/>
    <cellStyle name="Currency 3 6 2 2 3" xfId="6140" xr:uid="{00000000-0005-0000-0000-00001E5D0000}"/>
    <cellStyle name="Currency 3 6 2 2 3 2" xfId="6141" xr:uid="{00000000-0005-0000-0000-00001F5D0000}"/>
    <cellStyle name="Currency 3 6 2 2 3 2 2" xfId="13188" xr:uid="{00000000-0005-0000-0000-0000205D0000}"/>
    <cellStyle name="Currency 3 6 2 2 3 2 3" xfId="21626" xr:uid="{00000000-0005-0000-0000-0000215D0000}"/>
    <cellStyle name="Currency 3 6 2 2 3 3" xfId="12382" xr:uid="{00000000-0005-0000-0000-0000225D0000}"/>
    <cellStyle name="Currency 3 6 2 2 3 3 2" xfId="26094" xr:uid="{00000000-0005-0000-0000-0000235D0000}"/>
    <cellStyle name="Currency 3 6 2 2 3 4" xfId="21627" xr:uid="{00000000-0005-0000-0000-0000245D0000}"/>
    <cellStyle name="Currency 3 6 2 2 4" xfId="6142" xr:uid="{00000000-0005-0000-0000-0000255D0000}"/>
    <cellStyle name="Currency 3 6 2 2 4 2" xfId="6143" xr:uid="{00000000-0005-0000-0000-0000265D0000}"/>
    <cellStyle name="Currency 3 6 2 2 4 2 2" xfId="15647" xr:uid="{00000000-0005-0000-0000-0000275D0000}"/>
    <cellStyle name="Currency 3 6 2 2 4 2 3" xfId="21624" xr:uid="{00000000-0005-0000-0000-0000285D0000}"/>
    <cellStyle name="Currency 3 6 2 2 4 3" xfId="13946" xr:uid="{00000000-0005-0000-0000-0000295D0000}"/>
    <cellStyle name="Currency 3 6 2 2 4 3 2" xfId="27495" xr:uid="{00000000-0005-0000-0000-00002A5D0000}"/>
    <cellStyle name="Currency 3 6 2 2 4 4" xfId="21625" xr:uid="{00000000-0005-0000-0000-00002B5D0000}"/>
    <cellStyle name="Currency 3 6 2 2 5" xfId="6144" xr:uid="{00000000-0005-0000-0000-00002C5D0000}"/>
    <cellStyle name="Currency 3 6 2 2 5 2" xfId="14527" xr:uid="{00000000-0005-0000-0000-00002D5D0000}"/>
    <cellStyle name="Currency 3 6 2 2 5 2 2" xfId="28076" xr:uid="{00000000-0005-0000-0000-00002E5D0000}"/>
    <cellStyle name="Currency 3 6 2 2 5 3" xfId="21623" xr:uid="{00000000-0005-0000-0000-00002F5D0000}"/>
    <cellStyle name="Currency 3 6 2 2 6" xfId="6145" xr:uid="{00000000-0005-0000-0000-0000305D0000}"/>
    <cellStyle name="Currency 3 6 2 2 6 2" xfId="16413" xr:uid="{00000000-0005-0000-0000-0000315D0000}"/>
    <cellStyle name="Currency 3 6 2 2 6 2 2" xfId="29820" xr:uid="{00000000-0005-0000-0000-0000325D0000}"/>
    <cellStyle name="Currency 3 6 2 2 6 3" xfId="21622" xr:uid="{00000000-0005-0000-0000-0000335D0000}"/>
    <cellStyle name="Currency 3 6 2 2 7" xfId="9901" xr:uid="{00000000-0005-0000-0000-0000345D0000}"/>
    <cellStyle name="Currency 3 6 2 2 8" xfId="21631" xr:uid="{00000000-0005-0000-0000-0000355D0000}"/>
    <cellStyle name="Currency 3 6 2 3" xfId="6146" xr:uid="{00000000-0005-0000-0000-0000365D0000}"/>
    <cellStyle name="Currency 3 6 2 3 2" xfId="6147" xr:uid="{00000000-0005-0000-0000-0000375D0000}"/>
    <cellStyle name="Currency 3 6 2 3 2 2" xfId="11391" xr:uid="{00000000-0005-0000-0000-0000385D0000}"/>
    <cellStyle name="Currency 3 6 2 3 2 3" xfId="21620" xr:uid="{00000000-0005-0000-0000-0000395D0000}"/>
    <cellStyle name="Currency 3 6 2 3 3" xfId="6148" xr:uid="{00000000-0005-0000-0000-00003A5D0000}"/>
    <cellStyle name="Currency 3 6 2 3 3 2" xfId="16705" xr:uid="{00000000-0005-0000-0000-00003B5D0000}"/>
    <cellStyle name="Currency 3 6 2 3 3 2 2" xfId="30112" xr:uid="{00000000-0005-0000-0000-00003C5D0000}"/>
    <cellStyle name="Currency 3 6 2 3 3 3" xfId="21619" xr:uid="{00000000-0005-0000-0000-00003D5D0000}"/>
    <cellStyle name="Currency 3 6 2 3 4" xfId="9903" xr:uid="{00000000-0005-0000-0000-00003E5D0000}"/>
    <cellStyle name="Currency 3 6 2 3 5" xfId="21621" xr:uid="{00000000-0005-0000-0000-00003F5D0000}"/>
    <cellStyle name="Currency 3 6 2 4" xfId="6149" xr:uid="{00000000-0005-0000-0000-0000405D0000}"/>
    <cellStyle name="Currency 3 6 2 4 2" xfId="6150" xr:uid="{00000000-0005-0000-0000-0000415D0000}"/>
    <cellStyle name="Currency 3 6 2 4 2 2" xfId="13189" xr:uid="{00000000-0005-0000-0000-0000425D0000}"/>
    <cellStyle name="Currency 3 6 2 4 2 3" xfId="21617" xr:uid="{00000000-0005-0000-0000-0000435D0000}"/>
    <cellStyle name="Currency 3 6 2 4 3" xfId="12082" xr:uid="{00000000-0005-0000-0000-0000445D0000}"/>
    <cellStyle name="Currency 3 6 2 4 3 2" xfId="25797" xr:uid="{00000000-0005-0000-0000-0000455D0000}"/>
    <cellStyle name="Currency 3 6 2 4 4" xfId="21618" xr:uid="{00000000-0005-0000-0000-0000465D0000}"/>
    <cellStyle name="Currency 3 6 2 5" xfId="6151" xr:uid="{00000000-0005-0000-0000-0000475D0000}"/>
    <cellStyle name="Currency 3 6 2 5 2" xfId="6152" xr:uid="{00000000-0005-0000-0000-0000485D0000}"/>
    <cellStyle name="Currency 3 6 2 5 2 2" xfId="15648" xr:uid="{00000000-0005-0000-0000-0000495D0000}"/>
    <cellStyle name="Currency 3 6 2 5 2 3" xfId="21615" xr:uid="{00000000-0005-0000-0000-00004A5D0000}"/>
    <cellStyle name="Currency 3 6 2 5 3" xfId="13657" xr:uid="{00000000-0005-0000-0000-00004B5D0000}"/>
    <cellStyle name="Currency 3 6 2 5 3 2" xfId="27206" xr:uid="{00000000-0005-0000-0000-00004C5D0000}"/>
    <cellStyle name="Currency 3 6 2 5 4" xfId="21616" xr:uid="{00000000-0005-0000-0000-00004D5D0000}"/>
    <cellStyle name="Currency 3 6 2 6" xfId="6153" xr:uid="{00000000-0005-0000-0000-00004E5D0000}"/>
    <cellStyle name="Currency 3 6 2 6 2" xfId="14238" xr:uid="{00000000-0005-0000-0000-00004F5D0000}"/>
    <cellStyle name="Currency 3 6 2 6 2 2" xfId="27787" xr:uid="{00000000-0005-0000-0000-0000505D0000}"/>
    <cellStyle name="Currency 3 6 2 6 3" xfId="21614" xr:uid="{00000000-0005-0000-0000-0000515D0000}"/>
    <cellStyle name="Currency 3 6 2 7" xfId="6154" xr:uid="{00000000-0005-0000-0000-0000525D0000}"/>
    <cellStyle name="Currency 3 6 2 7 2" xfId="16124" xr:uid="{00000000-0005-0000-0000-0000535D0000}"/>
    <cellStyle name="Currency 3 6 2 7 2 2" xfId="29531" xr:uid="{00000000-0005-0000-0000-0000545D0000}"/>
    <cellStyle name="Currency 3 6 2 7 3" xfId="21613" xr:uid="{00000000-0005-0000-0000-0000555D0000}"/>
    <cellStyle name="Currency 3 6 2 8" xfId="9900" xr:uid="{00000000-0005-0000-0000-0000565D0000}"/>
    <cellStyle name="Currency 3 6 2 9" xfId="21632" xr:uid="{00000000-0005-0000-0000-0000575D0000}"/>
    <cellStyle name="Currency 3 6 3" xfId="6155" xr:uid="{00000000-0005-0000-0000-0000585D0000}"/>
    <cellStyle name="Currency 3 6 3 2" xfId="6156" xr:uid="{00000000-0005-0000-0000-0000595D0000}"/>
    <cellStyle name="Currency 3 6 3 2 2" xfId="6157" xr:uid="{00000000-0005-0000-0000-00005A5D0000}"/>
    <cellStyle name="Currency 3 6 3 2 2 2" xfId="11392" xr:uid="{00000000-0005-0000-0000-00005B5D0000}"/>
    <cellStyle name="Currency 3 6 3 2 2 3" xfId="21610" xr:uid="{00000000-0005-0000-0000-00005C5D0000}"/>
    <cellStyle name="Currency 3 6 3 2 3" xfId="6158" xr:uid="{00000000-0005-0000-0000-00005D5D0000}"/>
    <cellStyle name="Currency 3 6 3 2 3 2" xfId="16851" xr:uid="{00000000-0005-0000-0000-00005E5D0000}"/>
    <cellStyle name="Currency 3 6 3 2 3 2 2" xfId="30258" xr:uid="{00000000-0005-0000-0000-00005F5D0000}"/>
    <cellStyle name="Currency 3 6 3 2 3 3" xfId="21609" xr:uid="{00000000-0005-0000-0000-0000605D0000}"/>
    <cellStyle name="Currency 3 6 3 2 4" xfId="9905" xr:uid="{00000000-0005-0000-0000-0000615D0000}"/>
    <cellStyle name="Currency 3 6 3 2 5" xfId="21611" xr:uid="{00000000-0005-0000-0000-0000625D0000}"/>
    <cellStyle name="Currency 3 6 3 3" xfId="6159" xr:uid="{00000000-0005-0000-0000-0000635D0000}"/>
    <cellStyle name="Currency 3 6 3 3 2" xfId="6160" xr:uid="{00000000-0005-0000-0000-0000645D0000}"/>
    <cellStyle name="Currency 3 6 3 3 2 2" xfId="13190" xr:uid="{00000000-0005-0000-0000-0000655D0000}"/>
    <cellStyle name="Currency 3 6 3 3 2 3" xfId="21607" xr:uid="{00000000-0005-0000-0000-0000665D0000}"/>
    <cellStyle name="Currency 3 6 3 3 3" xfId="12239" xr:uid="{00000000-0005-0000-0000-0000675D0000}"/>
    <cellStyle name="Currency 3 6 3 3 3 2" xfId="25951" xr:uid="{00000000-0005-0000-0000-0000685D0000}"/>
    <cellStyle name="Currency 3 6 3 3 4" xfId="21608" xr:uid="{00000000-0005-0000-0000-0000695D0000}"/>
    <cellStyle name="Currency 3 6 3 4" xfId="6161" xr:uid="{00000000-0005-0000-0000-00006A5D0000}"/>
    <cellStyle name="Currency 3 6 3 4 2" xfId="6162" xr:uid="{00000000-0005-0000-0000-00006B5D0000}"/>
    <cellStyle name="Currency 3 6 3 4 2 2" xfId="15649" xr:uid="{00000000-0005-0000-0000-00006C5D0000}"/>
    <cellStyle name="Currency 3 6 3 4 2 3" xfId="21605" xr:uid="{00000000-0005-0000-0000-00006D5D0000}"/>
    <cellStyle name="Currency 3 6 3 4 3" xfId="13803" xr:uid="{00000000-0005-0000-0000-00006E5D0000}"/>
    <cellStyle name="Currency 3 6 3 4 3 2" xfId="27352" xr:uid="{00000000-0005-0000-0000-00006F5D0000}"/>
    <cellStyle name="Currency 3 6 3 4 4" xfId="21606" xr:uid="{00000000-0005-0000-0000-0000705D0000}"/>
    <cellStyle name="Currency 3 6 3 5" xfId="6163" xr:uid="{00000000-0005-0000-0000-0000715D0000}"/>
    <cellStyle name="Currency 3 6 3 5 2" xfId="14384" xr:uid="{00000000-0005-0000-0000-0000725D0000}"/>
    <cellStyle name="Currency 3 6 3 5 2 2" xfId="27933" xr:uid="{00000000-0005-0000-0000-0000735D0000}"/>
    <cellStyle name="Currency 3 6 3 5 3" xfId="21604" xr:uid="{00000000-0005-0000-0000-0000745D0000}"/>
    <cellStyle name="Currency 3 6 3 6" xfId="6164" xr:uid="{00000000-0005-0000-0000-0000755D0000}"/>
    <cellStyle name="Currency 3 6 3 6 2" xfId="16270" xr:uid="{00000000-0005-0000-0000-0000765D0000}"/>
    <cellStyle name="Currency 3 6 3 6 2 2" xfId="29677" xr:uid="{00000000-0005-0000-0000-0000775D0000}"/>
    <cellStyle name="Currency 3 6 3 6 3" xfId="21603" xr:uid="{00000000-0005-0000-0000-0000785D0000}"/>
    <cellStyle name="Currency 3 6 3 7" xfId="9904" xr:uid="{00000000-0005-0000-0000-0000795D0000}"/>
    <cellStyle name="Currency 3 6 3 8" xfId="21612" xr:uid="{00000000-0005-0000-0000-00007A5D0000}"/>
    <cellStyle name="Currency 3 6 4" xfId="6165" xr:uid="{00000000-0005-0000-0000-00007B5D0000}"/>
    <cellStyle name="Currency 3 6 4 2" xfId="6166" xr:uid="{00000000-0005-0000-0000-00007C5D0000}"/>
    <cellStyle name="Currency 3 6 4 2 2" xfId="16562" xr:uid="{00000000-0005-0000-0000-00007D5D0000}"/>
    <cellStyle name="Currency 3 6 4 2 2 2" xfId="29969" xr:uid="{00000000-0005-0000-0000-00007E5D0000}"/>
    <cellStyle name="Currency 3 6 4 2 3" xfId="21601" xr:uid="{00000000-0005-0000-0000-00007F5D0000}"/>
    <cellStyle name="Currency 3 6 4 3" xfId="9906" xr:uid="{00000000-0005-0000-0000-0000805D0000}"/>
    <cellStyle name="Currency 3 6 4 4" xfId="21602" xr:uid="{00000000-0005-0000-0000-0000815D0000}"/>
    <cellStyle name="Currency 3 6 5" xfId="6167" xr:uid="{00000000-0005-0000-0000-0000825D0000}"/>
    <cellStyle name="Currency 3 6 5 2" xfId="6168" xr:uid="{00000000-0005-0000-0000-0000835D0000}"/>
    <cellStyle name="Currency 3 6 5 2 2" xfId="11393" xr:uid="{00000000-0005-0000-0000-0000845D0000}"/>
    <cellStyle name="Currency 3 6 5 2 3" xfId="21599" xr:uid="{00000000-0005-0000-0000-0000855D0000}"/>
    <cellStyle name="Currency 3 6 5 3" xfId="9907" xr:uid="{00000000-0005-0000-0000-0000865D0000}"/>
    <cellStyle name="Currency 3 6 5 4" xfId="21600" xr:uid="{00000000-0005-0000-0000-0000875D0000}"/>
    <cellStyle name="Currency 3 6 6" xfId="6169" xr:uid="{00000000-0005-0000-0000-0000885D0000}"/>
    <cellStyle name="Currency 3 6 6 2" xfId="6170" xr:uid="{00000000-0005-0000-0000-0000895D0000}"/>
    <cellStyle name="Currency 3 6 6 2 2" xfId="13191" xr:uid="{00000000-0005-0000-0000-00008A5D0000}"/>
    <cellStyle name="Currency 3 6 6 2 3" xfId="21597" xr:uid="{00000000-0005-0000-0000-00008B5D0000}"/>
    <cellStyle name="Currency 3 6 6 3" xfId="11937" xr:uid="{00000000-0005-0000-0000-00008C5D0000}"/>
    <cellStyle name="Currency 3 6 6 3 2" xfId="25652" xr:uid="{00000000-0005-0000-0000-00008D5D0000}"/>
    <cellStyle name="Currency 3 6 6 4" xfId="21598" xr:uid="{00000000-0005-0000-0000-00008E5D0000}"/>
    <cellStyle name="Currency 3 6 7" xfId="6171" xr:uid="{00000000-0005-0000-0000-00008F5D0000}"/>
    <cellStyle name="Currency 3 6 7 2" xfId="6172" xr:uid="{00000000-0005-0000-0000-0000905D0000}"/>
    <cellStyle name="Currency 3 6 7 2 2" xfId="15650" xr:uid="{00000000-0005-0000-0000-0000915D0000}"/>
    <cellStyle name="Currency 3 6 7 2 3" xfId="21595" xr:uid="{00000000-0005-0000-0000-0000925D0000}"/>
    <cellStyle name="Currency 3 6 7 3" xfId="13514" xr:uid="{00000000-0005-0000-0000-0000935D0000}"/>
    <cellStyle name="Currency 3 6 7 3 2" xfId="27063" xr:uid="{00000000-0005-0000-0000-0000945D0000}"/>
    <cellStyle name="Currency 3 6 7 4" xfId="21596" xr:uid="{00000000-0005-0000-0000-0000955D0000}"/>
    <cellStyle name="Currency 3 6 8" xfId="6173" xr:uid="{00000000-0005-0000-0000-0000965D0000}"/>
    <cellStyle name="Currency 3 6 8 2" xfId="14095" xr:uid="{00000000-0005-0000-0000-0000975D0000}"/>
    <cellStyle name="Currency 3 6 8 2 2" xfId="27644" xr:uid="{00000000-0005-0000-0000-0000985D0000}"/>
    <cellStyle name="Currency 3 6 8 3" xfId="21594" xr:uid="{00000000-0005-0000-0000-0000995D0000}"/>
    <cellStyle name="Currency 3 6 9" xfId="6174" xr:uid="{00000000-0005-0000-0000-00009A5D0000}"/>
    <cellStyle name="Currency 3 6 9 2" xfId="15981" xr:uid="{00000000-0005-0000-0000-00009B5D0000}"/>
    <cellStyle name="Currency 3 6 9 2 2" xfId="29388" xr:uid="{00000000-0005-0000-0000-00009C5D0000}"/>
    <cellStyle name="Currency 3 6 9 3" xfId="21593" xr:uid="{00000000-0005-0000-0000-00009D5D0000}"/>
    <cellStyle name="Currency 3 7" xfId="6175" xr:uid="{00000000-0005-0000-0000-00009E5D0000}"/>
    <cellStyle name="Currency 3 7 2" xfId="6176" xr:uid="{00000000-0005-0000-0000-00009F5D0000}"/>
    <cellStyle name="Currency 3 7 2 2" xfId="6177" xr:uid="{00000000-0005-0000-0000-0000A05D0000}"/>
    <cellStyle name="Currency 3 7 2 2 2" xfId="6178" xr:uid="{00000000-0005-0000-0000-0000A15D0000}"/>
    <cellStyle name="Currency 3 7 2 2 2 2" xfId="11394" xr:uid="{00000000-0005-0000-0000-0000A25D0000}"/>
    <cellStyle name="Currency 3 7 2 2 2 3" xfId="21589" xr:uid="{00000000-0005-0000-0000-0000A35D0000}"/>
    <cellStyle name="Currency 3 7 2 2 3" xfId="6179" xr:uid="{00000000-0005-0000-0000-0000A45D0000}"/>
    <cellStyle name="Currency 3 7 2 2 3 2" xfId="16871" xr:uid="{00000000-0005-0000-0000-0000A55D0000}"/>
    <cellStyle name="Currency 3 7 2 2 3 2 2" xfId="30278" xr:uid="{00000000-0005-0000-0000-0000A65D0000}"/>
    <cellStyle name="Currency 3 7 2 2 3 3" xfId="21588" xr:uid="{00000000-0005-0000-0000-0000A75D0000}"/>
    <cellStyle name="Currency 3 7 2 2 4" xfId="9910" xr:uid="{00000000-0005-0000-0000-0000A85D0000}"/>
    <cellStyle name="Currency 3 7 2 2 5" xfId="21590" xr:uid="{00000000-0005-0000-0000-0000A95D0000}"/>
    <cellStyle name="Currency 3 7 2 3" xfId="6180" xr:uid="{00000000-0005-0000-0000-0000AA5D0000}"/>
    <cellStyle name="Currency 3 7 2 3 2" xfId="6181" xr:uid="{00000000-0005-0000-0000-0000AB5D0000}"/>
    <cellStyle name="Currency 3 7 2 3 2 2" xfId="13192" xr:uid="{00000000-0005-0000-0000-0000AC5D0000}"/>
    <cellStyle name="Currency 3 7 2 3 2 3" xfId="21586" xr:uid="{00000000-0005-0000-0000-0000AD5D0000}"/>
    <cellStyle name="Currency 3 7 2 3 3" xfId="12259" xr:uid="{00000000-0005-0000-0000-0000AE5D0000}"/>
    <cellStyle name="Currency 3 7 2 3 3 2" xfId="25971" xr:uid="{00000000-0005-0000-0000-0000AF5D0000}"/>
    <cellStyle name="Currency 3 7 2 3 4" xfId="21587" xr:uid="{00000000-0005-0000-0000-0000B05D0000}"/>
    <cellStyle name="Currency 3 7 2 4" xfId="6182" xr:uid="{00000000-0005-0000-0000-0000B15D0000}"/>
    <cellStyle name="Currency 3 7 2 4 2" xfId="6183" xr:uid="{00000000-0005-0000-0000-0000B25D0000}"/>
    <cellStyle name="Currency 3 7 2 4 2 2" xfId="15651" xr:uid="{00000000-0005-0000-0000-0000B35D0000}"/>
    <cellStyle name="Currency 3 7 2 4 2 3" xfId="21584" xr:uid="{00000000-0005-0000-0000-0000B45D0000}"/>
    <cellStyle name="Currency 3 7 2 4 3" xfId="13823" xr:uid="{00000000-0005-0000-0000-0000B55D0000}"/>
    <cellStyle name="Currency 3 7 2 4 3 2" xfId="27372" xr:uid="{00000000-0005-0000-0000-0000B65D0000}"/>
    <cellStyle name="Currency 3 7 2 4 4" xfId="21585" xr:uid="{00000000-0005-0000-0000-0000B75D0000}"/>
    <cellStyle name="Currency 3 7 2 5" xfId="6184" xr:uid="{00000000-0005-0000-0000-0000B85D0000}"/>
    <cellStyle name="Currency 3 7 2 5 2" xfId="14404" xr:uid="{00000000-0005-0000-0000-0000B95D0000}"/>
    <cellStyle name="Currency 3 7 2 5 2 2" xfId="27953" xr:uid="{00000000-0005-0000-0000-0000BA5D0000}"/>
    <cellStyle name="Currency 3 7 2 5 3" xfId="21583" xr:uid="{00000000-0005-0000-0000-0000BB5D0000}"/>
    <cellStyle name="Currency 3 7 2 6" xfId="6185" xr:uid="{00000000-0005-0000-0000-0000BC5D0000}"/>
    <cellStyle name="Currency 3 7 2 6 2" xfId="16290" xr:uid="{00000000-0005-0000-0000-0000BD5D0000}"/>
    <cellStyle name="Currency 3 7 2 6 2 2" xfId="29697" xr:uid="{00000000-0005-0000-0000-0000BE5D0000}"/>
    <cellStyle name="Currency 3 7 2 6 3" xfId="21582" xr:uid="{00000000-0005-0000-0000-0000BF5D0000}"/>
    <cellStyle name="Currency 3 7 2 7" xfId="9909" xr:uid="{00000000-0005-0000-0000-0000C05D0000}"/>
    <cellStyle name="Currency 3 7 2 8" xfId="21591" xr:uid="{00000000-0005-0000-0000-0000C15D0000}"/>
    <cellStyle name="Currency 3 7 3" xfId="6186" xr:uid="{00000000-0005-0000-0000-0000C25D0000}"/>
    <cellStyle name="Currency 3 7 3 2" xfId="6187" xr:uid="{00000000-0005-0000-0000-0000C35D0000}"/>
    <cellStyle name="Currency 3 7 3 2 2" xfId="11395" xr:uid="{00000000-0005-0000-0000-0000C45D0000}"/>
    <cellStyle name="Currency 3 7 3 2 3" xfId="21580" xr:uid="{00000000-0005-0000-0000-0000C55D0000}"/>
    <cellStyle name="Currency 3 7 3 3" xfId="6188" xr:uid="{00000000-0005-0000-0000-0000C65D0000}"/>
    <cellStyle name="Currency 3 7 3 3 2" xfId="16582" xr:uid="{00000000-0005-0000-0000-0000C75D0000}"/>
    <cellStyle name="Currency 3 7 3 3 2 2" xfId="29989" xr:uid="{00000000-0005-0000-0000-0000C85D0000}"/>
    <cellStyle name="Currency 3 7 3 3 3" xfId="21579" xr:uid="{00000000-0005-0000-0000-0000C95D0000}"/>
    <cellStyle name="Currency 3 7 3 4" xfId="9911" xr:uid="{00000000-0005-0000-0000-0000CA5D0000}"/>
    <cellStyle name="Currency 3 7 3 5" xfId="21581" xr:uid="{00000000-0005-0000-0000-0000CB5D0000}"/>
    <cellStyle name="Currency 3 7 4" xfId="6189" xr:uid="{00000000-0005-0000-0000-0000CC5D0000}"/>
    <cellStyle name="Currency 3 7 4 2" xfId="6190" xr:uid="{00000000-0005-0000-0000-0000CD5D0000}"/>
    <cellStyle name="Currency 3 7 4 2 2" xfId="13193" xr:uid="{00000000-0005-0000-0000-0000CE5D0000}"/>
    <cellStyle name="Currency 3 7 4 2 3" xfId="21577" xr:uid="{00000000-0005-0000-0000-0000CF5D0000}"/>
    <cellStyle name="Currency 3 7 4 3" xfId="11958" xr:uid="{00000000-0005-0000-0000-0000D05D0000}"/>
    <cellStyle name="Currency 3 7 4 3 2" xfId="25673" xr:uid="{00000000-0005-0000-0000-0000D15D0000}"/>
    <cellStyle name="Currency 3 7 4 4" xfId="21578" xr:uid="{00000000-0005-0000-0000-0000D25D0000}"/>
    <cellStyle name="Currency 3 7 5" xfId="6191" xr:uid="{00000000-0005-0000-0000-0000D35D0000}"/>
    <cellStyle name="Currency 3 7 5 2" xfId="6192" xr:uid="{00000000-0005-0000-0000-0000D45D0000}"/>
    <cellStyle name="Currency 3 7 5 2 2" xfId="15652" xr:uid="{00000000-0005-0000-0000-0000D55D0000}"/>
    <cellStyle name="Currency 3 7 5 2 3" xfId="21575" xr:uid="{00000000-0005-0000-0000-0000D65D0000}"/>
    <cellStyle name="Currency 3 7 5 3" xfId="13534" xr:uid="{00000000-0005-0000-0000-0000D75D0000}"/>
    <cellStyle name="Currency 3 7 5 3 2" xfId="27083" xr:uid="{00000000-0005-0000-0000-0000D85D0000}"/>
    <cellStyle name="Currency 3 7 5 4" xfId="21576" xr:uid="{00000000-0005-0000-0000-0000D95D0000}"/>
    <cellStyle name="Currency 3 7 6" xfId="6193" xr:uid="{00000000-0005-0000-0000-0000DA5D0000}"/>
    <cellStyle name="Currency 3 7 6 2" xfId="14115" xr:uid="{00000000-0005-0000-0000-0000DB5D0000}"/>
    <cellStyle name="Currency 3 7 6 2 2" xfId="27664" xr:uid="{00000000-0005-0000-0000-0000DC5D0000}"/>
    <cellStyle name="Currency 3 7 6 3" xfId="21574" xr:uid="{00000000-0005-0000-0000-0000DD5D0000}"/>
    <cellStyle name="Currency 3 7 7" xfId="6194" xr:uid="{00000000-0005-0000-0000-0000DE5D0000}"/>
    <cellStyle name="Currency 3 7 7 2" xfId="16001" xr:uid="{00000000-0005-0000-0000-0000DF5D0000}"/>
    <cellStyle name="Currency 3 7 7 2 2" xfId="29408" xr:uid="{00000000-0005-0000-0000-0000E05D0000}"/>
    <cellStyle name="Currency 3 7 7 3" xfId="21573" xr:uid="{00000000-0005-0000-0000-0000E15D0000}"/>
    <cellStyle name="Currency 3 7 8" xfId="9908" xr:uid="{00000000-0005-0000-0000-0000E25D0000}"/>
    <cellStyle name="Currency 3 7 9" xfId="21592" xr:uid="{00000000-0005-0000-0000-0000E35D0000}"/>
    <cellStyle name="Currency 3 8" xfId="6195" xr:uid="{00000000-0005-0000-0000-0000E45D0000}"/>
    <cellStyle name="Currency 3 8 2" xfId="6196" xr:uid="{00000000-0005-0000-0000-0000E55D0000}"/>
    <cellStyle name="Currency 3 8 2 2" xfId="6197" xr:uid="{00000000-0005-0000-0000-0000E65D0000}"/>
    <cellStyle name="Currency 3 8 2 2 2" xfId="11396" xr:uid="{00000000-0005-0000-0000-0000E75D0000}"/>
    <cellStyle name="Currency 3 8 2 2 3" xfId="21570" xr:uid="{00000000-0005-0000-0000-0000E85D0000}"/>
    <cellStyle name="Currency 3 8 2 3" xfId="6198" xr:uid="{00000000-0005-0000-0000-0000E95D0000}"/>
    <cellStyle name="Currency 3 8 2 3 2" xfId="16727" xr:uid="{00000000-0005-0000-0000-0000EA5D0000}"/>
    <cellStyle name="Currency 3 8 2 3 2 2" xfId="30134" xr:uid="{00000000-0005-0000-0000-0000EB5D0000}"/>
    <cellStyle name="Currency 3 8 2 3 3" xfId="21569" xr:uid="{00000000-0005-0000-0000-0000EC5D0000}"/>
    <cellStyle name="Currency 3 8 2 4" xfId="9913" xr:uid="{00000000-0005-0000-0000-0000ED5D0000}"/>
    <cellStyle name="Currency 3 8 2 5" xfId="21571" xr:uid="{00000000-0005-0000-0000-0000EE5D0000}"/>
    <cellStyle name="Currency 3 8 3" xfId="6199" xr:uid="{00000000-0005-0000-0000-0000EF5D0000}"/>
    <cellStyle name="Currency 3 8 3 2" xfId="6200" xr:uid="{00000000-0005-0000-0000-0000F05D0000}"/>
    <cellStyle name="Currency 3 8 3 2 2" xfId="13194" xr:uid="{00000000-0005-0000-0000-0000F15D0000}"/>
    <cellStyle name="Currency 3 8 3 2 3" xfId="21567" xr:uid="{00000000-0005-0000-0000-0000F25D0000}"/>
    <cellStyle name="Currency 3 8 3 3" xfId="12110" xr:uid="{00000000-0005-0000-0000-0000F35D0000}"/>
    <cellStyle name="Currency 3 8 3 3 2" xfId="25822" xr:uid="{00000000-0005-0000-0000-0000F45D0000}"/>
    <cellStyle name="Currency 3 8 3 4" xfId="21568" xr:uid="{00000000-0005-0000-0000-0000F55D0000}"/>
    <cellStyle name="Currency 3 8 4" xfId="6201" xr:uid="{00000000-0005-0000-0000-0000F65D0000}"/>
    <cellStyle name="Currency 3 8 4 2" xfId="6202" xr:uid="{00000000-0005-0000-0000-0000F75D0000}"/>
    <cellStyle name="Currency 3 8 4 2 2" xfId="15653" xr:uid="{00000000-0005-0000-0000-0000F85D0000}"/>
    <cellStyle name="Currency 3 8 4 2 3" xfId="21565" xr:uid="{00000000-0005-0000-0000-0000F95D0000}"/>
    <cellStyle name="Currency 3 8 4 3" xfId="13679" xr:uid="{00000000-0005-0000-0000-0000FA5D0000}"/>
    <cellStyle name="Currency 3 8 4 3 2" xfId="27228" xr:uid="{00000000-0005-0000-0000-0000FB5D0000}"/>
    <cellStyle name="Currency 3 8 4 4" xfId="21566" xr:uid="{00000000-0005-0000-0000-0000FC5D0000}"/>
    <cellStyle name="Currency 3 8 5" xfId="6203" xr:uid="{00000000-0005-0000-0000-0000FD5D0000}"/>
    <cellStyle name="Currency 3 8 5 2" xfId="14260" xr:uid="{00000000-0005-0000-0000-0000FE5D0000}"/>
    <cellStyle name="Currency 3 8 5 2 2" xfId="27809" xr:uid="{00000000-0005-0000-0000-0000FF5D0000}"/>
    <cellStyle name="Currency 3 8 5 3" xfId="21564" xr:uid="{00000000-0005-0000-0000-0000005E0000}"/>
    <cellStyle name="Currency 3 8 6" xfId="6204" xr:uid="{00000000-0005-0000-0000-0000015E0000}"/>
    <cellStyle name="Currency 3 8 6 2" xfId="16146" xr:uid="{00000000-0005-0000-0000-0000025E0000}"/>
    <cellStyle name="Currency 3 8 6 2 2" xfId="29553" xr:uid="{00000000-0005-0000-0000-0000035E0000}"/>
    <cellStyle name="Currency 3 8 6 3" xfId="21563" xr:uid="{00000000-0005-0000-0000-0000045E0000}"/>
    <cellStyle name="Currency 3 8 7" xfId="9912" xr:uid="{00000000-0005-0000-0000-0000055E0000}"/>
    <cellStyle name="Currency 3 8 8" xfId="21572" xr:uid="{00000000-0005-0000-0000-0000065E0000}"/>
    <cellStyle name="Currency 3 9" xfId="6205" xr:uid="{00000000-0005-0000-0000-0000075E0000}"/>
    <cellStyle name="Currency 3 9 2" xfId="6206" xr:uid="{00000000-0005-0000-0000-0000085E0000}"/>
    <cellStyle name="Currency 3 9 2 2" xfId="6207" xr:uid="{00000000-0005-0000-0000-0000095E0000}"/>
    <cellStyle name="Currency 3 9 2 2 2" xfId="11397" xr:uid="{00000000-0005-0000-0000-00000A5E0000}"/>
    <cellStyle name="Currency 3 9 2 2 3" xfId="21560" xr:uid="{00000000-0005-0000-0000-00000B5E0000}"/>
    <cellStyle name="Currency 3 9 2 3" xfId="6208" xr:uid="{00000000-0005-0000-0000-00000C5E0000}"/>
    <cellStyle name="Currency 3 9 2 3 2" xfId="16735" xr:uid="{00000000-0005-0000-0000-00000D5E0000}"/>
    <cellStyle name="Currency 3 9 2 3 2 2" xfId="30142" xr:uid="{00000000-0005-0000-0000-00000E5E0000}"/>
    <cellStyle name="Currency 3 9 2 3 3" xfId="21559" xr:uid="{00000000-0005-0000-0000-00000F5E0000}"/>
    <cellStyle name="Currency 3 9 2 4" xfId="9915" xr:uid="{00000000-0005-0000-0000-0000105E0000}"/>
    <cellStyle name="Currency 3 9 2 5" xfId="21561" xr:uid="{00000000-0005-0000-0000-0000115E0000}"/>
    <cellStyle name="Currency 3 9 3" xfId="6209" xr:uid="{00000000-0005-0000-0000-0000125E0000}"/>
    <cellStyle name="Currency 3 9 3 2" xfId="6210" xr:uid="{00000000-0005-0000-0000-0000135E0000}"/>
    <cellStyle name="Currency 3 9 3 2 2" xfId="13195" xr:uid="{00000000-0005-0000-0000-0000145E0000}"/>
    <cellStyle name="Currency 3 9 3 2 3" xfId="21557" xr:uid="{00000000-0005-0000-0000-0000155E0000}"/>
    <cellStyle name="Currency 3 9 3 3" xfId="12123" xr:uid="{00000000-0005-0000-0000-0000165E0000}"/>
    <cellStyle name="Currency 3 9 3 3 2" xfId="25835" xr:uid="{00000000-0005-0000-0000-0000175E0000}"/>
    <cellStyle name="Currency 3 9 3 4" xfId="21558" xr:uid="{00000000-0005-0000-0000-0000185E0000}"/>
    <cellStyle name="Currency 3 9 4" xfId="6211" xr:uid="{00000000-0005-0000-0000-0000195E0000}"/>
    <cellStyle name="Currency 3 9 4 2" xfId="6212" xr:uid="{00000000-0005-0000-0000-00001A5E0000}"/>
    <cellStyle name="Currency 3 9 4 2 2" xfId="15654" xr:uid="{00000000-0005-0000-0000-00001B5E0000}"/>
    <cellStyle name="Currency 3 9 4 2 3" xfId="21555" xr:uid="{00000000-0005-0000-0000-00001C5E0000}"/>
    <cellStyle name="Currency 3 9 4 3" xfId="13687" xr:uid="{00000000-0005-0000-0000-00001D5E0000}"/>
    <cellStyle name="Currency 3 9 4 3 2" xfId="27236" xr:uid="{00000000-0005-0000-0000-00001E5E0000}"/>
    <cellStyle name="Currency 3 9 4 4" xfId="21556" xr:uid="{00000000-0005-0000-0000-00001F5E0000}"/>
    <cellStyle name="Currency 3 9 5" xfId="6213" xr:uid="{00000000-0005-0000-0000-0000205E0000}"/>
    <cellStyle name="Currency 3 9 5 2" xfId="14268" xr:uid="{00000000-0005-0000-0000-0000215E0000}"/>
    <cellStyle name="Currency 3 9 5 2 2" xfId="27817" xr:uid="{00000000-0005-0000-0000-0000225E0000}"/>
    <cellStyle name="Currency 3 9 5 3" xfId="21554" xr:uid="{00000000-0005-0000-0000-0000235E0000}"/>
    <cellStyle name="Currency 3 9 6" xfId="6214" xr:uid="{00000000-0005-0000-0000-0000245E0000}"/>
    <cellStyle name="Currency 3 9 6 2" xfId="16154" xr:uid="{00000000-0005-0000-0000-0000255E0000}"/>
    <cellStyle name="Currency 3 9 6 2 2" xfId="29561" xr:uid="{00000000-0005-0000-0000-0000265E0000}"/>
    <cellStyle name="Currency 3 9 6 3" xfId="21553" xr:uid="{00000000-0005-0000-0000-0000275E0000}"/>
    <cellStyle name="Currency 3 9 7" xfId="9914" xr:uid="{00000000-0005-0000-0000-0000285E0000}"/>
    <cellStyle name="Currency 3 9 8" xfId="21562" xr:uid="{00000000-0005-0000-0000-0000295E0000}"/>
    <cellStyle name="Currency 4" xfId="6215" xr:uid="{00000000-0005-0000-0000-00002A5E0000}"/>
    <cellStyle name="Currency 4 2" xfId="6216" xr:uid="{00000000-0005-0000-0000-00002B5E0000}"/>
    <cellStyle name="Currency 4 2 2" xfId="6217" xr:uid="{00000000-0005-0000-0000-00002C5E0000}"/>
    <cellStyle name="Currency 4 2 2 2" xfId="9918" xr:uid="{00000000-0005-0000-0000-00002D5E0000}"/>
    <cellStyle name="Currency 4 2 2 3" xfId="21550" xr:uid="{00000000-0005-0000-0000-00002E5E0000}"/>
    <cellStyle name="Currency 4 2 3" xfId="6218" xr:uid="{00000000-0005-0000-0000-00002F5E0000}"/>
    <cellStyle name="Currency 4 2 3 2" xfId="13196" xr:uid="{00000000-0005-0000-0000-0000305E0000}"/>
    <cellStyle name="Currency 4 2 3 3" xfId="21549" xr:uid="{00000000-0005-0000-0000-0000315E0000}"/>
    <cellStyle name="Currency 4 2 4" xfId="6219" xr:uid="{00000000-0005-0000-0000-0000325E0000}"/>
    <cellStyle name="Currency 4 2 4 2" xfId="17030" xr:uid="{00000000-0005-0000-0000-0000335E0000}"/>
    <cellStyle name="Currency 4 2 4 2 2" xfId="30436" xr:uid="{00000000-0005-0000-0000-0000345E0000}"/>
    <cellStyle name="Currency 4 2 4 3" xfId="21548" xr:uid="{00000000-0005-0000-0000-0000355E0000}"/>
    <cellStyle name="Currency 4 2 5" xfId="9917" xr:uid="{00000000-0005-0000-0000-0000365E0000}"/>
    <cellStyle name="Currency 4 2 6" xfId="21551" xr:uid="{00000000-0005-0000-0000-0000375E0000}"/>
    <cellStyle name="Currency 4 3" xfId="6220" xr:uid="{00000000-0005-0000-0000-0000385E0000}"/>
    <cellStyle name="Currency 4 3 2" xfId="9919" xr:uid="{00000000-0005-0000-0000-0000395E0000}"/>
    <cellStyle name="Currency 4 3 3" xfId="21547" xr:uid="{00000000-0005-0000-0000-00003A5E0000}"/>
    <cellStyle name="Currency 4 4" xfId="6221" xr:uid="{00000000-0005-0000-0000-00003B5E0000}"/>
    <cellStyle name="Currency 4 4 2" xfId="9920" xr:uid="{00000000-0005-0000-0000-00003C5E0000}"/>
    <cellStyle name="Currency 4 4 3" xfId="21546" xr:uid="{00000000-0005-0000-0000-00003D5E0000}"/>
    <cellStyle name="Currency 4 5" xfId="6222" xr:uid="{00000000-0005-0000-0000-00003E5E0000}"/>
    <cellStyle name="Currency 4 5 2" xfId="13197" xr:uid="{00000000-0005-0000-0000-00003F5E0000}"/>
    <cellStyle name="Currency 4 5 3" xfId="21545" xr:uid="{00000000-0005-0000-0000-0000405E0000}"/>
    <cellStyle name="Currency 4 6" xfId="6223" xr:uid="{00000000-0005-0000-0000-0000415E0000}"/>
    <cellStyle name="Currency 4 6 2" xfId="9916" xr:uid="{00000000-0005-0000-0000-0000425E0000}"/>
    <cellStyle name="Currency 4 6 3" xfId="21544" xr:uid="{00000000-0005-0000-0000-0000435E0000}"/>
    <cellStyle name="Currency 4 7" xfId="8678" xr:uid="{00000000-0005-0000-0000-0000445E0000}"/>
    <cellStyle name="Currency 4 8" xfId="21552" xr:uid="{00000000-0005-0000-0000-0000455E0000}"/>
    <cellStyle name="Currency 4 9" xfId="33089" xr:uid="{00000000-0005-0000-0000-0000465E0000}"/>
    <cellStyle name="Currency 5" xfId="6224" xr:uid="{00000000-0005-0000-0000-0000475E0000}"/>
    <cellStyle name="Currency 5 10" xfId="6225" xr:uid="{00000000-0005-0000-0000-0000485E0000}"/>
    <cellStyle name="Currency 5 10 2" xfId="15900" xr:uid="{00000000-0005-0000-0000-0000495E0000}"/>
    <cellStyle name="Currency 5 10 2 2" xfId="29307" xr:uid="{00000000-0005-0000-0000-00004A5E0000}"/>
    <cellStyle name="Currency 5 10 3" xfId="21542" xr:uid="{00000000-0005-0000-0000-00004B5E0000}"/>
    <cellStyle name="Currency 5 11" xfId="6226" xr:uid="{00000000-0005-0000-0000-00004C5E0000}"/>
    <cellStyle name="Currency 5 11 2" xfId="17335" xr:uid="{00000000-0005-0000-0000-00004D5E0000}"/>
    <cellStyle name="Currency 5 11 3" xfId="21541" xr:uid="{00000000-0005-0000-0000-00004E5E0000}"/>
    <cellStyle name="Currency 5 12" xfId="8736" xr:uid="{00000000-0005-0000-0000-00004F5E0000}"/>
    <cellStyle name="Currency 5 13" xfId="9921" xr:uid="{00000000-0005-0000-0000-0000505E0000}"/>
    <cellStyle name="Currency 5 14" xfId="21543" xr:uid="{00000000-0005-0000-0000-0000515E0000}"/>
    <cellStyle name="Currency 5 15" xfId="33095" xr:uid="{00000000-0005-0000-0000-0000525E0000}"/>
    <cellStyle name="Currency 5 2" xfId="6227" xr:uid="{00000000-0005-0000-0000-0000535E0000}"/>
    <cellStyle name="Currency 5 2 10" xfId="21540" xr:uid="{00000000-0005-0000-0000-0000545E0000}"/>
    <cellStyle name="Currency 5 2 2" xfId="6228" xr:uid="{00000000-0005-0000-0000-0000555E0000}"/>
    <cellStyle name="Currency 5 2 2 2" xfId="6229" xr:uid="{00000000-0005-0000-0000-0000565E0000}"/>
    <cellStyle name="Currency 5 2 2 2 2" xfId="6230" xr:uid="{00000000-0005-0000-0000-0000575E0000}"/>
    <cellStyle name="Currency 5 2 2 2 2 2" xfId="6231" xr:uid="{00000000-0005-0000-0000-0000585E0000}"/>
    <cellStyle name="Currency 5 2 2 2 2 2 2" xfId="11398" xr:uid="{00000000-0005-0000-0000-0000595E0000}"/>
    <cellStyle name="Currency 5 2 2 2 2 2 3" xfId="21536" xr:uid="{00000000-0005-0000-0000-00005A5E0000}"/>
    <cellStyle name="Currency 5 2 2 2 2 3" xfId="6232" xr:uid="{00000000-0005-0000-0000-00005B5E0000}"/>
    <cellStyle name="Currency 5 2 2 2 2 3 2" xfId="16959" xr:uid="{00000000-0005-0000-0000-00005C5E0000}"/>
    <cellStyle name="Currency 5 2 2 2 2 3 2 2" xfId="30366" xr:uid="{00000000-0005-0000-0000-00005D5E0000}"/>
    <cellStyle name="Currency 5 2 2 2 2 3 3" xfId="21535" xr:uid="{00000000-0005-0000-0000-00005E5E0000}"/>
    <cellStyle name="Currency 5 2 2 2 2 4" xfId="9925" xr:uid="{00000000-0005-0000-0000-00005F5E0000}"/>
    <cellStyle name="Currency 5 2 2 2 2 5" xfId="21537" xr:uid="{00000000-0005-0000-0000-0000605E0000}"/>
    <cellStyle name="Currency 5 2 2 2 3" xfId="6233" xr:uid="{00000000-0005-0000-0000-0000615E0000}"/>
    <cellStyle name="Currency 5 2 2 2 3 2" xfId="6234" xr:uid="{00000000-0005-0000-0000-0000625E0000}"/>
    <cellStyle name="Currency 5 2 2 2 3 2 2" xfId="13198" xr:uid="{00000000-0005-0000-0000-0000635E0000}"/>
    <cellStyle name="Currency 5 2 2 2 3 2 3" xfId="21533" xr:uid="{00000000-0005-0000-0000-0000645E0000}"/>
    <cellStyle name="Currency 5 2 2 2 3 3" xfId="12347" xr:uid="{00000000-0005-0000-0000-0000655E0000}"/>
    <cellStyle name="Currency 5 2 2 2 3 3 2" xfId="26059" xr:uid="{00000000-0005-0000-0000-0000665E0000}"/>
    <cellStyle name="Currency 5 2 2 2 3 4" xfId="21534" xr:uid="{00000000-0005-0000-0000-0000675E0000}"/>
    <cellStyle name="Currency 5 2 2 2 4" xfId="6235" xr:uid="{00000000-0005-0000-0000-0000685E0000}"/>
    <cellStyle name="Currency 5 2 2 2 4 2" xfId="6236" xr:uid="{00000000-0005-0000-0000-0000695E0000}"/>
    <cellStyle name="Currency 5 2 2 2 4 2 2" xfId="15655" xr:uid="{00000000-0005-0000-0000-00006A5E0000}"/>
    <cellStyle name="Currency 5 2 2 2 4 2 3" xfId="21531" xr:uid="{00000000-0005-0000-0000-00006B5E0000}"/>
    <cellStyle name="Currency 5 2 2 2 4 3" xfId="13911" xr:uid="{00000000-0005-0000-0000-00006C5E0000}"/>
    <cellStyle name="Currency 5 2 2 2 4 3 2" xfId="27460" xr:uid="{00000000-0005-0000-0000-00006D5E0000}"/>
    <cellStyle name="Currency 5 2 2 2 4 4" xfId="21532" xr:uid="{00000000-0005-0000-0000-00006E5E0000}"/>
    <cellStyle name="Currency 5 2 2 2 5" xfId="6237" xr:uid="{00000000-0005-0000-0000-00006F5E0000}"/>
    <cellStyle name="Currency 5 2 2 2 5 2" xfId="14492" xr:uid="{00000000-0005-0000-0000-0000705E0000}"/>
    <cellStyle name="Currency 5 2 2 2 5 2 2" xfId="28041" xr:uid="{00000000-0005-0000-0000-0000715E0000}"/>
    <cellStyle name="Currency 5 2 2 2 5 3" xfId="21530" xr:uid="{00000000-0005-0000-0000-0000725E0000}"/>
    <cellStyle name="Currency 5 2 2 2 6" xfId="6238" xr:uid="{00000000-0005-0000-0000-0000735E0000}"/>
    <cellStyle name="Currency 5 2 2 2 6 2" xfId="16378" xr:uid="{00000000-0005-0000-0000-0000745E0000}"/>
    <cellStyle name="Currency 5 2 2 2 6 2 2" xfId="29785" xr:uid="{00000000-0005-0000-0000-0000755E0000}"/>
    <cellStyle name="Currency 5 2 2 2 6 3" xfId="21529" xr:uid="{00000000-0005-0000-0000-0000765E0000}"/>
    <cellStyle name="Currency 5 2 2 2 7" xfId="9924" xr:uid="{00000000-0005-0000-0000-0000775E0000}"/>
    <cellStyle name="Currency 5 2 2 2 8" xfId="21538" xr:uid="{00000000-0005-0000-0000-0000785E0000}"/>
    <cellStyle name="Currency 5 2 2 3" xfId="6239" xr:uid="{00000000-0005-0000-0000-0000795E0000}"/>
    <cellStyle name="Currency 5 2 2 3 2" xfId="6240" xr:uid="{00000000-0005-0000-0000-00007A5E0000}"/>
    <cellStyle name="Currency 5 2 2 3 2 2" xfId="11399" xr:uid="{00000000-0005-0000-0000-00007B5E0000}"/>
    <cellStyle name="Currency 5 2 2 3 2 3" xfId="21527" xr:uid="{00000000-0005-0000-0000-00007C5E0000}"/>
    <cellStyle name="Currency 5 2 2 3 3" xfId="6241" xr:uid="{00000000-0005-0000-0000-00007D5E0000}"/>
    <cellStyle name="Currency 5 2 2 3 3 2" xfId="16670" xr:uid="{00000000-0005-0000-0000-00007E5E0000}"/>
    <cellStyle name="Currency 5 2 2 3 3 2 2" xfId="30077" xr:uid="{00000000-0005-0000-0000-00007F5E0000}"/>
    <cellStyle name="Currency 5 2 2 3 3 3" xfId="21526" xr:uid="{00000000-0005-0000-0000-0000805E0000}"/>
    <cellStyle name="Currency 5 2 2 3 4" xfId="9926" xr:uid="{00000000-0005-0000-0000-0000815E0000}"/>
    <cellStyle name="Currency 5 2 2 3 5" xfId="21528" xr:uid="{00000000-0005-0000-0000-0000825E0000}"/>
    <cellStyle name="Currency 5 2 2 4" xfId="6242" xr:uid="{00000000-0005-0000-0000-0000835E0000}"/>
    <cellStyle name="Currency 5 2 2 4 2" xfId="6243" xr:uid="{00000000-0005-0000-0000-0000845E0000}"/>
    <cellStyle name="Currency 5 2 2 4 2 2" xfId="13199" xr:uid="{00000000-0005-0000-0000-0000855E0000}"/>
    <cellStyle name="Currency 5 2 2 4 2 3" xfId="21524" xr:uid="{00000000-0005-0000-0000-0000865E0000}"/>
    <cellStyle name="Currency 5 2 2 4 3" xfId="12047" xr:uid="{00000000-0005-0000-0000-0000875E0000}"/>
    <cellStyle name="Currency 5 2 2 4 3 2" xfId="25762" xr:uid="{00000000-0005-0000-0000-0000885E0000}"/>
    <cellStyle name="Currency 5 2 2 4 4" xfId="21525" xr:uid="{00000000-0005-0000-0000-0000895E0000}"/>
    <cellStyle name="Currency 5 2 2 5" xfId="6244" xr:uid="{00000000-0005-0000-0000-00008A5E0000}"/>
    <cellStyle name="Currency 5 2 2 5 2" xfId="6245" xr:uid="{00000000-0005-0000-0000-00008B5E0000}"/>
    <cellStyle name="Currency 5 2 2 5 2 2" xfId="15656" xr:uid="{00000000-0005-0000-0000-00008C5E0000}"/>
    <cellStyle name="Currency 5 2 2 5 2 3" xfId="21522" xr:uid="{00000000-0005-0000-0000-00008D5E0000}"/>
    <cellStyle name="Currency 5 2 2 5 3" xfId="13622" xr:uid="{00000000-0005-0000-0000-00008E5E0000}"/>
    <cellStyle name="Currency 5 2 2 5 3 2" xfId="27171" xr:uid="{00000000-0005-0000-0000-00008F5E0000}"/>
    <cellStyle name="Currency 5 2 2 5 4" xfId="21523" xr:uid="{00000000-0005-0000-0000-0000905E0000}"/>
    <cellStyle name="Currency 5 2 2 6" xfId="6246" xr:uid="{00000000-0005-0000-0000-0000915E0000}"/>
    <cellStyle name="Currency 5 2 2 6 2" xfId="14203" xr:uid="{00000000-0005-0000-0000-0000925E0000}"/>
    <cellStyle name="Currency 5 2 2 6 2 2" xfId="27752" xr:uid="{00000000-0005-0000-0000-0000935E0000}"/>
    <cellStyle name="Currency 5 2 2 6 3" xfId="21521" xr:uid="{00000000-0005-0000-0000-0000945E0000}"/>
    <cellStyle name="Currency 5 2 2 7" xfId="6247" xr:uid="{00000000-0005-0000-0000-0000955E0000}"/>
    <cellStyle name="Currency 5 2 2 7 2" xfId="16089" xr:uid="{00000000-0005-0000-0000-0000965E0000}"/>
    <cellStyle name="Currency 5 2 2 7 2 2" xfId="29496" xr:uid="{00000000-0005-0000-0000-0000975E0000}"/>
    <cellStyle name="Currency 5 2 2 7 3" xfId="21520" xr:uid="{00000000-0005-0000-0000-0000985E0000}"/>
    <cellStyle name="Currency 5 2 2 8" xfId="9923" xr:uid="{00000000-0005-0000-0000-0000995E0000}"/>
    <cellStyle name="Currency 5 2 2 9" xfId="21539" xr:uid="{00000000-0005-0000-0000-00009A5E0000}"/>
    <cellStyle name="Currency 5 2 3" xfId="6248" xr:uid="{00000000-0005-0000-0000-00009B5E0000}"/>
    <cellStyle name="Currency 5 2 3 2" xfId="6249" xr:uid="{00000000-0005-0000-0000-00009C5E0000}"/>
    <cellStyle name="Currency 5 2 3 2 2" xfId="6250" xr:uid="{00000000-0005-0000-0000-00009D5E0000}"/>
    <cellStyle name="Currency 5 2 3 2 2 2" xfId="11400" xr:uid="{00000000-0005-0000-0000-00009E5E0000}"/>
    <cellStyle name="Currency 5 2 3 2 2 3" xfId="21517" xr:uid="{00000000-0005-0000-0000-00009F5E0000}"/>
    <cellStyle name="Currency 5 2 3 2 3" xfId="6251" xr:uid="{00000000-0005-0000-0000-0000A05E0000}"/>
    <cellStyle name="Currency 5 2 3 2 3 2" xfId="16816" xr:uid="{00000000-0005-0000-0000-0000A15E0000}"/>
    <cellStyle name="Currency 5 2 3 2 3 2 2" xfId="30223" xr:uid="{00000000-0005-0000-0000-0000A25E0000}"/>
    <cellStyle name="Currency 5 2 3 2 3 3" xfId="21516" xr:uid="{00000000-0005-0000-0000-0000A35E0000}"/>
    <cellStyle name="Currency 5 2 3 2 4" xfId="9928" xr:uid="{00000000-0005-0000-0000-0000A45E0000}"/>
    <cellStyle name="Currency 5 2 3 2 5" xfId="21518" xr:uid="{00000000-0005-0000-0000-0000A55E0000}"/>
    <cellStyle name="Currency 5 2 3 3" xfId="6252" xr:uid="{00000000-0005-0000-0000-0000A65E0000}"/>
    <cellStyle name="Currency 5 2 3 3 2" xfId="6253" xr:uid="{00000000-0005-0000-0000-0000A75E0000}"/>
    <cellStyle name="Currency 5 2 3 3 2 2" xfId="13200" xr:uid="{00000000-0005-0000-0000-0000A85E0000}"/>
    <cellStyle name="Currency 5 2 3 3 2 3" xfId="21514" xr:uid="{00000000-0005-0000-0000-0000A95E0000}"/>
    <cellStyle name="Currency 5 2 3 3 3" xfId="12204" xr:uid="{00000000-0005-0000-0000-0000AA5E0000}"/>
    <cellStyle name="Currency 5 2 3 3 3 2" xfId="25916" xr:uid="{00000000-0005-0000-0000-0000AB5E0000}"/>
    <cellStyle name="Currency 5 2 3 3 4" xfId="21515" xr:uid="{00000000-0005-0000-0000-0000AC5E0000}"/>
    <cellStyle name="Currency 5 2 3 4" xfId="6254" xr:uid="{00000000-0005-0000-0000-0000AD5E0000}"/>
    <cellStyle name="Currency 5 2 3 4 2" xfId="6255" xr:uid="{00000000-0005-0000-0000-0000AE5E0000}"/>
    <cellStyle name="Currency 5 2 3 4 2 2" xfId="15657" xr:uid="{00000000-0005-0000-0000-0000AF5E0000}"/>
    <cellStyle name="Currency 5 2 3 4 2 3" xfId="21512" xr:uid="{00000000-0005-0000-0000-0000B05E0000}"/>
    <cellStyle name="Currency 5 2 3 4 3" xfId="13768" xr:uid="{00000000-0005-0000-0000-0000B15E0000}"/>
    <cellStyle name="Currency 5 2 3 4 3 2" xfId="27317" xr:uid="{00000000-0005-0000-0000-0000B25E0000}"/>
    <cellStyle name="Currency 5 2 3 4 4" xfId="21513" xr:uid="{00000000-0005-0000-0000-0000B35E0000}"/>
    <cellStyle name="Currency 5 2 3 5" xfId="6256" xr:uid="{00000000-0005-0000-0000-0000B45E0000}"/>
    <cellStyle name="Currency 5 2 3 5 2" xfId="14349" xr:uid="{00000000-0005-0000-0000-0000B55E0000}"/>
    <cellStyle name="Currency 5 2 3 5 2 2" xfId="27898" xr:uid="{00000000-0005-0000-0000-0000B65E0000}"/>
    <cellStyle name="Currency 5 2 3 5 3" xfId="21511" xr:uid="{00000000-0005-0000-0000-0000B75E0000}"/>
    <cellStyle name="Currency 5 2 3 6" xfId="6257" xr:uid="{00000000-0005-0000-0000-0000B85E0000}"/>
    <cellStyle name="Currency 5 2 3 6 2" xfId="16235" xr:uid="{00000000-0005-0000-0000-0000B95E0000}"/>
    <cellStyle name="Currency 5 2 3 6 2 2" xfId="29642" xr:uid="{00000000-0005-0000-0000-0000BA5E0000}"/>
    <cellStyle name="Currency 5 2 3 6 3" xfId="21510" xr:uid="{00000000-0005-0000-0000-0000BB5E0000}"/>
    <cellStyle name="Currency 5 2 3 7" xfId="9927" xr:uid="{00000000-0005-0000-0000-0000BC5E0000}"/>
    <cellStyle name="Currency 5 2 3 8" xfId="21519" xr:uid="{00000000-0005-0000-0000-0000BD5E0000}"/>
    <cellStyle name="Currency 5 2 4" xfId="6258" xr:uid="{00000000-0005-0000-0000-0000BE5E0000}"/>
    <cellStyle name="Currency 5 2 4 2" xfId="6259" xr:uid="{00000000-0005-0000-0000-0000BF5E0000}"/>
    <cellStyle name="Currency 5 2 4 2 2" xfId="11401" xr:uid="{00000000-0005-0000-0000-0000C05E0000}"/>
    <cellStyle name="Currency 5 2 4 2 3" xfId="21508" xr:uid="{00000000-0005-0000-0000-0000C15E0000}"/>
    <cellStyle name="Currency 5 2 4 3" xfId="6260" xr:uid="{00000000-0005-0000-0000-0000C25E0000}"/>
    <cellStyle name="Currency 5 2 4 3 2" xfId="17163" xr:uid="{00000000-0005-0000-0000-0000C35E0000}"/>
    <cellStyle name="Currency 5 2 4 3 2 2" xfId="30522" xr:uid="{00000000-0005-0000-0000-0000C45E0000}"/>
    <cellStyle name="Currency 5 2 4 3 3" xfId="21507" xr:uid="{00000000-0005-0000-0000-0000C55E0000}"/>
    <cellStyle name="Currency 5 2 4 4" xfId="9929" xr:uid="{00000000-0005-0000-0000-0000C65E0000}"/>
    <cellStyle name="Currency 5 2 4 5" xfId="21509" xr:uid="{00000000-0005-0000-0000-0000C75E0000}"/>
    <cellStyle name="Currency 5 2 5" xfId="6261" xr:uid="{00000000-0005-0000-0000-0000C85E0000}"/>
    <cellStyle name="Currency 5 2 5 2" xfId="6262" xr:uid="{00000000-0005-0000-0000-0000C95E0000}"/>
    <cellStyle name="Currency 5 2 5 2 2" xfId="13201" xr:uid="{00000000-0005-0000-0000-0000CA5E0000}"/>
    <cellStyle name="Currency 5 2 5 2 3" xfId="21505" xr:uid="{00000000-0005-0000-0000-0000CB5E0000}"/>
    <cellStyle name="Currency 5 2 5 3" xfId="6263" xr:uid="{00000000-0005-0000-0000-0000CC5E0000}"/>
    <cellStyle name="Currency 5 2 5 3 2" xfId="17252" xr:uid="{00000000-0005-0000-0000-0000CD5E0000}"/>
    <cellStyle name="Currency 5 2 5 3 2 2" xfId="30611" xr:uid="{00000000-0005-0000-0000-0000CE5E0000}"/>
    <cellStyle name="Currency 5 2 5 3 3" xfId="21504" xr:uid="{00000000-0005-0000-0000-0000CF5E0000}"/>
    <cellStyle name="Currency 5 2 5 4" xfId="11902" xr:uid="{00000000-0005-0000-0000-0000D05E0000}"/>
    <cellStyle name="Currency 5 2 5 4 2" xfId="25617" xr:uid="{00000000-0005-0000-0000-0000D15E0000}"/>
    <cellStyle name="Currency 5 2 5 5" xfId="21506" xr:uid="{00000000-0005-0000-0000-0000D25E0000}"/>
    <cellStyle name="Currency 5 2 6" xfId="6264" xr:uid="{00000000-0005-0000-0000-0000D35E0000}"/>
    <cellStyle name="Currency 5 2 6 2" xfId="6265" xr:uid="{00000000-0005-0000-0000-0000D45E0000}"/>
    <cellStyle name="Currency 5 2 6 2 2" xfId="15658" xr:uid="{00000000-0005-0000-0000-0000D55E0000}"/>
    <cellStyle name="Currency 5 2 6 2 3" xfId="21502" xr:uid="{00000000-0005-0000-0000-0000D65E0000}"/>
    <cellStyle name="Currency 5 2 6 3" xfId="6266" xr:uid="{00000000-0005-0000-0000-0000D75E0000}"/>
    <cellStyle name="Currency 5 2 6 3 2" xfId="16527" xr:uid="{00000000-0005-0000-0000-0000D85E0000}"/>
    <cellStyle name="Currency 5 2 6 3 2 2" xfId="29934" xr:uid="{00000000-0005-0000-0000-0000D95E0000}"/>
    <cellStyle name="Currency 5 2 6 3 3" xfId="21501" xr:uid="{00000000-0005-0000-0000-0000DA5E0000}"/>
    <cellStyle name="Currency 5 2 6 4" xfId="13479" xr:uid="{00000000-0005-0000-0000-0000DB5E0000}"/>
    <cellStyle name="Currency 5 2 6 4 2" xfId="27028" xr:uid="{00000000-0005-0000-0000-0000DC5E0000}"/>
    <cellStyle name="Currency 5 2 6 5" xfId="21503" xr:uid="{00000000-0005-0000-0000-0000DD5E0000}"/>
    <cellStyle name="Currency 5 2 7" xfId="6267" xr:uid="{00000000-0005-0000-0000-0000DE5E0000}"/>
    <cellStyle name="Currency 5 2 7 2" xfId="14060" xr:uid="{00000000-0005-0000-0000-0000DF5E0000}"/>
    <cellStyle name="Currency 5 2 7 2 2" xfId="27609" xr:uid="{00000000-0005-0000-0000-0000E05E0000}"/>
    <cellStyle name="Currency 5 2 7 3" xfId="21500" xr:uid="{00000000-0005-0000-0000-0000E15E0000}"/>
    <cellStyle name="Currency 5 2 8" xfId="6268" xr:uid="{00000000-0005-0000-0000-0000E25E0000}"/>
    <cellStyle name="Currency 5 2 8 2" xfId="15946" xr:uid="{00000000-0005-0000-0000-0000E35E0000}"/>
    <cellStyle name="Currency 5 2 8 2 2" xfId="29353" xr:uid="{00000000-0005-0000-0000-0000E45E0000}"/>
    <cellStyle name="Currency 5 2 8 3" xfId="21499" xr:uid="{00000000-0005-0000-0000-0000E55E0000}"/>
    <cellStyle name="Currency 5 2 9" xfId="9922" xr:uid="{00000000-0005-0000-0000-0000E65E0000}"/>
    <cellStyle name="Currency 5 3" xfId="6269" xr:uid="{00000000-0005-0000-0000-0000E75E0000}"/>
    <cellStyle name="Currency 5 3 2" xfId="6270" xr:uid="{00000000-0005-0000-0000-0000E85E0000}"/>
    <cellStyle name="Currency 5 3 2 2" xfId="6271" xr:uid="{00000000-0005-0000-0000-0000E95E0000}"/>
    <cellStyle name="Currency 5 3 2 2 2" xfId="6272" xr:uid="{00000000-0005-0000-0000-0000EA5E0000}"/>
    <cellStyle name="Currency 5 3 2 2 2 2" xfId="11402" xr:uid="{00000000-0005-0000-0000-0000EB5E0000}"/>
    <cellStyle name="Currency 5 3 2 2 2 3" xfId="21495" xr:uid="{00000000-0005-0000-0000-0000EC5E0000}"/>
    <cellStyle name="Currency 5 3 2 2 3" xfId="6273" xr:uid="{00000000-0005-0000-0000-0000ED5E0000}"/>
    <cellStyle name="Currency 5 3 2 2 3 2" xfId="16913" xr:uid="{00000000-0005-0000-0000-0000EE5E0000}"/>
    <cellStyle name="Currency 5 3 2 2 3 2 2" xfId="30320" xr:uid="{00000000-0005-0000-0000-0000EF5E0000}"/>
    <cellStyle name="Currency 5 3 2 2 3 3" xfId="21494" xr:uid="{00000000-0005-0000-0000-0000F05E0000}"/>
    <cellStyle name="Currency 5 3 2 2 4" xfId="9932" xr:uid="{00000000-0005-0000-0000-0000F15E0000}"/>
    <cellStyle name="Currency 5 3 2 2 5" xfId="21496" xr:uid="{00000000-0005-0000-0000-0000F25E0000}"/>
    <cellStyle name="Currency 5 3 2 3" xfId="6274" xr:uid="{00000000-0005-0000-0000-0000F35E0000}"/>
    <cellStyle name="Currency 5 3 2 3 2" xfId="6275" xr:uid="{00000000-0005-0000-0000-0000F45E0000}"/>
    <cellStyle name="Currency 5 3 2 3 2 2" xfId="13202" xr:uid="{00000000-0005-0000-0000-0000F55E0000}"/>
    <cellStyle name="Currency 5 3 2 3 2 3" xfId="21492" xr:uid="{00000000-0005-0000-0000-0000F65E0000}"/>
    <cellStyle name="Currency 5 3 2 3 3" xfId="12301" xr:uid="{00000000-0005-0000-0000-0000F75E0000}"/>
    <cellStyle name="Currency 5 3 2 3 3 2" xfId="26013" xr:uid="{00000000-0005-0000-0000-0000F85E0000}"/>
    <cellStyle name="Currency 5 3 2 3 4" xfId="21493" xr:uid="{00000000-0005-0000-0000-0000F95E0000}"/>
    <cellStyle name="Currency 5 3 2 4" xfId="6276" xr:uid="{00000000-0005-0000-0000-0000FA5E0000}"/>
    <cellStyle name="Currency 5 3 2 4 2" xfId="6277" xr:uid="{00000000-0005-0000-0000-0000FB5E0000}"/>
    <cellStyle name="Currency 5 3 2 4 2 2" xfId="15659" xr:uid="{00000000-0005-0000-0000-0000FC5E0000}"/>
    <cellStyle name="Currency 5 3 2 4 2 3" xfId="21490" xr:uid="{00000000-0005-0000-0000-0000FD5E0000}"/>
    <cellStyle name="Currency 5 3 2 4 3" xfId="13865" xr:uid="{00000000-0005-0000-0000-0000FE5E0000}"/>
    <cellStyle name="Currency 5 3 2 4 3 2" xfId="27414" xr:uid="{00000000-0005-0000-0000-0000FF5E0000}"/>
    <cellStyle name="Currency 5 3 2 4 4" xfId="21491" xr:uid="{00000000-0005-0000-0000-0000005F0000}"/>
    <cellStyle name="Currency 5 3 2 5" xfId="6278" xr:uid="{00000000-0005-0000-0000-0000015F0000}"/>
    <cellStyle name="Currency 5 3 2 5 2" xfId="14446" xr:uid="{00000000-0005-0000-0000-0000025F0000}"/>
    <cellStyle name="Currency 5 3 2 5 2 2" xfId="27995" xr:uid="{00000000-0005-0000-0000-0000035F0000}"/>
    <cellStyle name="Currency 5 3 2 5 3" xfId="21489" xr:uid="{00000000-0005-0000-0000-0000045F0000}"/>
    <cellStyle name="Currency 5 3 2 6" xfId="6279" xr:uid="{00000000-0005-0000-0000-0000055F0000}"/>
    <cellStyle name="Currency 5 3 2 6 2" xfId="16332" xr:uid="{00000000-0005-0000-0000-0000065F0000}"/>
    <cellStyle name="Currency 5 3 2 6 2 2" xfId="29739" xr:uid="{00000000-0005-0000-0000-0000075F0000}"/>
    <cellStyle name="Currency 5 3 2 6 3" xfId="21488" xr:uid="{00000000-0005-0000-0000-0000085F0000}"/>
    <cellStyle name="Currency 5 3 2 7" xfId="9931" xr:uid="{00000000-0005-0000-0000-0000095F0000}"/>
    <cellStyle name="Currency 5 3 2 8" xfId="21497" xr:uid="{00000000-0005-0000-0000-00000A5F0000}"/>
    <cellStyle name="Currency 5 3 3" xfId="6280" xr:uid="{00000000-0005-0000-0000-00000B5F0000}"/>
    <cellStyle name="Currency 5 3 3 2" xfId="6281" xr:uid="{00000000-0005-0000-0000-00000C5F0000}"/>
    <cellStyle name="Currency 5 3 3 2 2" xfId="11403" xr:uid="{00000000-0005-0000-0000-00000D5F0000}"/>
    <cellStyle name="Currency 5 3 3 2 3" xfId="21486" xr:uid="{00000000-0005-0000-0000-00000E5F0000}"/>
    <cellStyle name="Currency 5 3 3 3" xfId="6282" xr:uid="{00000000-0005-0000-0000-00000F5F0000}"/>
    <cellStyle name="Currency 5 3 3 3 2" xfId="16624" xr:uid="{00000000-0005-0000-0000-0000105F0000}"/>
    <cellStyle name="Currency 5 3 3 3 2 2" xfId="30031" xr:uid="{00000000-0005-0000-0000-0000115F0000}"/>
    <cellStyle name="Currency 5 3 3 3 3" xfId="21485" xr:uid="{00000000-0005-0000-0000-0000125F0000}"/>
    <cellStyle name="Currency 5 3 3 4" xfId="9933" xr:uid="{00000000-0005-0000-0000-0000135F0000}"/>
    <cellStyle name="Currency 5 3 3 5" xfId="21487" xr:uid="{00000000-0005-0000-0000-0000145F0000}"/>
    <cellStyle name="Currency 5 3 4" xfId="6283" xr:uid="{00000000-0005-0000-0000-0000155F0000}"/>
    <cellStyle name="Currency 5 3 4 2" xfId="6284" xr:uid="{00000000-0005-0000-0000-0000165F0000}"/>
    <cellStyle name="Currency 5 3 4 2 2" xfId="13203" xr:uid="{00000000-0005-0000-0000-0000175F0000}"/>
    <cellStyle name="Currency 5 3 4 2 3" xfId="21483" xr:uid="{00000000-0005-0000-0000-0000185F0000}"/>
    <cellStyle name="Currency 5 3 4 3" xfId="12001" xr:uid="{00000000-0005-0000-0000-0000195F0000}"/>
    <cellStyle name="Currency 5 3 4 3 2" xfId="25716" xr:uid="{00000000-0005-0000-0000-00001A5F0000}"/>
    <cellStyle name="Currency 5 3 4 4" xfId="21484" xr:uid="{00000000-0005-0000-0000-00001B5F0000}"/>
    <cellStyle name="Currency 5 3 5" xfId="6285" xr:uid="{00000000-0005-0000-0000-00001C5F0000}"/>
    <cellStyle name="Currency 5 3 5 2" xfId="6286" xr:uid="{00000000-0005-0000-0000-00001D5F0000}"/>
    <cellStyle name="Currency 5 3 5 2 2" xfId="15660" xr:uid="{00000000-0005-0000-0000-00001E5F0000}"/>
    <cellStyle name="Currency 5 3 5 2 3" xfId="21481" xr:uid="{00000000-0005-0000-0000-00001F5F0000}"/>
    <cellStyle name="Currency 5 3 5 3" xfId="13576" xr:uid="{00000000-0005-0000-0000-0000205F0000}"/>
    <cellStyle name="Currency 5 3 5 3 2" xfId="27125" xr:uid="{00000000-0005-0000-0000-0000215F0000}"/>
    <cellStyle name="Currency 5 3 5 4" xfId="21482" xr:uid="{00000000-0005-0000-0000-0000225F0000}"/>
    <cellStyle name="Currency 5 3 6" xfId="6287" xr:uid="{00000000-0005-0000-0000-0000235F0000}"/>
    <cellStyle name="Currency 5 3 6 2" xfId="14157" xr:uid="{00000000-0005-0000-0000-0000245F0000}"/>
    <cellStyle name="Currency 5 3 6 2 2" xfId="27706" xr:uid="{00000000-0005-0000-0000-0000255F0000}"/>
    <cellStyle name="Currency 5 3 6 3" xfId="21480" xr:uid="{00000000-0005-0000-0000-0000265F0000}"/>
    <cellStyle name="Currency 5 3 7" xfId="6288" xr:uid="{00000000-0005-0000-0000-0000275F0000}"/>
    <cellStyle name="Currency 5 3 7 2" xfId="16043" xr:uid="{00000000-0005-0000-0000-0000285F0000}"/>
    <cellStyle name="Currency 5 3 7 2 2" xfId="29450" xr:uid="{00000000-0005-0000-0000-0000295F0000}"/>
    <cellStyle name="Currency 5 3 7 3" xfId="21479" xr:uid="{00000000-0005-0000-0000-00002A5F0000}"/>
    <cellStyle name="Currency 5 3 8" xfId="9930" xr:uid="{00000000-0005-0000-0000-00002B5F0000}"/>
    <cellStyle name="Currency 5 3 9" xfId="21498" xr:uid="{00000000-0005-0000-0000-00002C5F0000}"/>
    <cellStyle name="Currency 5 4" xfId="6289" xr:uid="{00000000-0005-0000-0000-00002D5F0000}"/>
    <cellStyle name="Currency 5 4 2" xfId="6290" xr:uid="{00000000-0005-0000-0000-00002E5F0000}"/>
    <cellStyle name="Currency 5 4 2 2" xfId="6291" xr:uid="{00000000-0005-0000-0000-00002F5F0000}"/>
    <cellStyle name="Currency 5 4 2 2 2" xfId="11404" xr:uid="{00000000-0005-0000-0000-0000305F0000}"/>
    <cellStyle name="Currency 5 4 2 2 3" xfId="21476" xr:uid="{00000000-0005-0000-0000-0000315F0000}"/>
    <cellStyle name="Currency 5 4 2 3" xfId="6292" xr:uid="{00000000-0005-0000-0000-0000325F0000}"/>
    <cellStyle name="Currency 5 4 2 3 2" xfId="16770" xr:uid="{00000000-0005-0000-0000-0000335F0000}"/>
    <cellStyle name="Currency 5 4 2 3 2 2" xfId="30177" xr:uid="{00000000-0005-0000-0000-0000345F0000}"/>
    <cellStyle name="Currency 5 4 2 3 3" xfId="21475" xr:uid="{00000000-0005-0000-0000-0000355F0000}"/>
    <cellStyle name="Currency 5 4 2 4" xfId="9935" xr:uid="{00000000-0005-0000-0000-0000365F0000}"/>
    <cellStyle name="Currency 5 4 2 5" xfId="21477" xr:uid="{00000000-0005-0000-0000-0000375F0000}"/>
    <cellStyle name="Currency 5 4 3" xfId="6293" xr:uid="{00000000-0005-0000-0000-0000385F0000}"/>
    <cellStyle name="Currency 5 4 3 2" xfId="6294" xr:uid="{00000000-0005-0000-0000-0000395F0000}"/>
    <cellStyle name="Currency 5 4 3 2 2" xfId="13204" xr:uid="{00000000-0005-0000-0000-00003A5F0000}"/>
    <cellStyle name="Currency 5 4 3 2 3" xfId="21473" xr:uid="{00000000-0005-0000-0000-00003B5F0000}"/>
    <cellStyle name="Currency 5 4 3 3" xfId="12158" xr:uid="{00000000-0005-0000-0000-00003C5F0000}"/>
    <cellStyle name="Currency 5 4 3 3 2" xfId="25870" xr:uid="{00000000-0005-0000-0000-00003D5F0000}"/>
    <cellStyle name="Currency 5 4 3 4" xfId="21474" xr:uid="{00000000-0005-0000-0000-00003E5F0000}"/>
    <cellStyle name="Currency 5 4 4" xfId="6295" xr:uid="{00000000-0005-0000-0000-00003F5F0000}"/>
    <cellStyle name="Currency 5 4 4 2" xfId="6296" xr:uid="{00000000-0005-0000-0000-0000405F0000}"/>
    <cellStyle name="Currency 5 4 4 2 2" xfId="15661" xr:uid="{00000000-0005-0000-0000-0000415F0000}"/>
    <cellStyle name="Currency 5 4 4 2 3" xfId="21471" xr:uid="{00000000-0005-0000-0000-0000425F0000}"/>
    <cellStyle name="Currency 5 4 4 3" xfId="13722" xr:uid="{00000000-0005-0000-0000-0000435F0000}"/>
    <cellStyle name="Currency 5 4 4 3 2" xfId="27271" xr:uid="{00000000-0005-0000-0000-0000445F0000}"/>
    <cellStyle name="Currency 5 4 4 4" xfId="21472" xr:uid="{00000000-0005-0000-0000-0000455F0000}"/>
    <cellStyle name="Currency 5 4 5" xfId="6297" xr:uid="{00000000-0005-0000-0000-0000465F0000}"/>
    <cellStyle name="Currency 5 4 5 2" xfId="14303" xr:uid="{00000000-0005-0000-0000-0000475F0000}"/>
    <cellStyle name="Currency 5 4 5 2 2" xfId="27852" xr:uid="{00000000-0005-0000-0000-0000485F0000}"/>
    <cellStyle name="Currency 5 4 5 3" xfId="21470" xr:uid="{00000000-0005-0000-0000-0000495F0000}"/>
    <cellStyle name="Currency 5 4 6" xfId="6298" xr:uid="{00000000-0005-0000-0000-00004A5F0000}"/>
    <cellStyle name="Currency 5 4 6 2" xfId="16189" xr:uid="{00000000-0005-0000-0000-00004B5F0000}"/>
    <cellStyle name="Currency 5 4 6 2 2" xfId="29596" xr:uid="{00000000-0005-0000-0000-00004C5F0000}"/>
    <cellStyle name="Currency 5 4 6 3" xfId="21469" xr:uid="{00000000-0005-0000-0000-00004D5F0000}"/>
    <cellStyle name="Currency 5 4 7" xfId="9934" xr:uid="{00000000-0005-0000-0000-00004E5F0000}"/>
    <cellStyle name="Currency 5 4 8" xfId="21478" xr:uid="{00000000-0005-0000-0000-00004F5F0000}"/>
    <cellStyle name="Currency 5 5" xfId="6299" xr:uid="{00000000-0005-0000-0000-0000505F0000}"/>
    <cellStyle name="Currency 5 5 2" xfId="6300" xr:uid="{00000000-0005-0000-0000-0000515F0000}"/>
    <cellStyle name="Currency 5 5 2 2" xfId="17031" xr:uid="{00000000-0005-0000-0000-0000525F0000}"/>
    <cellStyle name="Currency 5 5 2 2 2" xfId="30437" xr:uid="{00000000-0005-0000-0000-0000535F0000}"/>
    <cellStyle name="Currency 5 5 2 3" xfId="21467" xr:uid="{00000000-0005-0000-0000-0000545F0000}"/>
    <cellStyle name="Currency 5 5 3" xfId="9936" xr:uid="{00000000-0005-0000-0000-0000555F0000}"/>
    <cellStyle name="Currency 5 5 4" xfId="21468" xr:uid="{00000000-0005-0000-0000-0000565F0000}"/>
    <cellStyle name="Currency 5 6" xfId="6301" xr:uid="{00000000-0005-0000-0000-0000575F0000}"/>
    <cellStyle name="Currency 5 6 2" xfId="6302" xr:uid="{00000000-0005-0000-0000-0000585F0000}"/>
    <cellStyle name="Currency 5 6 2 2" xfId="11405" xr:uid="{00000000-0005-0000-0000-0000595F0000}"/>
    <cellStyle name="Currency 5 6 2 3" xfId="21465" xr:uid="{00000000-0005-0000-0000-00005A5F0000}"/>
    <cellStyle name="Currency 5 6 3" xfId="6303" xr:uid="{00000000-0005-0000-0000-00005B5F0000}"/>
    <cellStyle name="Currency 5 6 3 2" xfId="17117" xr:uid="{00000000-0005-0000-0000-00005C5F0000}"/>
    <cellStyle name="Currency 5 6 3 2 2" xfId="30476" xr:uid="{00000000-0005-0000-0000-00005D5F0000}"/>
    <cellStyle name="Currency 5 6 3 3" xfId="21464" xr:uid="{00000000-0005-0000-0000-00005E5F0000}"/>
    <cellStyle name="Currency 5 6 4" xfId="9937" xr:uid="{00000000-0005-0000-0000-00005F5F0000}"/>
    <cellStyle name="Currency 5 6 5" xfId="21466" xr:uid="{00000000-0005-0000-0000-0000605F0000}"/>
    <cellStyle name="Currency 5 7" xfId="6304" xr:uid="{00000000-0005-0000-0000-0000615F0000}"/>
    <cellStyle name="Currency 5 7 2" xfId="6305" xr:uid="{00000000-0005-0000-0000-0000625F0000}"/>
    <cellStyle name="Currency 5 7 2 2" xfId="13205" xr:uid="{00000000-0005-0000-0000-0000635F0000}"/>
    <cellStyle name="Currency 5 7 2 3" xfId="21462" xr:uid="{00000000-0005-0000-0000-0000645F0000}"/>
    <cellStyle name="Currency 5 7 3" xfId="6306" xr:uid="{00000000-0005-0000-0000-0000655F0000}"/>
    <cellStyle name="Currency 5 7 3 2" xfId="17206" xr:uid="{00000000-0005-0000-0000-0000665F0000}"/>
    <cellStyle name="Currency 5 7 3 2 2" xfId="30565" xr:uid="{00000000-0005-0000-0000-0000675F0000}"/>
    <cellStyle name="Currency 5 7 3 3" xfId="21461" xr:uid="{00000000-0005-0000-0000-0000685F0000}"/>
    <cellStyle name="Currency 5 7 4" xfId="11832" xr:uid="{00000000-0005-0000-0000-0000695F0000}"/>
    <cellStyle name="Currency 5 7 4 2" xfId="25547" xr:uid="{00000000-0005-0000-0000-00006A5F0000}"/>
    <cellStyle name="Currency 5 7 5" xfId="21463" xr:uid="{00000000-0005-0000-0000-00006B5F0000}"/>
    <cellStyle name="Currency 5 8" xfId="6307" xr:uid="{00000000-0005-0000-0000-00006C5F0000}"/>
    <cellStyle name="Currency 5 8 2" xfId="6308" xr:uid="{00000000-0005-0000-0000-00006D5F0000}"/>
    <cellStyle name="Currency 5 8 2 2" xfId="15662" xr:uid="{00000000-0005-0000-0000-00006E5F0000}"/>
    <cellStyle name="Currency 5 8 2 3" xfId="21459" xr:uid="{00000000-0005-0000-0000-00006F5F0000}"/>
    <cellStyle name="Currency 5 8 3" xfId="6309" xr:uid="{00000000-0005-0000-0000-0000705F0000}"/>
    <cellStyle name="Currency 5 8 3 2" xfId="16481" xr:uid="{00000000-0005-0000-0000-0000715F0000}"/>
    <cellStyle name="Currency 5 8 3 2 2" xfId="29888" xr:uid="{00000000-0005-0000-0000-0000725F0000}"/>
    <cellStyle name="Currency 5 8 3 3" xfId="21458" xr:uid="{00000000-0005-0000-0000-0000735F0000}"/>
    <cellStyle name="Currency 5 8 4" xfId="13433" xr:uid="{00000000-0005-0000-0000-0000745F0000}"/>
    <cellStyle name="Currency 5 8 4 2" xfId="26982" xr:uid="{00000000-0005-0000-0000-0000755F0000}"/>
    <cellStyle name="Currency 5 8 5" xfId="21460" xr:uid="{00000000-0005-0000-0000-0000765F0000}"/>
    <cellStyle name="Currency 5 9" xfId="6310" xr:uid="{00000000-0005-0000-0000-0000775F0000}"/>
    <cellStyle name="Currency 5 9 2" xfId="14014" xr:uid="{00000000-0005-0000-0000-0000785F0000}"/>
    <cellStyle name="Currency 5 9 2 2" xfId="27563" xr:uid="{00000000-0005-0000-0000-0000795F0000}"/>
    <cellStyle name="Currency 5 9 3" xfId="21457" xr:uid="{00000000-0005-0000-0000-00007A5F0000}"/>
    <cellStyle name="Currency 6" xfId="6311" xr:uid="{00000000-0005-0000-0000-00007B5F0000}"/>
    <cellStyle name="Currency 6 2" xfId="6312" xr:uid="{00000000-0005-0000-0000-00007C5F0000}"/>
    <cellStyle name="Currency 6 2 2" xfId="17032" xr:uid="{00000000-0005-0000-0000-00007D5F0000}"/>
    <cellStyle name="Currency 6 2 2 2" xfId="30438" xr:uid="{00000000-0005-0000-0000-00007E5F0000}"/>
    <cellStyle name="Currency 6 2 3" xfId="21455" xr:uid="{00000000-0005-0000-0000-00007F5F0000}"/>
    <cellStyle name="Currency 6 3" xfId="6313" xr:uid="{00000000-0005-0000-0000-0000805F0000}"/>
    <cellStyle name="Currency 6 3 2" xfId="17336" xr:uid="{00000000-0005-0000-0000-0000815F0000}"/>
    <cellStyle name="Currency 6 3 3" xfId="21454" xr:uid="{00000000-0005-0000-0000-0000825F0000}"/>
    <cellStyle name="Currency 6 4" xfId="8733" xr:uid="{00000000-0005-0000-0000-0000835F0000}"/>
    <cellStyle name="Currency 6 5" xfId="21456" xr:uid="{00000000-0005-0000-0000-0000845F0000}"/>
    <cellStyle name="Currency 6 6" xfId="33085" xr:uid="{00000000-0005-0000-0000-0000855F0000}"/>
    <cellStyle name="Currency 7" xfId="6314" xr:uid="{00000000-0005-0000-0000-0000865F0000}"/>
    <cellStyle name="Currency 7 2" xfId="9938" xr:uid="{00000000-0005-0000-0000-0000875F0000}"/>
    <cellStyle name="Currency 7 3" xfId="21453" xr:uid="{00000000-0005-0000-0000-0000885F0000}"/>
    <cellStyle name="Currency 8" xfId="6315" xr:uid="{00000000-0005-0000-0000-0000895F0000}"/>
    <cellStyle name="Currency 8 10" xfId="21452" xr:uid="{00000000-0005-0000-0000-00008A5F0000}"/>
    <cellStyle name="Currency 8 2" xfId="6316" xr:uid="{00000000-0005-0000-0000-00008B5F0000}"/>
    <cellStyle name="Currency 8 2 2" xfId="6317" xr:uid="{00000000-0005-0000-0000-00008C5F0000}"/>
    <cellStyle name="Currency 8 2 2 2" xfId="6318" xr:uid="{00000000-0005-0000-0000-00008D5F0000}"/>
    <cellStyle name="Currency 8 2 2 2 2" xfId="6319" xr:uid="{00000000-0005-0000-0000-00008E5F0000}"/>
    <cellStyle name="Currency 8 2 2 2 2 2" xfId="11406" xr:uid="{00000000-0005-0000-0000-00008F5F0000}"/>
    <cellStyle name="Currency 8 2 2 2 2 3" xfId="21448" xr:uid="{00000000-0005-0000-0000-0000905F0000}"/>
    <cellStyle name="Currency 8 2 2 2 3" xfId="6320" xr:uid="{00000000-0005-0000-0000-0000915F0000}"/>
    <cellStyle name="Currency 8 2 2 2 3 2" xfId="16936" xr:uid="{00000000-0005-0000-0000-0000925F0000}"/>
    <cellStyle name="Currency 8 2 2 2 3 2 2" xfId="30343" xr:uid="{00000000-0005-0000-0000-0000935F0000}"/>
    <cellStyle name="Currency 8 2 2 2 3 3" xfId="21447" xr:uid="{00000000-0005-0000-0000-0000945F0000}"/>
    <cellStyle name="Currency 8 2 2 2 4" xfId="9942" xr:uid="{00000000-0005-0000-0000-0000955F0000}"/>
    <cellStyle name="Currency 8 2 2 2 5" xfId="21449" xr:uid="{00000000-0005-0000-0000-0000965F0000}"/>
    <cellStyle name="Currency 8 2 2 3" xfId="6321" xr:uid="{00000000-0005-0000-0000-0000975F0000}"/>
    <cellStyle name="Currency 8 2 2 3 2" xfId="6322" xr:uid="{00000000-0005-0000-0000-0000985F0000}"/>
    <cellStyle name="Currency 8 2 2 3 2 2" xfId="13206" xr:uid="{00000000-0005-0000-0000-0000995F0000}"/>
    <cellStyle name="Currency 8 2 2 3 2 3" xfId="21445" xr:uid="{00000000-0005-0000-0000-00009A5F0000}"/>
    <cellStyle name="Currency 8 2 2 3 3" xfId="12324" xr:uid="{00000000-0005-0000-0000-00009B5F0000}"/>
    <cellStyle name="Currency 8 2 2 3 3 2" xfId="26036" xr:uid="{00000000-0005-0000-0000-00009C5F0000}"/>
    <cellStyle name="Currency 8 2 2 3 4" xfId="21446" xr:uid="{00000000-0005-0000-0000-00009D5F0000}"/>
    <cellStyle name="Currency 8 2 2 4" xfId="6323" xr:uid="{00000000-0005-0000-0000-00009E5F0000}"/>
    <cellStyle name="Currency 8 2 2 4 2" xfId="6324" xr:uid="{00000000-0005-0000-0000-00009F5F0000}"/>
    <cellStyle name="Currency 8 2 2 4 2 2" xfId="15663" xr:uid="{00000000-0005-0000-0000-0000A05F0000}"/>
    <cellStyle name="Currency 8 2 2 4 2 3" xfId="21443" xr:uid="{00000000-0005-0000-0000-0000A15F0000}"/>
    <cellStyle name="Currency 8 2 2 4 3" xfId="13888" xr:uid="{00000000-0005-0000-0000-0000A25F0000}"/>
    <cellStyle name="Currency 8 2 2 4 3 2" xfId="27437" xr:uid="{00000000-0005-0000-0000-0000A35F0000}"/>
    <cellStyle name="Currency 8 2 2 4 4" xfId="21444" xr:uid="{00000000-0005-0000-0000-0000A45F0000}"/>
    <cellStyle name="Currency 8 2 2 5" xfId="6325" xr:uid="{00000000-0005-0000-0000-0000A55F0000}"/>
    <cellStyle name="Currency 8 2 2 5 2" xfId="14469" xr:uid="{00000000-0005-0000-0000-0000A65F0000}"/>
    <cellStyle name="Currency 8 2 2 5 2 2" xfId="28018" xr:uid="{00000000-0005-0000-0000-0000A75F0000}"/>
    <cellStyle name="Currency 8 2 2 5 3" xfId="21442" xr:uid="{00000000-0005-0000-0000-0000A85F0000}"/>
    <cellStyle name="Currency 8 2 2 6" xfId="6326" xr:uid="{00000000-0005-0000-0000-0000A95F0000}"/>
    <cellStyle name="Currency 8 2 2 6 2" xfId="16355" xr:uid="{00000000-0005-0000-0000-0000AA5F0000}"/>
    <cellStyle name="Currency 8 2 2 6 2 2" xfId="29762" xr:uid="{00000000-0005-0000-0000-0000AB5F0000}"/>
    <cellStyle name="Currency 8 2 2 6 3" xfId="21441" xr:uid="{00000000-0005-0000-0000-0000AC5F0000}"/>
    <cellStyle name="Currency 8 2 2 7" xfId="9941" xr:uid="{00000000-0005-0000-0000-0000AD5F0000}"/>
    <cellStyle name="Currency 8 2 2 8" xfId="21450" xr:uid="{00000000-0005-0000-0000-0000AE5F0000}"/>
    <cellStyle name="Currency 8 2 3" xfId="6327" xr:uid="{00000000-0005-0000-0000-0000AF5F0000}"/>
    <cellStyle name="Currency 8 2 3 2" xfId="6328" xr:uid="{00000000-0005-0000-0000-0000B05F0000}"/>
    <cellStyle name="Currency 8 2 3 2 2" xfId="11407" xr:uid="{00000000-0005-0000-0000-0000B15F0000}"/>
    <cellStyle name="Currency 8 2 3 2 3" xfId="21439" xr:uid="{00000000-0005-0000-0000-0000B25F0000}"/>
    <cellStyle name="Currency 8 2 3 3" xfId="6329" xr:uid="{00000000-0005-0000-0000-0000B35F0000}"/>
    <cellStyle name="Currency 8 2 3 3 2" xfId="16647" xr:uid="{00000000-0005-0000-0000-0000B45F0000}"/>
    <cellStyle name="Currency 8 2 3 3 2 2" xfId="30054" xr:uid="{00000000-0005-0000-0000-0000B55F0000}"/>
    <cellStyle name="Currency 8 2 3 3 3" xfId="21438" xr:uid="{00000000-0005-0000-0000-0000B65F0000}"/>
    <cellStyle name="Currency 8 2 3 4" xfId="9943" xr:uid="{00000000-0005-0000-0000-0000B75F0000}"/>
    <cellStyle name="Currency 8 2 3 5" xfId="21440" xr:uid="{00000000-0005-0000-0000-0000B85F0000}"/>
    <cellStyle name="Currency 8 2 4" xfId="6330" xr:uid="{00000000-0005-0000-0000-0000B95F0000}"/>
    <cellStyle name="Currency 8 2 4 2" xfId="6331" xr:uid="{00000000-0005-0000-0000-0000BA5F0000}"/>
    <cellStyle name="Currency 8 2 4 2 2" xfId="13207" xr:uid="{00000000-0005-0000-0000-0000BB5F0000}"/>
    <cellStyle name="Currency 8 2 4 2 3" xfId="21436" xr:uid="{00000000-0005-0000-0000-0000BC5F0000}"/>
    <cellStyle name="Currency 8 2 4 3" xfId="12024" xr:uid="{00000000-0005-0000-0000-0000BD5F0000}"/>
    <cellStyle name="Currency 8 2 4 3 2" xfId="25739" xr:uid="{00000000-0005-0000-0000-0000BE5F0000}"/>
    <cellStyle name="Currency 8 2 4 4" xfId="21437" xr:uid="{00000000-0005-0000-0000-0000BF5F0000}"/>
    <cellStyle name="Currency 8 2 5" xfId="6332" xr:uid="{00000000-0005-0000-0000-0000C05F0000}"/>
    <cellStyle name="Currency 8 2 5 2" xfId="6333" xr:uid="{00000000-0005-0000-0000-0000C15F0000}"/>
    <cellStyle name="Currency 8 2 5 2 2" xfId="15664" xr:uid="{00000000-0005-0000-0000-0000C25F0000}"/>
    <cellStyle name="Currency 8 2 5 2 3" xfId="21434" xr:uid="{00000000-0005-0000-0000-0000C35F0000}"/>
    <cellStyle name="Currency 8 2 5 3" xfId="13599" xr:uid="{00000000-0005-0000-0000-0000C45F0000}"/>
    <cellStyle name="Currency 8 2 5 3 2" xfId="27148" xr:uid="{00000000-0005-0000-0000-0000C55F0000}"/>
    <cellStyle name="Currency 8 2 5 4" xfId="21435" xr:uid="{00000000-0005-0000-0000-0000C65F0000}"/>
    <cellStyle name="Currency 8 2 6" xfId="6334" xr:uid="{00000000-0005-0000-0000-0000C75F0000}"/>
    <cellStyle name="Currency 8 2 6 2" xfId="14180" xr:uid="{00000000-0005-0000-0000-0000C85F0000}"/>
    <cellStyle name="Currency 8 2 6 2 2" xfId="27729" xr:uid="{00000000-0005-0000-0000-0000C95F0000}"/>
    <cellStyle name="Currency 8 2 6 3" xfId="21433" xr:uid="{00000000-0005-0000-0000-0000CA5F0000}"/>
    <cellStyle name="Currency 8 2 7" xfId="6335" xr:uid="{00000000-0005-0000-0000-0000CB5F0000}"/>
    <cellStyle name="Currency 8 2 7 2" xfId="16066" xr:uid="{00000000-0005-0000-0000-0000CC5F0000}"/>
    <cellStyle name="Currency 8 2 7 2 2" xfId="29473" xr:uid="{00000000-0005-0000-0000-0000CD5F0000}"/>
    <cellStyle name="Currency 8 2 7 3" xfId="21432" xr:uid="{00000000-0005-0000-0000-0000CE5F0000}"/>
    <cellStyle name="Currency 8 2 8" xfId="9940" xr:uid="{00000000-0005-0000-0000-0000CF5F0000}"/>
    <cellStyle name="Currency 8 2 9" xfId="21451" xr:uid="{00000000-0005-0000-0000-0000D05F0000}"/>
    <cellStyle name="Currency 8 3" xfId="6336" xr:uid="{00000000-0005-0000-0000-0000D15F0000}"/>
    <cellStyle name="Currency 8 3 2" xfId="6337" xr:uid="{00000000-0005-0000-0000-0000D25F0000}"/>
    <cellStyle name="Currency 8 3 2 2" xfId="6338" xr:uid="{00000000-0005-0000-0000-0000D35F0000}"/>
    <cellStyle name="Currency 8 3 2 2 2" xfId="11408" xr:uid="{00000000-0005-0000-0000-0000D45F0000}"/>
    <cellStyle name="Currency 8 3 2 2 3" xfId="21429" xr:uid="{00000000-0005-0000-0000-0000D55F0000}"/>
    <cellStyle name="Currency 8 3 2 3" xfId="6339" xr:uid="{00000000-0005-0000-0000-0000D65F0000}"/>
    <cellStyle name="Currency 8 3 2 3 2" xfId="16793" xr:uid="{00000000-0005-0000-0000-0000D75F0000}"/>
    <cellStyle name="Currency 8 3 2 3 2 2" xfId="30200" xr:uid="{00000000-0005-0000-0000-0000D85F0000}"/>
    <cellStyle name="Currency 8 3 2 3 3" xfId="21428" xr:uid="{00000000-0005-0000-0000-0000D95F0000}"/>
    <cellStyle name="Currency 8 3 2 4" xfId="9945" xr:uid="{00000000-0005-0000-0000-0000DA5F0000}"/>
    <cellStyle name="Currency 8 3 2 5" xfId="21430" xr:uid="{00000000-0005-0000-0000-0000DB5F0000}"/>
    <cellStyle name="Currency 8 3 3" xfId="6340" xr:uid="{00000000-0005-0000-0000-0000DC5F0000}"/>
    <cellStyle name="Currency 8 3 3 2" xfId="6341" xr:uid="{00000000-0005-0000-0000-0000DD5F0000}"/>
    <cellStyle name="Currency 8 3 3 2 2" xfId="13208" xr:uid="{00000000-0005-0000-0000-0000DE5F0000}"/>
    <cellStyle name="Currency 8 3 3 2 3" xfId="21426" xr:uid="{00000000-0005-0000-0000-0000DF5F0000}"/>
    <cellStyle name="Currency 8 3 3 3" xfId="12181" xr:uid="{00000000-0005-0000-0000-0000E05F0000}"/>
    <cellStyle name="Currency 8 3 3 3 2" xfId="25893" xr:uid="{00000000-0005-0000-0000-0000E15F0000}"/>
    <cellStyle name="Currency 8 3 3 4" xfId="21427" xr:uid="{00000000-0005-0000-0000-0000E25F0000}"/>
    <cellStyle name="Currency 8 3 4" xfId="6342" xr:uid="{00000000-0005-0000-0000-0000E35F0000}"/>
    <cellStyle name="Currency 8 3 4 2" xfId="6343" xr:uid="{00000000-0005-0000-0000-0000E45F0000}"/>
    <cellStyle name="Currency 8 3 4 2 2" xfId="15665" xr:uid="{00000000-0005-0000-0000-0000E55F0000}"/>
    <cellStyle name="Currency 8 3 4 2 3" xfId="21424" xr:uid="{00000000-0005-0000-0000-0000E65F0000}"/>
    <cellStyle name="Currency 8 3 4 3" xfId="13745" xr:uid="{00000000-0005-0000-0000-0000E75F0000}"/>
    <cellStyle name="Currency 8 3 4 3 2" xfId="27294" xr:uid="{00000000-0005-0000-0000-0000E85F0000}"/>
    <cellStyle name="Currency 8 3 4 4" xfId="21425" xr:uid="{00000000-0005-0000-0000-0000E95F0000}"/>
    <cellStyle name="Currency 8 3 5" xfId="6344" xr:uid="{00000000-0005-0000-0000-0000EA5F0000}"/>
    <cellStyle name="Currency 8 3 5 2" xfId="14326" xr:uid="{00000000-0005-0000-0000-0000EB5F0000}"/>
    <cellStyle name="Currency 8 3 5 2 2" xfId="27875" xr:uid="{00000000-0005-0000-0000-0000EC5F0000}"/>
    <cellStyle name="Currency 8 3 5 3" xfId="21423" xr:uid="{00000000-0005-0000-0000-0000ED5F0000}"/>
    <cellStyle name="Currency 8 3 6" xfId="6345" xr:uid="{00000000-0005-0000-0000-0000EE5F0000}"/>
    <cellStyle name="Currency 8 3 6 2" xfId="16212" xr:uid="{00000000-0005-0000-0000-0000EF5F0000}"/>
    <cellStyle name="Currency 8 3 6 2 2" xfId="29619" xr:uid="{00000000-0005-0000-0000-0000F05F0000}"/>
    <cellStyle name="Currency 8 3 6 3" xfId="21422" xr:uid="{00000000-0005-0000-0000-0000F15F0000}"/>
    <cellStyle name="Currency 8 3 7" xfId="9944" xr:uid="{00000000-0005-0000-0000-0000F25F0000}"/>
    <cellStyle name="Currency 8 3 8" xfId="21431" xr:uid="{00000000-0005-0000-0000-0000F35F0000}"/>
    <cellStyle name="Currency 8 4" xfId="6346" xr:uid="{00000000-0005-0000-0000-0000F45F0000}"/>
    <cellStyle name="Currency 8 4 2" xfId="6347" xr:uid="{00000000-0005-0000-0000-0000F55F0000}"/>
    <cellStyle name="Currency 8 4 2 2" xfId="11409" xr:uid="{00000000-0005-0000-0000-0000F65F0000}"/>
    <cellStyle name="Currency 8 4 2 3" xfId="21420" xr:uid="{00000000-0005-0000-0000-0000F75F0000}"/>
    <cellStyle name="Currency 8 4 3" xfId="6348" xr:uid="{00000000-0005-0000-0000-0000F85F0000}"/>
    <cellStyle name="Currency 8 4 3 2" xfId="17140" xr:uid="{00000000-0005-0000-0000-0000F95F0000}"/>
    <cellStyle name="Currency 8 4 3 2 2" xfId="30499" xr:uid="{00000000-0005-0000-0000-0000FA5F0000}"/>
    <cellStyle name="Currency 8 4 3 3" xfId="21419" xr:uid="{00000000-0005-0000-0000-0000FB5F0000}"/>
    <cellStyle name="Currency 8 4 4" xfId="9946" xr:uid="{00000000-0005-0000-0000-0000FC5F0000}"/>
    <cellStyle name="Currency 8 4 5" xfId="21421" xr:uid="{00000000-0005-0000-0000-0000FD5F0000}"/>
    <cellStyle name="Currency 8 5" xfId="6349" xr:uid="{00000000-0005-0000-0000-0000FE5F0000}"/>
    <cellStyle name="Currency 8 5 2" xfId="6350" xr:uid="{00000000-0005-0000-0000-0000FF5F0000}"/>
    <cellStyle name="Currency 8 5 2 2" xfId="13209" xr:uid="{00000000-0005-0000-0000-000000600000}"/>
    <cellStyle name="Currency 8 5 2 3" xfId="21417" xr:uid="{00000000-0005-0000-0000-000001600000}"/>
    <cellStyle name="Currency 8 5 3" xfId="6351" xr:uid="{00000000-0005-0000-0000-000002600000}"/>
    <cellStyle name="Currency 8 5 3 2" xfId="17229" xr:uid="{00000000-0005-0000-0000-000003600000}"/>
    <cellStyle name="Currency 8 5 3 2 2" xfId="30588" xr:uid="{00000000-0005-0000-0000-000004600000}"/>
    <cellStyle name="Currency 8 5 3 3" xfId="21416" xr:uid="{00000000-0005-0000-0000-000005600000}"/>
    <cellStyle name="Currency 8 5 4" xfId="11876" xr:uid="{00000000-0005-0000-0000-000006600000}"/>
    <cellStyle name="Currency 8 5 4 2" xfId="25591" xr:uid="{00000000-0005-0000-0000-000007600000}"/>
    <cellStyle name="Currency 8 5 5" xfId="21418" xr:uid="{00000000-0005-0000-0000-000008600000}"/>
    <cellStyle name="Currency 8 6" xfId="6352" xr:uid="{00000000-0005-0000-0000-000009600000}"/>
    <cellStyle name="Currency 8 6 2" xfId="6353" xr:uid="{00000000-0005-0000-0000-00000A600000}"/>
    <cellStyle name="Currency 8 6 2 2" xfId="15666" xr:uid="{00000000-0005-0000-0000-00000B600000}"/>
    <cellStyle name="Currency 8 6 2 3" xfId="21414" xr:uid="{00000000-0005-0000-0000-00000C600000}"/>
    <cellStyle name="Currency 8 6 3" xfId="6354" xr:uid="{00000000-0005-0000-0000-00000D600000}"/>
    <cellStyle name="Currency 8 6 3 2" xfId="16504" xr:uid="{00000000-0005-0000-0000-00000E600000}"/>
    <cellStyle name="Currency 8 6 3 2 2" xfId="29911" xr:uid="{00000000-0005-0000-0000-00000F600000}"/>
    <cellStyle name="Currency 8 6 3 3" xfId="21413" xr:uid="{00000000-0005-0000-0000-000010600000}"/>
    <cellStyle name="Currency 8 6 4" xfId="13456" xr:uid="{00000000-0005-0000-0000-000011600000}"/>
    <cellStyle name="Currency 8 6 4 2" xfId="27005" xr:uid="{00000000-0005-0000-0000-000012600000}"/>
    <cellStyle name="Currency 8 6 5" xfId="21415" xr:uid="{00000000-0005-0000-0000-000013600000}"/>
    <cellStyle name="Currency 8 7" xfId="6355" xr:uid="{00000000-0005-0000-0000-000014600000}"/>
    <cellStyle name="Currency 8 7 2" xfId="14037" xr:uid="{00000000-0005-0000-0000-000015600000}"/>
    <cellStyle name="Currency 8 7 2 2" xfId="27586" xr:uid="{00000000-0005-0000-0000-000016600000}"/>
    <cellStyle name="Currency 8 7 3" xfId="21412" xr:uid="{00000000-0005-0000-0000-000017600000}"/>
    <cellStyle name="Currency 8 8" xfId="6356" xr:uid="{00000000-0005-0000-0000-000018600000}"/>
    <cellStyle name="Currency 8 8 2" xfId="15923" xr:uid="{00000000-0005-0000-0000-000019600000}"/>
    <cellStyle name="Currency 8 8 2 2" xfId="29330" xr:uid="{00000000-0005-0000-0000-00001A600000}"/>
    <cellStyle name="Currency 8 8 3" xfId="21411" xr:uid="{00000000-0005-0000-0000-00001B600000}"/>
    <cellStyle name="Currency 8 9" xfId="9939" xr:uid="{00000000-0005-0000-0000-00001C600000}"/>
    <cellStyle name="Currency 9" xfId="6357" xr:uid="{00000000-0005-0000-0000-00001D600000}"/>
    <cellStyle name="Currency 9 2" xfId="9947" xr:uid="{00000000-0005-0000-0000-00001E600000}"/>
    <cellStyle name="Currency 9 3" xfId="21410" xr:uid="{00000000-0005-0000-0000-00001F600000}"/>
    <cellStyle name="Currency0" xfId="6358" xr:uid="{00000000-0005-0000-0000-000020600000}"/>
    <cellStyle name="Currency0 2" xfId="6359" xr:uid="{00000000-0005-0000-0000-000021600000}"/>
    <cellStyle name="Currency0 2 2" xfId="6360" xr:uid="{00000000-0005-0000-0000-000022600000}"/>
    <cellStyle name="Currency0 2 2 2" xfId="17033" xr:uid="{00000000-0005-0000-0000-000023600000}"/>
    <cellStyle name="Currency0 2 2 3" xfId="21407" xr:uid="{00000000-0005-0000-0000-000024600000}"/>
    <cellStyle name="Currency0 2 3" xfId="8669" xr:uid="{00000000-0005-0000-0000-000025600000}"/>
    <cellStyle name="Currency0 2 4" xfId="21408" xr:uid="{00000000-0005-0000-0000-000026600000}"/>
    <cellStyle name="Currency0 3" xfId="6361" xr:uid="{00000000-0005-0000-0000-000027600000}"/>
    <cellStyle name="Currency0 3 2" xfId="8727" xr:uid="{00000000-0005-0000-0000-000028600000}"/>
    <cellStyle name="Currency0 3 2 2" xfId="17337" xr:uid="{00000000-0005-0000-0000-000029600000}"/>
    <cellStyle name="Currency0 3 3" xfId="17296" xr:uid="{00000000-0005-0000-0000-00002A600000}"/>
    <cellStyle name="Currency0 3 4" xfId="9948" xr:uid="{00000000-0005-0000-0000-00002B600000}"/>
    <cellStyle name="Currency0 3 5" xfId="21406" xr:uid="{00000000-0005-0000-0000-00002C600000}"/>
    <cellStyle name="Currency0 4" xfId="8662" xr:uid="{00000000-0005-0000-0000-00002D600000}"/>
    <cellStyle name="Currency0 5" xfId="21409" xr:uid="{00000000-0005-0000-0000-00002E600000}"/>
    <cellStyle name="Date" xfId="6362" xr:uid="{00000000-0005-0000-0000-00002F600000}"/>
    <cellStyle name="Date 2" xfId="6363" xr:uid="{00000000-0005-0000-0000-000030600000}"/>
    <cellStyle name="Date 2 2" xfId="6364" xr:uid="{00000000-0005-0000-0000-000031600000}"/>
    <cellStyle name="Date 2 2 2" xfId="17034" xr:uid="{00000000-0005-0000-0000-000032600000}"/>
    <cellStyle name="Date 2 2 3" xfId="21403" xr:uid="{00000000-0005-0000-0000-000033600000}"/>
    <cellStyle name="Date 2 3" xfId="8697" xr:uid="{00000000-0005-0000-0000-000034600000}"/>
    <cellStyle name="Date 2 4" xfId="21404" xr:uid="{00000000-0005-0000-0000-000035600000}"/>
    <cellStyle name="Date 3" xfId="6365" xr:uid="{00000000-0005-0000-0000-000036600000}"/>
    <cellStyle name="Date 3 2" xfId="8670" xr:uid="{00000000-0005-0000-0000-000037600000}"/>
    <cellStyle name="Date 3 3" xfId="21402" xr:uid="{00000000-0005-0000-0000-000038600000}"/>
    <cellStyle name="Date 4" xfId="6366" xr:uid="{00000000-0005-0000-0000-000039600000}"/>
    <cellStyle name="Date 4 2" xfId="8741" xr:uid="{00000000-0005-0000-0000-00003A600000}"/>
    <cellStyle name="Date 4 2 2" xfId="17338" xr:uid="{00000000-0005-0000-0000-00003B600000}"/>
    <cellStyle name="Date 4 3" xfId="17297" xr:uid="{00000000-0005-0000-0000-00003C600000}"/>
    <cellStyle name="Date 4 4" xfId="9949" xr:uid="{00000000-0005-0000-0000-00003D600000}"/>
    <cellStyle name="Date 4 5" xfId="30691" xr:uid="{00000000-0005-0000-0000-00003E600000}"/>
    <cellStyle name="Date 5" xfId="8661" xr:uid="{00000000-0005-0000-0000-00003F600000}"/>
    <cellStyle name="Date 6" xfId="21405" xr:uid="{00000000-0005-0000-0000-000040600000}"/>
    <cellStyle name="Explanatory Text" xfId="33036" builtinId="53" customBuiltin="1"/>
    <cellStyle name="Explanatory Text 2" xfId="6368" xr:uid="{00000000-0005-0000-0000-000042600000}"/>
    <cellStyle name="Explanatory Text 2 2" xfId="8740" xr:uid="{00000000-0005-0000-0000-000043600000}"/>
    <cellStyle name="Explanatory Text 2 3" xfId="30693" xr:uid="{00000000-0005-0000-0000-000044600000}"/>
    <cellStyle name="Explanatory Text 2 4" xfId="33059" xr:uid="{00000000-0005-0000-0000-000045600000}"/>
    <cellStyle name="Explanatory Text 3" xfId="8815" xr:uid="{00000000-0005-0000-0000-000046600000}"/>
    <cellStyle name="Explanatory Text 4" xfId="30692" xr:uid="{00000000-0005-0000-0000-000047600000}"/>
    <cellStyle name="Explanatory Text 5" xfId="6367" xr:uid="{00000000-0005-0000-0000-000048600000}"/>
    <cellStyle name="Fixed" xfId="6369" xr:uid="{00000000-0005-0000-0000-000049600000}"/>
    <cellStyle name="Fixed 2" xfId="6370" xr:uid="{00000000-0005-0000-0000-00004A600000}"/>
    <cellStyle name="Fixed 2 2" xfId="6371" xr:uid="{00000000-0005-0000-0000-00004B600000}"/>
    <cellStyle name="Fixed 2 2 2" xfId="17035" xr:uid="{00000000-0005-0000-0000-00004C600000}"/>
    <cellStyle name="Fixed 2 2 3" xfId="30696" xr:uid="{00000000-0005-0000-0000-00004D600000}"/>
    <cellStyle name="Fixed 2 3" xfId="8671" xr:uid="{00000000-0005-0000-0000-00004E600000}"/>
    <cellStyle name="Fixed 2 4" xfId="30695" xr:uid="{00000000-0005-0000-0000-00004F600000}"/>
    <cellStyle name="Fixed 3" xfId="6372" xr:uid="{00000000-0005-0000-0000-000050600000}"/>
    <cellStyle name="Fixed 3 2" xfId="8731" xr:uid="{00000000-0005-0000-0000-000051600000}"/>
    <cellStyle name="Fixed 3 2 2" xfId="17339" xr:uid="{00000000-0005-0000-0000-000052600000}"/>
    <cellStyle name="Fixed 3 3" xfId="17298" xr:uid="{00000000-0005-0000-0000-000053600000}"/>
    <cellStyle name="Fixed 3 4" xfId="9950" xr:uid="{00000000-0005-0000-0000-000054600000}"/>
    <cellStyle name="Fixed 3 5" xfId="30697" xr:uid="{00000000-0005-0000-0000-000055600000}"/>
    <cellStyle name="Fixed 4" xfId="8663" xr:uid="{00000000-0005-0000-0000-000056600000}"/>
    <cellStyle name="Fixed 5" xfId="30694" xr:uid="{00000000-0005-0000-0000-000057600000}"/>
    <cellStyle name="Good" xfId="19" builtinId="26" customBuiltin="1"/>
    <cellStyle name="Good 10" xfId="6373" xr:uid="{00000000-0005-0000-0000-000059600000}"/>
    <cellStyle name="Good 10 2" xfId="9952" xr:uid="{00000000-0005-0000-0000-00005A600000}"/>
    <cellStyle name="Good 10 3" xfId="30698" xr:uid="{00000000-0005-0000-0000-00005B600000}"/>
    <cellStyle name="Good 11" xfId="6374" xr:uid="{00000000-0005-0000-0000-00005C600000}"/>
    <cellStyle name="Good 11 2" xfId="9953" xr:uid="{00000000-0005-0000-0000-00005D600000}"/>
    <cellStyle name="Good 11 3" xfId="30699" xr:uid="{00000000-0005-0000-0000-00005E600000}"/>
    <cellStyle name="Good 12" xfId="6375" xr:uid="{00000000-0005-0000-0000-00005F600000}"/>
    <cellStyle name="Good 12 2" xfId="6376" xr:uid="{00000000-0005-0000-0000-000060600000}"/>
    <cellStyle name="Good 12 2 2" xfId="15667" xr:uid="{00000000-0005-0000-0000-000061600000}"/>
    <cellStyle name="Good 12 2 3" xfId="30701" xr:uid="{00000000-0005-0000-0000-000062600000}"/>
    <cellStyle name="Good 12 3" xfId="10489" xr:uid="{00000000-0005-0000-0000-000063600000}"/>
    <cellStyle name="Good 12 4" xfId="30700" xr:uid="{00000000-0005-0000-0000-000064600000}"/>
    <cellStyle name="Good 13" xfId="6377" xr:uid="{00000000-0005-0000-0000-000065600000}"/>
    <cellStyle name="Good 13 2" xfId="11410" xr:uid="{00000000-0005-0000-0000-000066600000}"/>
    <cellStyle name="Good 13 3" xfId="30702" xr:uid="{00000000-0005-0000-0000-000067600000}"/>
    <cellStyle name="Good 14" xfId="6378" xr:uid="{00000000-0005-0000-0000-000068600000}"/>
    <cellStyle name="Good 14 2" xfId="9951" xr:uid="{00000000-0005-0000-0000-000069600000}"/>
    <cellStyle name="Good 14 3" xfId="30703" xr:uid="{00000000-0005-0000-0000-00006A600000}"/>
    <cellStyle name="Good 2" xfId="6379" xr:uid="{00000000-0005-0000-0000-00006B600000}"/>
    <cellStyle name="Good 2 2" xfId="9954" xr:uid="{00000000-0005-0000-0000-00006C600000}"/>
    <cellStyle name="Good 2 3" xfId="30704" xr:uid="{00000000-0005-0000-0000-00006D600000}"/>
    <cellStyle name="Good 2 4" xfId="33049" xr:uid="{00000000-0005-0000-0000-00006E600000}"/>
    <cellStyle name="Good 3" xfId="6380" xr:uid="{00000000-0005-0000-0000-00006F600000}"/>
    <cellStyle name="Good 3 2" xfId="6381" xr:uid="{00000000-0005-0000-0000-000070600000}"/>
    <cellStyle name="Good 3 2 2" xfId="9956" xr:uid="{00000000-0005-0000-0000-000071600000}"/>
    <cellStyle name="Good 3 2 3" xfId="30706" xr:uid="{00000000-0005-0000-0000-000072600000}"/>
    <cellStyle name="Good 3 3" xfId="9955" xr:uid="{00000000-0005-0000-0000-000073600000}"/>
    <cellStyle name="Good 3 4" xfId="30705" xr:uid="{00000000-0005-0000-0000-000074600000}"/>
    <cellStyle name="Good 4" xfId="6382" xr:uid="{00000000-0005-0000-0000-000075600000}"/>
    <cellStyle name="Good 4 2" xfId="6383" xr:uid="{00000000-0005-0000-0000-000076600000}"/>
    <cellStyle name="Good 4 2 2" xfId="13211" xr:uid="{00000000-0005-0000-0000-000077600000}"/>
    <cellStyle name="Good 4 2 3" xfId="30708" xr:uid="{00000000-0005-0000-0000-000078600000}"/>
    <cellStyle name="Good 4 3" xfId="6384" xr:uid="{00000000-0005-0000-0000-000079600000}"/>
    <cellStyle name="Good 4 3 2" xfId="13210" xr:uid="{00000000-0005-0000-0000-00007A600000}"/>
    <cellStyle name="Good 4 3 3" xfId="30709" xr:uid="{00000000-0005-0000-0000-00007B600000}"/>
    <cellStyle name="Good 4 4" xfId="9957" xr:uid="{00000000-0005-0000-0000-00007C600000}"/>
    <cellStyle name="Good 4 5" xfId="30707" xr:uid="{00000000-0005-0000-0000-00007D600000}"/>
    <cellStyle name="Good 5" xfId="6385" xr:uid="{00000000-0005-0000-0000-00007E600000}"/>
    <cellStyle name="Good 5 2" xfId="6386" xr:uid="{00000000-0005-0000-0000-00007F600000}"/>
    <cellStyle name="Good 5 2 2" xfId="9959" xr:uid="{00000000-0005-0000-0000-000080600000}"/>
    <cellStyle name="Good 5 2 3" xfId="30711" xr:uid="{00000000-0005-0000-0000-000081600000}"/>
    <cellStyle name="Good 5 3" xfId="9958" xr:uid="{00000000-0005-0000-0000-000082600000}"/>
    <cellStyle name="Good 5 4" xfId="30710" xr:uid="{00000000-0005-0000-0000-000083600000}"/>
    <cellStyle name="Good 6" xfId="6387" xr:uid="{00000000-0005-0000-0000-000084600000}"/>
    <cellStyle name="Good 6 2" xfId="9960" xr:uid="{00000000-0005-0000-0000-000085600000}"/>
    <cellStyle name="Good 6 3" xfId="30712" xr:uid="{00000000-0005-0000-0000-000086600000}"/>
    <cellStyle name="Good 7" xfId="6388" xr:uid="{00000000-0005-0000-0000-000087600000}"/>
    <cellStyle name="Good 7 2" xfId="9961" xr:uid="{00000000-0005-0000-0000-000088600000}"/>
    <cellStyle name="Good 7 3" xfId="30713" xr:uid="{00000000-0005-0000-0000-000089600000}"/>
    <cellStyle name="Good 8" xfId="6389" xr:uid="{00000000-0005-0000-0000-00008A600000}"/>
    <cellStyle name="Good 8 2" xfId="9962" xr:uid="{00000000-0005-0000-0000-00008B600000}"/>
    <cellStyle name="Good 8 3" xfId="30714" xr:uid="{00000000-0005-0000-0000-00008C600000}"/>
    <cellStyle name="Good 9" xfId="6390" xr:uid="{00000000-0005-0000-0000-00008D600000}"/>
    <cellStyle name="Good 9 2" xfId="9963" xr:uid="{00000000-0005-0000-0000-00008E600000}"/>
    <cellStyle name="Good 9 3" xfId="30715" xr:uid="{00000000-0005-0000-0000-00008F600000}"/>
    <cellStyle name="Heading 1" xfId="15" builtinId="16" customBuiltin="1"/>
    <cellStyle name="Heading 1 2" xfId="6391" xr:uid="{00000000-0005-0000-0000-000091600000}"/>
    <cellStyle name="Heading 1 2 10" xfId="6392" xr:uid="{00000000-0005-0000-0000-000092600000}"/>
    <cellStyle name="Heading 1 2 10 2" xfId="6393" xr:uid="{00000000-0005-0000-0000-000093600000}"/>
    <cellStyle name="Heading 1 2 10 2 2" xfId="11412" xr:uid="{00000000-0005-0000-0000-000094600000}"/>
    <cellStyle name="Heading 1 2 10 2 3" xfId="30718" xr:uid="{00000000-0005-0000-0000-000095600000}"/>
    <cellStyle name="Heading 1 2 10 3" xfId="9966" xr:uid="{00000000-0005-0000-0000-000096600000}"/>
    <cellStyle name="Heading 1 2 10 4" xfId="30717" xr:uid="{00000000-0005-0000-0000-000097600000}"/>
    <cellStyle name="Heading 1 2 11" xfId="6394" xr:uid="{00000000-0005-0000-0000-000098600000}"/>
    <cellStyle name="Heading 1 2 11 2" xfId="6395" xr:uid="{00000000-0005-0000-0000-000099600000}"/>
    <cellStyle name="Heading 1 2 11 2 2" xfId="11413" xr:uid="{00000000-0005-0000-0000-00009A600000}"/>
    <cellStyle name="Heading 1 2 11 2 3" xfId="30720" xr:uid="{00000000-0005-0000-0000-00009B600000}"/>
    <cellStyle name="Heading 1 2 11 3" xfId="9967" xr:uid="{00000000-0005-0000-0000-00009C600000}"/>
    <cellStyle name="Heading 1 2 11 4" xfId="30719" xr:uid="{00000000-0005-0000-0000-00009D600000}"/>
    <cellStyle name="Heading 1 2 12" xfId="6396" xr:uid="{00000000-0005-0000-0000-00009E600000}"/>
    <cellStyle name="Heading 1 2 12 2" xfId="6397" xr:uid="{00000000-0005-0000-0000-00009F600000}"/>
    <cellStyle name="Heading 1 2 12 2 2" xfId="11414" xr:uid="{00000000-0005-0000-0000-0000A0600000}"/>
    <cellStyle name="Heading 1 2 12 2 3" xfId="30722" xr:uid="{00000000-0005-0000-0000-0000A1600000}"/>
    <cellStyle name="Heading 1 2 12 3" xfId="9968" xr:uid="{00000000-0005-0000-0000-0000A2600000}"/>
    <cellStyle name="Heading 1 2 12 4" xfId="30721" xr:uid="{00000000-0005-0000-0000-0000A3600000}"/>
    <cellStyle name="Heading 1 2 13" xfId="6398" xr:uid="{00000000-0005-0000-0000-0000A4600000}"/>
    <cellStyle name="Heading 1 2 13 2" xfId="6399" xr:uid="{00000000-0005-0000-0000-0000A5600000}"/>
    <cellStyle name="Heading 1 2 13 2 2" xfId="15668" xr:uid="{00000000-0005-0000-0000-0000A6600000}"/>
    <cellStyle name="Heading 1 2 13 2 3" xfId="30724" xr:uid="{00000000-0005-0000-0000-0000A7600000}"/>
    <cellStyle name="Heading 1 2 13 3" xfId="9969" xr:uid="{00000000-0005-0000-0000-0000A8600000}"/>
    <cellStyle name="Heading 1 2 13 4" xfId="30723" xr:uid="{00000000-0005-0000-0000-0000A9600000}"/>
    <cellStyle name="Heading 1 2 14" xfId="6400" xr:uid="{00000000-0005-0000-0000-0000AA600000}"/>
    <cellStyle name="Heading 1 2 14 2" xfId="6401" xr:uid="{00000000-0005-0000-0000-0000AB600000}"/>
    <cellStyle name="Heading 1 2 14 2 2" xfId="15669" xr:uid="{00000000-0005-0000-0000-0000AC600000}"/>
    <cellStyle name="Heading 1 2 14 2 3" xfId="30726" xr:uid="{00000000-0005-0000-0000-0000AD600000}"/>
    <cellStyle name="Heading 1 2 14 3" xfId="10490" xr:uid="{00000000-0005-0000-0000-0000AE600000}"/>
    <cellStyle name="Heading 1 2 14 4" xfId="30725" xr:uid="{00000000-0005-0000-0000-0000AF600000}"/>
    <cellStyle name="Heading 1 2 15" xfId="6402" xr:uid="{00000000-0005-0000-0000-0000B0600000}"/>
    <cellStyle name="Heading 1 2 15 2" xfId="11411" xr:uid="{00000000-0005-0000-0000-0000B1600000}"/>
    <cellStyle name="Heading 1 2 15 3" xfId="30727" xr:uid="{00000000-0005-0000-0000-0000B2600000}"/>
    <cellStyle name="Heading 1 2 16" xfId="8664" xr:uid="{00000000-0005-0000-0000-0000B3600000}"/>
    <cellStyle name="Heading 1 2 16 2" xfId="9965" xr:uid="{00000000-0005-0000-0000-0000B4600000}"/>
    <cellStyle name="Heading 1 2 17" xfId="17303" xr:uid="{00000000-0005-0000-0000-0000B5600000}"/>
    <cellStyle name="Heading 1 2 18" xfId="30716" xr:uid="{00000000-0005-0000-0000-0000B6600000}"/>
    <cellStyle name="Heading 1 2 19" xfId="33045" xr:uid="{00000000-0005-0000-0000-0000B7600000}"/>
    <cellStyle name="Heading 1 2 2" xfId="6403" xr:uid="{00000000-0005-0000-0000-0000B8600000}"/>
    <cellStyle name="Heading 1 2 2 2" xfId="6404" xr:uid="{00000000-0005-0000-0000-0000B9600000}"/>
    <cellStyle name="Heading 1 2 2 2 2" xfId="6405" xr:uid="{00000000-0005-0000-0000-0000BA600000}"/>
    <cellStyle name="Heading 1 2 2 2 2 2" xfId="11415" xr:uid="{00000000-0005-0000-0000-0000BB600000}"/>
    <cellStyle name="Heading 1 2 2 2 2 3" xfId="30730" xr:uid="{00000000-0005-0000-0000-0000BC600000}"/>
    <cellStyle name="Heading 1 2 2 2 3" xfId="9971" xr:uid="{00000000-0005-0000-0000-0000BD600000}"/>
    <cellStyle name="Heading 1 2 2 2 4" xfId="30729" xr:uid="{00000000-0005-0000-0000-0000BE600000}"/>
    <cellStyle name="Heading 1 2 2 3" xfId="6406" xr:uid="{00000000-0005-0000-0000-0000BF600000}"/>
    <cellStyle name="Heading 1 2 2 3 2" xfId="6407" xr:uid="{00000000-0005-0000-0000-0000C0600000}"/>
    <cellStyle name="Heading 1 2 2 3 2 2" xfId="15670" xr:uid="{00000000-0005-0000-0000-0000C1600000}"/>
    <cellStyle name="Heading 1 2 2 3 2 3" xfId="30732" xr:uid="{00000000-0005-0000-0000-0000C2600000}"/>
    <cellStyle name="Heading 1 2 2 3 3" xfId="11664" xr:uid="{00000000-0005-0000-0000-0000C3600000}"/>
    <cellStyle name="Heading 1 2 2 3 4" xfId="30731" xr:uid="{00000000-0005-0000-0000-0000C4600000}"/>
    <cellStyle name="Heading 1 2 2 4" xfId="6408" xr:uid="{00000000-0005-0000-0000-0000C5600000}"/>
    <cellStyle name="Heading 1 2 2 4 2" xfId="12089" xr:uid="{00000000-0005-0000-0000-0000C6600000}"/>
    <cellStyle name="Heading 1 2 2 4 3" xfId="30733" xr:uid="{00000000-0005-0000-0000-0000C7600000}"/>
    <cellStyle name="Heading 1 2 2 5" xfId="6409" xr:uid="{00000000-0005-0000-0000-0000C8600000}"/>
    <cellStyle name="Heading 1 2 2 5 2" xfId="9970" xr:uid="{00000000-0005-0000-0000-0000C9600000}"/>
    <cellStyle name="Heading 1 2 2 5 3" xfId="30734" xr:uid="{00000000-0005-0000-0000-0000CA600000}"/>
    <cellStyle name="Heading 1 2 2 6" xfId="8693" xr:uid="{00000000-0005-0000-0000-0000CB600000}"/>
    <cellStyle name="Heading 1 2 2 7" xfId="30728" xr:uid="{00000000-0005-0000-0000-0000CC600000}"/>
    <cellStyle name="Heading 1 2 3" xfId="6410" xr:uid="{00000000-0005-0000-0000-0000CD600000}"/>
    <cellStyle name="Heading 1 2 3 2" xfId="6411" xr:uid="{00000000-0005-0000-0000-0000CE600000}"/>
    <cellStyle name="Heading 1 2 3 2 2" xfId="9973" xr:uid="{00000000-0005-0000-0000-0000CF600000}"/>
    <cellStyle name="Heading 1 2 3 2 3" xfId="30736" xr:uid="{00000000-0005-0000-0000-0000D0600000}"/>
    <cellStyle name="Heading 1 2 3 3" xfId="6412" xr:uid="{00000000-0005-0000-0000-0000D1600000}"/>
    <cellStyle name="Heading 1 2 3 3 2" xfId="11416" xr:uid="{00000000-0005-0000-0000-0000D2600000}"/>
    <cellStyle name="Heading 1 2 3 3 3" xfId="30737" xr:uid="{00000000-0005-0000-0000-0000D3600000}"/>
    <cellStyle name="Heading 1 2 3 4" xfId="6413" xr:uid="{00000000-0005-0000-0000-0000D4600000}"/>
    <cellStyle name="Heading 1 2 3 4 2" xfId="17340" xr:uid="{00000000-0005-0000-0000-0000D5600000}"/>
    <cellStyle name="Heading 1 2 3 4 3" xfId="30738" xr:uid="{00000000-0005-0000-0000-0000D6600000}"/>
    <cellStyle name="Heading 1 2 3 5" xfId="8725" xr:uid="{00000000-0005-0000-0000-0000D7600000}"/>
    <cellStyle name="Heading 1 2 3 6" xfId="9972" xr:uid="{00000000-0005-0000-0000-0000D8600000}"/>
    <cellStyle name="Heading 1 2 3 7" xfId="30735" xr:uid="{00000000-0005-0000-0000-0000D9600000}"/>
    <cellStyle name="Heading 1 2 4" xfId="6414" xr:uid="{00000000-0005-0000-0000-0000DA600000}"/>
    <cellStyle name="Heading 1 2 4 2" xfId="6415" xr:uid="{00000000-0005-0000-0000-0000DB600000}"/>
    <cellStyle name="Heading 1 2 4 2 2" xfId="9975" xr:uid="{00000000-0005-0000-0000-0000DC600000}"/>
    <cellStyle name="Heading 1 2 4 2 3" xfId="30740" xr:uid="{00000000-0005-0000-0000-0000DD600000}"/>
    <cellStyle name="Heading 1 2 4 3" xfId="6416" xr:uid="{00000000-0005-0000-0000-0000DE600000}"/>
    <cellStyle name="Heading 1 2 4 3 2" xfId="13213" xr:uid="{00000000-0005-0000-0000-0000DF600000}"/>
    <cellStyle name="Heading 1 2 4 3 3" xfId="30741" xr:uid="{00000000-0005-0000-0000-0000E0600000}"/>
    <cellStyle name="Heading 1 2 4 4" xfId="6417" xr:uid="{00000000-0005-0000-0000-0000E1600000}"/>
    <cellStyle name="Heading 1 2 4 4 2" xfId="13212" xr:uid="{00000000-0005-0000-0000-0000E2600000}"/>
    <cellStyle name="Heading 1 2 4 4 3" xfId="30742" xr:uid="{00000000-0005-0000-0000-0000E3600000}"/>
    <cellStyle name="Heading 1 2 4 5" xfId="9974" xr:uid="{00000000-0005-0000-0000-0000E4600000}"/>
    <cellStyle name="Heading 1 2 4 6" xfId="30739" xr:uid="{00000000-0005-0000-0000-0000E5600000}"/>
    <cellStyle name="Heading 1 2 5" xfId="6418" xr:uid="{00000000-0005-0000-0000-0000E6600000}"/>
    <cellStyle name="Heading 1 2 5 2" xfId="6419" xr:uid="{00000000-0005-0000-0000-0000E7600000}"/>
    <cellStyle name="Heading 1 2 5 2 2" xfId="13215" xr:uid="{00000000-0005-0000-0000-0000E8600000}"/>
    <cellStyle name="Heading 1 2 5 2 3" xfId="30744" xr:uid="{00000000-0005-0000-0000-0000E9600000}"/>
    <cellStyle name="Heading 1 2 5 3" xfId="6420" xr:uid="{00000000-0005-0000-0000-0000EA600000}"/>
    <cellStyle name="Heading 1 2 5 3 2" xfId="13214" xr:uid="{00000000-0005-0000-0000-0000EB600000}"/>
    <cellStyle name="Heading 1 2 5 3 3" xfId="30745" xr:uid="{00000000-0005-0000-0000-0000EC600000}"/>
    <cellStyle name="Heading 1 2 5 4" xfId="6421" xr:uid="{00000000-0005-0000-0000-0000ED600000}"/>
    <cellStyle name="Heading 1 2 5 4 2" xfId="15671" xr:uid="{00000000-0005-0000-0000-0000EE600000}"/>
    <cellStyle name="Heading 1 2 5 4 3" xfId="30746" xr:uid="{00000000-0005-0000-0000-0000EF600000}"/>
    <cellStyle name="Heading 1 2 5 5" xfId="9976" xr:uid="{00000000-0005-0000-0000-0000F0600000}"/>
    <cellStyle name="Heading 1 2 5 6" xfId="30743" xr:uid="{00000000-0005-0000-0000-0000F1600000}"/>
    <cellStyle name="Heading 1 2 6" xfId="6422" xr:uid="{00000000-0005-0000-0000-0000F2600000}"/>
    <cellStyle name="Heading 1 2 6 2" xfId="6423" xr:uid="{00000000-0005-0000-0000-0000F3600000}"/>
    <cellStyle name="Heading 1 2 6 2 2" xfId="6424" xr:uid="{00000000-0005-0000-0000-0000F4600000}"/>
    <cellStyle name="Heading 1 2 6 2 2 2" xfId="11418" xr:uid="{00000000-0005-0000-0000-0000F5600000}"/>
    <cellStyle name="Heading 1 2 6 2 2 3" xfId="30749" xr:uid="{00000000-0005-0000-0000-0000F6600000}"/>
    <cellStyle name="Heading 1 2 6 2 3" xfId="9978" xr:uid="{00000000-0005-0000-0000-0000F7600000}"/>
    <cellStyle name="Heading 1 2 6 2 4" xfId="30748" xr:uid="{00000000-0005-0000-0000-0000F8600000}"/>
    <cellStyle name="Heading 1 2 6 3" xfId="6425" xr:uid="{00000000-0005-0000-0000-0000F9600000}"/>
    <cellStyle name="Heading 1 2 6 3 2" xfId="11417" xr:uid="{00000000-0005-0000-0000-0000FA600000}"/>
    <cellStyle name="Heading 1 2 6 3 3" xfId="30750" xr:uid="{00000000-0005-0000-0000-0000FB600000}"/>
    <cellStyle name="Heading 1 2 6 4" xfId="9977" xr:uid="{00000000-0005-0000-0000-0000FC600000}"/>
    <cellStyle name="Heading 1 2 6 5" xfId="30747" xr:uid="{00000000-0005-0000-0000-0000FD600000}"/>
    <cellStyle name="Heading 1 2 7" xfId="6426" xr:uid="{00000000-0005-0000-0000-0000FE600000}"/>
    <cellStyle name="Heading 1 2 7 2" xfId="6427" xr:uid="{00000000-0005-0000-0000-0000FF600000}"/>
    <cellStyle name="Heading 1 2 7 2 2" xfId="6428" xr:uid="{00000000-0005-0000-0000-000000610000}"/>
    <cellStyle name="Heading 1 2 7 2 2 2" xfId="11420" xr:uid="{00000000-0005-0000-0000-000001610000}"/>
    <cellStyle name="Heading 1 2 7 2 2 3" xfId="30753" xr:uid="{00000000-0005-0000-0000-000002610000}"/>
    <cellStyle name="Heading 1 2 7 2 3" xfId="9980" xr:uid="{00000000-0005-0000-0000-000003610000}"/>
    <cellStyle name="Heading 1 2 7 2 4" xfId="30752" xr:uid="{00000000-0005-0000-0000-000004610000}"/>
    <cellStyle name="Heading 1 2 7 3" xfId="6429" xr:uid="{00000000-0005-0000-0000-000005610000}"/>
    <cellStyle name="Heading 1 2 7 3 2" xfId="11419" xr:uid="{00000000-0005-0000-0000-000006610000}"/>
    <cellStyle name="Heading 1 2 7 3 3" xfId="30754" xr:uid="{00000000-0005-0000-0000-000007610000}"/>
    <cellStyle name="Heading 1 2 7 4" xfId="9979" xr:uid="{00000000-0005-0000-0000-000008610000}"/>
    <cellStyle name="Heading 1 2 7 5" xfId="30751" xr:uid="{00000000-0005-0000-0000-000009610000}"/>
    <cellStyle name="Heading 1 2 8" xfId="6430" xr:uid="{00000000-0005-0000-0000-00000A610000}"/>
    <cellStyle name="Heading 1 2 8 2" xfId="6431" xr:uid="{00000000-0005-0000-0000-00000B610000}"/>
    <cellStyle name="Heading 1 2 8 2 2" xfId="11421" xr:uid="{00000000-0005-0000-0000-00000C610000}"/>
    <cellStyle name="Heading 1 2 8 2 3" xfId="30756" xr:uid="{00000000-0005-0000-0000-00000D610000}"/>
    <cellStyle name="Heading 1 2 8 3" xfId="9981" xr:uid="{00000000-0005-0000-0000-00000E610000}"/>
    <cellStyle name="Heading 1 2 8 4" xfId="30755" xr:uid="{00000000-0005-0000-0000-00000F610000}"/>
    <cellStyle name="Heading 1 2 9" xfId="6432" xr:uid="{00000000-0005-0000-0000-000010610000}"/>
    <cellStyle name="Heading 1 2 9 2" xfId="6433" xr:uid="{00000000-0005-0000-0000-000011610000}"/>
    <cellStyle name="Heading 1 2 9 2 2" xfId="11422" xr:uid="{00000000-0005-0000-0000-000012610000}"/>
    <cellStyle name="Heading 1 2 9 2 3" xfId="30758" xr:uid="{00000000-0005-0000-0000-000013610000}"/>
    <cellStyle name="Heading 1 2 9 3" xfId="9982" xr:uid="{00000000-0005-0000-0000-000014610000}"/>
    <cellStyle name="Heading 1 2 9 4" xfId="30757" xr:uid="{00000000-0005-0000-0000-000015610000}"/>
    <cellStyle name="Heading 1 3" xfId="6434" xr:uid="{00000000-0005-0000-0000-000016610000}"/>
    <cellStyle name="Heading 1 3 2" xfId="8672" xr:uid="{00000000-0005-0000-0000-000017610000}"/>
    <cellStyle name="Heading 1 3 3" xfId="30759" xr:uid="{00000000-0005-0000-0000-000018610000}"/>
    <cellStyle name="Heading 1 3 4" xfId="33090" xr:uid="{00000000-0005-0000-0000-000019610000}"/>
    <cellStyle name="Heading 1 4" xfId="6435" xr:uid="{00000000-0005-0000-0000-00001A610000}"/>
    <cellStyle name="Heading 1 4 2" xfId="9983" xr:uid="{00000000-0005-0000-0000-00001B610000}"/>
    <cellStyle name="Heading 1 4 3" xfId="30760" xr:uid="{00000000-0005-0000-0000-00001C610000}"/>
    <cellStyle name="Heading 1 5" xfId="6436" xr:uid="{00000000-0005-0000-0000-00001D610000}"/>
    <cellStyle name="Heading 1 5 2" xfId="9984" xr:uid="{00000000-0005-0000-0000-00001E610000}"/>
    <cellStyle name="Heading 1 5 3" xfId="30761" xr:uid="{00000000-0005-0000-0000-00001F610000}"/>
    <cellStyle name="Heading 1 6" xfId="6437" xr:uid="{00000000-0005-0000-0000-000020610000}"/>
    <cellStyle name="Heading 1 6 2" xfId="9985" xr:uid="{00000000-0005-0000-0000-000021610000}"/>
    <cellStyle name="Heading 1 6 3" xfId="30762" xr:uid="{00000000-0005-0000-0000-000022610000}"/>
    <cellStyle name="Heading 1 7" xfId="6438" xr:uid="{00000000-0005-0000-0000-000023610000}"/>
    <cellStyle name="Heading 1 7 2" xfId="9986" xr:uid="{00000000-0005-0000-0000-000024610000}"/>
    <cellStyle name="Heading 1 7 3" xfId="30763" xr:uid="{00000000-0005-0000-0000-000025610000}"/>
    <cellStyle name="Heading 1 8" xfId="9964" xr:uid="{00000000-0005-0000-0000-000026610000}"/>
    <cellStyle name="Heading 2" xfId="16" builtinId="17" customBuiltin="1"/>
    <cellStyle name="Heading 2 2" xfId="6439" xr:uid="{00000000-0005-0000-0000-000028610000}"/>
    <cellStyle name="Heading 2 2 10" xfId="6440" xr:uid="{00000000-0005-0000-0000-000029610000}"/>
    <cellStyle name="Heading 2 2 10 2" xfId="6441" xr:uid="{00000000-0005-0000-0000-00002A610000}"/>
    <cellStyle name="Heading 2 2 10 2 2" xfId="11424" xr:uid="{00000000-0005-0000-0000-00002B610000}"/>
    <cellStyle name="Heading 2 2 10 2 3" xfId="30766" xr:uid="{00000000-0005-0000-0000-00002C610000}"/>
    <cellStyle name="Heading 2 2 10 3" xfId="9989" xr:uid="{00000000-0005-0000-0000-00002D610000}"/>
    <cellStyle name="Heading 2 2 10 4" xfId="30765" xr:uid="{00000000-0005-0000-0000-00002E610000}"/>
    <cellStyle name="Heading 2 2 11" xfId="6442" xr:uid="{00000000-0005-0000-0000-00002F610000}"/>
    <cellStyle name="Heading 2 2 11 2" xfId="6443" xr:uid="{00000000-0005-0000-0000-000030610000}"/>
    <cellStyle name="Heading 2 2 11 2 2" xfId="11425" xr:uid="{00000000-0005-0000-0000-000031610000}"/>
    <cellStyle name="Heading 2 2 11 2 3" xfId="30768" xr:uid="{00000000-0005-0000-0000-000032610000}"/>
    <cellStyle name="Heading 2 2 11 3" xfId="9990" xr:uid="{00000000-0005-0000-0000-000033610000}"/>
    <cellStyle name="Heading 2 2 11 4" xfId="30767" xr:uid="{00000000-0005-0000-0000-000034610000}"/>
    <cellStyle name="Heading 2 2 12" xfId="6444" xr:uid="{00000000-0005-0000-0000-000035610000}"/>
    <cellStyle name="Heading 2 2 12 2" xfId="6445" xr:uid="{00000000-0005-0000-0000-000036610000}"/>
    <cellStyle name="Heading 2 2 12 2 2" xfId="11426" xr:uid="{00000000-0005-0000-0000-000037610000}"/>
    <cellStyle name="Heading 2 2 12 2 3" xfId="30770" xr:uid="{00000000-0005-0000-0000-000038610000}"/>
    <cellStyle name="Heading 2 2 12 3" xfId="9991" xr:uid="{00000000-0005-0000-0000-000039610000}"/>
    <cellStyle name="Heading 2 2 12 4" xfId="30769" xr:uid="{00000000-0005-0000-0000-00003A610000}"/>
    <cellStyle name="Heading 2 2 13" xfId="6446" xr:uid="{00000000-0005-0000-0000-00003B610000}"/>
    <cellStyle name="Heading 2 2 13 2" xfId="6447" xr:uid="{00000000-0005-0000-0000-00003C610000}"/>
    <cellStyle name="Heading 2 2 13 2 2" xfId="15672" xr:uid="{00000000-0005-0000-0000-00003D610000}"/>
    <cellStyle name="Heading 2 2 13 2 3" xfId="30772" xr:uid="{00000000-0005-0000-0000-00003E610000}"/>
    <cellStyle name="Heading 2 2 13 3" xfId="9992" xr:uid="{00000000-0005-0000-0000-00003F610000}"/>
    <cellStyle name="Heading 2 2 13 4" xfId="30771" xr:uid="{00000000-0005-0000-0000-000040610000}"/>
    <cellStyle name="Heading 2 2 14" xfId="6448" xr:uid="{00000000-0005-0000-0000-000041610000}"/>
    <cellStyle name="Heading 2 2 14 2" xfId="6449" xr:uid="{00000000-0005-0000-0000-000042610000}"/>
    <cellStyle name="Heading 2 2 14 2 2" xfId="15673" xr:uid="{00000000-0005-0000-0000-000043610000}"/>
    <cellStyle name="Heading 2 2 14 2 3" xfId="30774" xr:uid="{00000000-0005-0000-0000-000044610000}"/>
    <cellStyle name="Heading 2 2 14 3" xfId="10491" xr:uid="{00000000-0005-0000-0000-000045610000}"/>
    <cellStyle name="Heading 2 2 14 4" xfId="30773" xr:uid="{00000000-0005-0000-0000-000046610000}"/>
    <cellStyle name="Heading 2 2 15" xfId="6450" xr:uid="{00000000-0005-0000-0000-000047610000}"/>
    <cellStyle name="Heading 2 2 15 2" xfId="11423" xr:uid="{00000000-0005-0000-0000-000048610000}"/>
    <cellStyle name="Heading 2 2 15 3" xfId="30775" xr:uid="{00000000-0005-0000-0000-000049610000}"/>
    <cellStyle name="Heading 2 2 16" xfId="8665" xr:uid="{00000000-0005-0000-0000-00004A610000}"/>
    <cellStyle name="Heading 2 2 16 2" xfId="9988" xr:uid="{00000000-0005-0000-0000-00004B610000}"/>
    <cellStyle name="Heading 2 2 17" xfId="17304" xr:uid="{00000000-0005-0000-0000-00004C610000}"/>
    <cellStyle name="Heading 2 2 18" xfId="30764" xr:uid="{00000000-0005-0000-0000-00004D610000}"/>
    <cellStyle name="Heading 2 2 19" xfId="33046" xr:uid="{00000000-0005-0000-0000-00004E610000}"/>
    <cellStyle name="Heading 2 2 2" xfId="6451" xr:uid="{00000000-0005-0000-0000-00004F610000}"/>
    <cellStyle name="Heading 2 2 2 2" xfId="6452" xr:uid="{00000000-0005-0000-0000-000050610000}"/>
    <cellStyle name="Heading 2 2 2 2 2" xfId="6453" xr:uid="{00000000-0005-0000-0000-000051610000}"/>
    <cellStyle name="Heading 2 2 2 2 2 2" xfId="11427" xr:uid="{00000000-0005-0000-0000-000052610000}"/>
    <cellStyle name="Heading 2 2 2 2 2 3" xfId="30778" xr:uid="{00000000-0005-0000-0000-000053610000}"/>
    <cellStyle name="Heading 2 2 2 2 3" xfId="9994" xr:uid="{00000000-0005-0000-0000-000054610000}"/>
    <cellStyle name="Heading 2 2 2 2 4" xfId="30777" xr:uid="{00000000-0005-0000-0000-000055610000}"/>
    <cellStyle name="Heading 2 2 2 3" xfId="6454" xr:uid="{00000000-0005-0000-0000-000056610000}"/>
    <cellStyle name="Heading 2 2 2 3 2" xfId="6455" xr:uid="{00000000-0005-0000-0000-000057610000}"/>
    <cellStyle name="Heading 2 2 2 3 2 2" xfId="15674" xr:uid="{00000000-0005-0000-0000-000058610000}"/>
    <cellStyle name="Heading 2 2 2 3 2 3" xfId="30780" xr:uid="{00000000-0005-0000-0000-000059610000}"/>
    <cellStyle name="Heading 2 2 2 3 3" xfId="11727" xr:uid="{00000000-0005-0000-0000-00005A610000}"/>
    <cellStyle name="Heading 2 2 2 3 4" xfId="30779" xr:uid="{00000000-0005-0000-0000-00005B610000}"/>
    <cellStyle name="Heading 2 2 2 4" xfId="6456" xr:uid="{00000000-0005-0000-0000-00005C610000}"/>
    <cellStyle name="Heading 2 2 2 4 2" xfId="12103" xr:uid="{00000000-0005-0000-0000-00005D610000}"/>
    <cellStyle name="Heading 2 2 2 4 3" xfId="30781" xr:uid="{00000000-0005-0000-0000-00005E610000}"/>
    <cellStyle name="Heading 2 2 2 5" xfId="6457" xr:uid="{00000000-0005-0000-0000-00005F610000}"/>
    <cellStyle name="Heading 2 2 2 5 2" xfId="9993" xr:uid="{00000000-0005-0000-0000-000060610000}"/>
    <cellStyle name="Heading 2 2 2 5 3" xfId="30782" xr:uid="{00000000-0005-0000-0000-000061610000}"/>
    <cellStyle name="Heading 2 2 2 6" xfId="8694" xr:uid="{00000000-0005-0000-0000-000062610000}"/>
    <cellStyle name="Heading 2 2 2 7" xfId="30776" xr:uid="{00000000-0005-0000-0000-000063610000}"/>
    <cellStyle name="Heading 2 2 3" xfId="6458" xr:uid="{00000000-0005-0000-0000-000064610000}"/>
    <cellStyle name="Heading 2 2 3 2" xfId="6459" xr:uid="{00000000-0005-0000-0000-000065610000}"/>
    <cellStyle name="Heading 2 2 3 2 2" xfId="9996" xr:uid="{00000000-0005-0000-0000-000066610000}"/>
    <cellStyle name="Heading 2 2 3 2 3" xfId="30784" xr:uid="{00000000-0005-0000-0000-000067610000}"/>
    <cellStyle name="Heading 2 2 3 3" xfId="6460" xr:uid="{00000000-0005-0000-0000-000068610000}"/>
    <cellStyle name="Heading 2 2 3 3 2" xfId="11428" xr:uid="{00000000-0005-0000-0000-000069610000}"/>
    <cellStyle name="Heading 2 2 3 3 3" xfId="30785" xr:uid="{00000000-0005-0000-0000-00006A610000}"/>
    <cellStyle name="Heading 2 2 3 4" xfId="6461" xr:uid="{00000000-0005-0000-0000-00006B610000}"/>
    <cellStyle name="Heading 2 2 3 4 2" xfId="17341" xr:uid="{00000000-0005-0000-0000-00006C610000}"/>
    <cellStyle name="Heading 2 2 3 4 3" xfId="30786" xr:uid="{00000000-0005-0000-0000-00006D610000}"/>
    <cellStyle name="Heading 2 2 3 5" xfId="8729" xr:uid="{00000000-0005-0000-0000-00006E610000}"/>
    <cellStyle name="Heading 2 2 3 6" xfId="9995" xr:uid="{00000000-0005-0000-0000-00006F610000}"/>
    <cellStyle name="Heading 2 2 3 7" xfId="30783" xr:uid="{00000000-0005-0000-0000-000070610000}"/>
    <cellStyle name="Heading 2 2 4" xfId="6462" xr:uid="{00000000-0005-0000-0000-000071610000}"/>
    <cellStyle name="Heading 2 2 4 2" xfId="6463" xr:uid="{00000000-0005-0000-0000-000072610000}"/>
    <cellStyle name="Heading 2 2 4 2 2" xfId="9998" xr:uid="{00000000-0005-0000-0000-000073610000}"/>
    <cellStyle name="Heading 2 2 4 2 3" xfId="30788" xr:uid="{00000000-0005-0000-0000-000074610000}"/>
    <cellStyle name="Heading 2 2 4 3" xfId="6464" xr:uid="{00000000-0005-0000-0000-000075610000}"/>
    <cellStyle name="Heading 2 2 4 3 2" xfId="13217" xr:uid="{00000000-0005-0000-0000-000076610000}"/>
    <cellStyle name="Heading 2 2 4 3 3" xfId="30789" xr:uid="{00000000-0005-0000-0000-000077610000}"/>
    <cellStyle name="Heading 2 2 4 4" xfId="6465" xr:uid="{00000000-0005-0000-0000-000078610000}"/>
    <cellStyle name="Heading 2 2 4 4 2" xfId="13216" xr:uid="{00000000-0005-0000-0000-000079610000}"/>
    <cellStyle name="Heading 2 2 4 4 3" xfId="30790" xr:uid="{00000000-0005-0000-0000-00007A610000}"/>
    <cellStyle name="Heading 2 2 4 5" xfId="9997" xr:uid="{00000000-0005-0000-0000-00007B610000}"/>
    <cellStyle name="Heading 2 2 4 6" xfId="30787" xr:uid="{00000000-0005-0000-0000-00007C610000}"/>
    <cellStyle name="Heading 2 2 5" xfId="6466" xr:uid="{00000000-0005-0000-0000-00007D610000}"/>
    <cellStyle name="Heading 2 2 5 2" xfId="6467" xr:uid="{00000000-0005-0000-0000-00007E610000}"/>
    <cellStyle name="Heading 2 2 5 2 2" xfId="13219" xr:uid="{00000000-0005-0000-0000-00007F610000}"/>
    <cellStyle name="Heading 2 2 5 2 3" xfId="30792" xr:uid="{00000000-0005-0000-0000-000080610000}"/>
    <cellStyle name="Heading 2 2 5 3" xfId="6468" xr:uid="{00000000-0005-0000-0000-000081610000}"/>
    <cellStyle name="Heading 2 2 5 3 2" xfId="13218" xr:uid="{00000000-0005-0000-0000-000082610000}"/>
    <cellStyle name="Heading 2 2 5 3 3" xfId="30793" xr:uid="{00000000-0005-0000-0000-000083610000}"/>
    <cellStyle name="Heading 2 2 5 4" xfId="6469" xr:uid="{00000000-0005-0000-0000-000084610000}"/>
    <cellStyle name="Heading 2 2 5 4 2" xfId="15675" xr:uid="{00000000-0005-0000-0000-000085610000}"/>
    <cellStyle name="Heading 2 2 5 4 3" xfId="30794" xr:uid="{00000000-0005-0000-0000-000086610000}"/>
    <cellStyle name="Heading 2 2 5 5" xfId="9999" xr:uid="{00000000-0005-0000-0000-000087610000}"/>
    <cellStyle name="Heading 2 2 5 6" xfId="30791" xr:uid="{00000000-0005-0000-0000-000088610000}"/>
    <cellStyle name="Heading 2 2 6" xfId="6470" xr:uid="{00000000-0005-0000-0000-000089610000}"/>
    <cellStyle name="Heading 2 2 6 2" xfId="6471" xr:uid="{00000000-0005-0000-0000-00008A610000}"/>
    <cellStyle name="Heading 2 2 6 2 2" xfId="6472" xr:uid="{00000000-0005-0000-0000-00008B610000}"/>
    <cellStyle name="Heading 2 2 6 2 2 2" xfId="11430" xr:uid="{00000000-0005-0000-0000-00008C610000}"/>
    <cellStyle name="Heading 2 2 6 2 2 3" xfId="30797" xr:uid="{00000000-0005-0000-0000-00008D610000}"/>
    <cellStyle name="Heading 2 2 6 2 3" xfId="10001" xr:uid="{00000000-0005-0000-0000-00008E610000}"/>
    <cellStyle name="Heading 2 2 6 2 4" xfId="30796" xr:uid="{00000000-0005-0000-0000-00008F610000}"/>
    <cellStyle name="Heading 2 2 6 3" xfId="6473" xr:uid="{00000000-0005-0000-0000-000090610000}"/>
    <cellStyle name="Heading 2 2 6 3 2" xfId="11429" xr:uid="{00000000-0005-0000-0000-000091610000}"/>
    <cellStyle name="Heading 2 2 6 3 3" xfId="30798" xr:uid="{00000000-0005-0000-0000-000092610000}"/>
    <cellStyle name="Heading 2 2 6 4" xfId="10000" xr:uid="{00000000-0005-0000-0000-000093610000}"/>
    <cellStyle name="Heading 2 2 6 5" xfId="30795" xr:uid="{00000000-0005-0000-0000-000094610000}"/>
    <cellStyle name="Heading 2 2 7" xfId="6474" xr:uid="{00000000-0005-0000-0000-000095610000}"/>
    <cellStyle name="Heading 2 2 7 2" xfId="6475" xr:uid="{00000000-0005-0000-0000-000096610000}"/>
    <cellStyle name="Heading 2 2 7 2 2" xfId="6476" xr:uid="{00000000-0005-0000-0000-000097610000}"/>
    <cellStyle name="Heading 2 2 7 2 2 2" xfId="11432" xr:uid="{00000000-0005-0000-0000-000098610000}"/>
    <cellStyle name="Heading 2 2 7 2 2 3" xfId="30801" xr:uid="{00000000-0005-0000-0000-000099610000}"/>
    <cellStyle name="Heading 2 2 7 2 3" xfId="10003" xr:uid="{00000000-0005-0000-0000-00009A610000}"/>
    <cellStyle name="Heading 2 2 7 2 4" xfId="30800" xr:uid="{00000000-0005-0000-0000-00009B610000}"/>
    <cellStyle name="Heading 2 2 7 3" xfId="6477" xr:uid="{00000000-0005-0000-0000-00009C610000}"/>
    <cellStyle name="Heading 2 2 7 3 2" xfId="11431" xr:uid="{00000000-0005-0000-0000-00009D610000}"/>
    <cellStyle name="Heading 2 2 7 3 3" xfId="30802" xr:uid="{00000000-0005-0000-0000-00009E610000}"/>
    <cellStyle name="Heading 2 2 7 4" xfId="10002" xr:uid="{00000000-0005-0000-0000-00009F610000}"/>
    <cellStyle name="Heading 2 2 7 5" xfId="30799" xr:uid="{00000000-0005-0000-0000-0000A0610000}"/>
    <cellStyle name="Heading 2 2 8" xfId="6478" xr:uid="{00000000-0005-0000-0000-0000A1610000}"/>
    <cellStyle name="Heading 2 2 8 2" xfId="6479" xr:uid="{00000000-0005-0000-0000-0000A2610000}"/>
    <cellStyle name="Heading 2 2 8 2 2" xfId="11433" xr:uid="{00000000-0005-0000-0000-0000A3610000}"/>
    <cellStyle name="Heading 2 2 8 2 3" xfId="30804" xr:uid="{00000000-0005-0000-0000-0000A4610000}"/>
    <cellStyle name="Heading 2 2 8 3" xfId="10004" xr:uid="{00000000-0005-0000-0000-0000A5610000}"/>
    <cellStyle name="Heading 2 2 8 4" xfId="30803" xr:uid="{00000000-0005-0000-0000-0000A6610000}"/>
    <cellStyle name="Heading 2 2 9" xfId="6480" xr:uid="{00000000-0005-0000-0000-0000A7610000}"/>
    <cellStyle name="Heading 2 2 9 2" xfId="6481" xr:uid="{00000000-0005-0000-0000-0000A8610000}"/>
    <cellStyle name="Heading 2 2 9 2 2" xfId="11434" xr:uid="{00000000-0005-0000-0000-0000A9610000}"/>
    <cellStyle name="Heading 2 2 9 2 3" xfId="30806" xr:uid="{00000000-0005-0000-0000-0000AA610000}"/>
    <cellStyle name="Heading 2 2 9 3" xfId="10005" xr:uid="{00000000-0005-0000-0000-0000AB610000}"/>
    <cellStyle name="Heading 2 2 9 4" xfId="30805" xr:uid="{00000000-0005-0000-0000-0000AC610000}"/>
    <cellStyle name="Heading 2 3" xfId="6482" xr:uid="{00000000-0005-0000-0000-0000AD610000}"/>
    <cellStyle name="Heading 2 3 2" xfId="8673" xr:uid="{00000000-0005-0000-0000-0000AE610000}"/>
    <cellStyle name="Heading 2 3 3" xfId="30807" xr:uid="{00000000-0005-0000-0000-0000AF610000}"/>
    <cellStyle name="Heading 2 3 4" xfId="33091" xr:uid="{00000000-0005-0000-0000-0000B0610000}"/>
    <cellStyle name="Heading 2 4" xfId="6483" xr:uid="{00000000-0005-0000-0000-0000B1610000}"/>
    <cellStyle name="Heading 2 4 2" xfId="10006" xr:uid="{00000000-0005-0000-0000-0000B2610000}"/>
    <cellStyle name="Heading 2 4 3" xfId="30808" xr:uid="{00000000-0005-0000-0000-0000B3610000}"/>
    <cellStyle name="Heading 2 5" xfId="6484" xr:uid="{00000000-0005-0000-0000-0000B4610000}"/>
    <cellStyle name="Heading 2 5 2" xfId="10007" xr:uid="{00000000-0005-0000-0000-0000B5610000}"/>
    <cellStyle name="Heading 2 5 3" xfId="30809" xr:uid="{00000000-0005-0000-0000-0000B6610000}"/>
    <cellStyle name="Heading 2 6" xfId="6485" xr:uid="{00000000-0005-0000-0000-0000B7610000}"/>
    <cellStyle name="Heading 2 6 2" xfId="10008" xr:uid="{00000000-0005-0000-0000-0000B8610000}"/>
    <cellStyle name="Heading 2 6 3" xfId="30810" xr:uid="{00000000-0005-0000-0000-0000B9610000}"/>
    <cellStyle name="Heading 2 7" xfId="6486" xr:uid="{00000000-0005-0000-0000-0000BA610000}"/>
    <cellStyle name="Heading 2 7 2" xfId="10009" xr:uid="{00000000-0005-0000-0000-0000BB610000}"/>
    <cellStyle name="Heading 2 7 3" xfId="30811" xr:uid="{00000000-0005-0000-0000-0000BC610000}"/>
    <cellStyle name="Heading 2 8" xfId="9987" xr:uid="{00000000-0005-0000-0000-0000BD610000}"/>
    <cellStyle name="Heading 3" xfId="17" builtinId="18" customBuiltin="1"/>
    <cellStyle name="Heading 3 10" xfId="6487" xr:uid="{00000000-0005-0000-0000-0000BF610000}"/>
    <cellStyle name="Heading 3 10 2" xfId="6488" xr:uid="{00000000-0005-0000-0000-0000C0610000}"/>
    <cellStyle name="Heading 3 10 2 2" xfId="11436" xr:uid="{00000000-0005-0000-0000-0000C1610000}"/>
    <cellStyle name="Heading 3 10 2 3" xfId="30813" xr:uid="{00000000-0005-0000-0000-0000C2610000}"/>
    <cellStyle name="Heading 3 10 3" xfId="10011" xr:uid="{00000000-0005-0000-0000-0000C3610000}"/>
    <cellStyle name="Heading 3 10 4" xfId="30812" xr:uid="{00000000-0005-0000-0000-0000C4610000}"/>
    <cellStyle name="Heading 3 11" xfId="6489" xr:uid="{00000000-0005-0000-0000-0000C5610000}"/>
    <cellStyle name="Heading 3 11 2" xfId="6490" xr:uid="{00000000-0005-0000-0000-0000C6610000}"/>
    <cellStyle name="Heading 3 11 2 2" xfId="11437" xr:uid="{00000000-0005-0000-0000-0000C7610000}"/>
    <cellStyle name="Heading 3 11 2 3" xfId="30815" xr:uid="{00000000-0005-0000-0000-0000C8610000}"/>
    <cellStyle name="Heading 3 11 3" xfId="10012" xr:uid="{00000000-0005-0000-0000-0000C9610000}"/>
    <cellStyle name="Heading 3 11 4" xfId="30814" xr:uid="{00000000-0005-0000-0000-0000CA610000}"/>
    <cellStyle name="Heading 3 12" xfId="6491" xr:uid="{00000000-0005-0000-0000-0000CB610000}"/>
    <cellStyle name="Heading 3 12 2" xfId="6492" xr:uid="{00000000-0005-0000-0000-0000CC610000}"/>
    <cellStyle name="Heading 3 12 2 2" xfId="15676" xr:uid="{00000000-0005-0000-0000-0000CD610000}"/>
    <cellStyle name="Heading 3 12 2 3" xfId="30817" xr:uid="{00000000-0005-0000-0000-0000CE610000}"/>
    <cellStyle name="Heading 3 12 3" xfId="10013" xr:uid="{00000000-0005-0000-0000-0000CF610000}"/>
    <cellStyle name="Heading 3 12 4" xfId="30816" xr:uid="{00000000-0005-0000-0000-0000D0610000}"/>
    <cellStyle name="Heading 3 13" xfId="6493" xr:uid="{00000000-0005-0000-0000-0000D1610000}"/>
    <cellStyle name="Heading 3 13 2" xfId="6494" xr:uid="{00000000-0005-0000-0000-0000D2610000}"/>
    <cellStyle name="Heading 3 13 2 2" xfId="15677" xr:uid="{00000000-0005-0000-0000-0000D3610000}"/>
    <cellStyle name="Heading 3 13 2 3" xfId="30819" xr:uid="{00000000-0005-0000-0000-0000D4610000}"/>
    <cellStyle name="Heading 3 13 3" xfId="10492" xr:uid="{00000000-0005-0000-0000-0000D5610000}"/>
    <cellStyle name="Heading 3 13 4" xfId="30818" xr:uid="{00000000-0005-0000-0000-0000D6610000}"/>
    <cellStyle name="Heading 3 14" xfId="6495" xr:uid="{00000000-0005-0000-0000-0000D7610000}"/>
    <cellStyle name="Heading 3 14 2" xfId="11435" xr:uid="{00000000-0005-0000-0000-0000D8610000}"/>
    <cellStyle name="Heading 3 14 3" xfId="30820" xr:uid="{00000000-0005-0000-0000-0000D9610000}"/>
    <cellStyle name="Heading 3 15" xfId="6496" xr:uid="{00000000-0005-0000-0000-0000DA610000}"/>
    <cellStyle name="Heading 3 15 2" xfId="10010" xr:uid="{00000000-0005-0000-0000-0000DB610000}"/>
    <cellStyle name="Heading 3 15 3" xfId="30821" xr:uid="{00000000-0005-0000-0000-0000DC610000}"/>
    <cellStyle name="Heading 3 2" xfId="6497" xr:uid="{00000000-0005-0000-0000-0000DD610000}"/>
    <cellStyle name="Heading 3 2 2" xfId="6498" xr:uid="{00000000-0005-0000-0000-0000DE610000}"/>
    <cellStyle name="Heading 3 2 2 2" xfId="11694" xr:uid="{00000000-0005-0000-0000-0000DF610000}"/>
    <cellStyle name="Heading 3 2 2 3" xfId="30823" xr:uid="{00000000-0005-0000-0000-0000E0610000}"/>
    <cellStyle name="Heading 3 2 3" xfId="6499" xr:uid="{00000000-0005-0000-0000-0000E1610000}"/>
    <cellStyle name="Heading 3 2 3 2" xfId="17342" xr:uid="{00000000-0005-0000-0000-0000E2610000}"/>
    <cellStyle name="Heading 3 2 3 3" xfId="30824" xr:uid="{00000000-0005-0000-0000-0000E3610000}"/>
    <cellStyle name="Heading 3 2 4" xfId="8734" xr:uid="{00000000-0005-0000-0000-0000E4610000}"/>
    <cellStyle name="Heading 3 2 5" xfId="10014" xr:uid="{00000000-0005-0000-0000-0000E5610000}"/>
    <cellStyle name="Heading 3 2 6" xfId="30822" xr:uid="{00000000-0005-0000-0000-0000E6610000}"/>
    <cellStyle name="Heading 3 2 7" xfId="33047" xr:uid="{00000000-0005-0000-0000-0000E7610000}"/>
    <cellStyle name="Heading 3 3" xfId="6500" xr:uid="{00000000-0005-0000-0000-0000E8610000}"/>
    <cellStyle name="Heading 3 3 2" xfId="6501" xr:uid="{00000000-0005-0000-0000-0000E9610000}"/>
    <cellStyle name="Heading 3 3 2 2" xfId="10016" xr:uid="{00000000-0005-0000-0000-0000EA610000}"/>
    <cellStyle name="Heading 3 3 2 3" xfId="30826" xr:uid="{00000000-0005-0000-0000-0000EB610000}"/>
    <cellStyle name="Heading 3 3 3" xfId="6502" xr:uid="{00000000-0005-0000-0000-0000EC610000}"/>
    <cellStyle name="Heading 3 3 3 2" xfId="13220" xr:uid="{00000000-0005-0000-0000-0000ED610000}"/>
    <cellStyle name="Heading 3 3 3 3" xfId="30827" xr:uid="{00000000-0005-0000-0000-0000EE610000}"/>
    <cellStyle name="Heading 3 3 4" xfId="10015" xr:uid="{00000000-0005-0000-0000-0000EF610000}"/>
    <cellStyle name="Heading 3 3 5" xfId="30825" xr:uid="{00000000-0005-0000-0000-0000F0610000}"/>
    <cellStyle name="Heading 3 4" xfId="6503" xr:uid="{00000000-0005-0000-0000-0000F1610000}"/>
    <cellStyle name="Heading 3 4 2" xfId="6504" xr:uid="{00000000-0005-0000-0000-0000F2610000}"/>
    <cellStyle name="Heading 3 4 2 2" xfId="10018" xr:uid="{00000000-0005-0000-0000-0000F3610000}"/>
    <cellStyle name="Heading 3 4 2 3" xfId="30829" xr:uid="{00000000-0005-0000-0000-0000F4610000}"/>
    <cellStyle name="Heading 3 4 3" xfId="6505" xr:uid="{00000000-0005-0000-0000-0000F5610000}"/>
    <cellStyle name="Heading 3 4 3 2" xfId="13222" xr:uid="{00000000-0005-0000-0000-0000F6610000}"/>
    <cellStyle name="Heading 3 4 3 3" xfId="30830" xr:uid="{00000000-0005-0000-0000-0000F7610000}"/>
    <cellStyle name="Heading 3 4 4" xfId="6506" xr:uid="{00000000-0005-0000-0000-0000F8610000}"/>
    <cellStyle name="Heading 3 4 4 2" xfId="13221" xr:uid="{00000000-0005-0000-0000-0000F9610000}"/>
    <cellStyle name="Heading 3 4 4 3" xfId="30831" xr:uid="{00000000-0005-0000-0000-0000FA610000}"/>
    <cellStyle name="Heading 3 4 5" xfId="10017" xr:uid="{00000000-0005-0000-0000-0000FB610000}"/>
    <cellStyle name="Heading 3 4 6" xfId="30828" xr:uid="{00000000-0005-0000-0000-0000FC610000}"/>
    <cellStyle name="Heading 3 5" xfId="6507" xr:uid="{00000000-0005-0000-0000-0000FD610000}"/>
    <cellStyle name="Heading 3 5 2" xfId="6508" xr:uid="{00000000-0005-0000-0000-0000FE610000}"/>
    <cellStyle name="Heading 3 5 2 2" xfId="6509" xr:uid="{00000000-0005-0000-0000-0000FF610000}"/>
    <cellStyle name="Heading 3 5 2 2 2" xfId="11439" xr:uid="{00000000-0005-0000-0000-000000620000}"/>
    <cellStyle name="Heading 3 5 2 2 3" xfId="30834" xr:uid="{00000000-0005-0000-0000-000001620000}"/>
    <cellStyle name="Heading 3 5 2 3" xfId="10020" xr:uid="{00000000-0005-0000-0000-000002620000}"/>
    <cellStyle name="Heading 3 5 2 4" xfId="30833" xr:uid="{00000000-0005-0000-0000-000003620000}"/>
    <cellStyle name="Heading 3 5 3" xfId="6510" xr:uid="{00000000-0005-0000-0000-000004620000}"/>
    <cellStyle name="Heading 3 5 3 2" xfId="11438" xr:uid="{00000000-0005-0000-0000-000005620000}"/>
    <cellStyle name="Heading 3 5 3 3" xfId="30835" xr:uid="{00000000-0005-0000-0000-000006620000}"/>
    <cellStyle name="Heading 3 5 4" xfId="6511" xr:uid="{00000000-0005-0000-0000-000007620000}"/>
    <cellStyle name="Heading 3 5 4 2" xfId="13223" xr:uid="{00000000-0005-0000-0000-000008620000}"/>
    <cellStyle name="Heading 3 5 4 3" xfId="30836" xr:uid="{00000000-0005-0000-0000-000009620000}"/>
    <cellStyle name="Heading 3 5 5" xfId="6512" xr:uid="{00000000-0005-0000-0000-00000A620000}"/>
    <cellStyle name="Heading 3 5 5 2" xfId="15678" xr:uid="{00000000-0005-0000-0000-00000B620000}"/>
    <cellStyle name="Heading 3 5 5 3" xfId="30837" xr:uid="{00000000-0005-0000-0000-00000C620000}"/>
    <cellStyle name="Heading 3 5 6" xfId="10019" xr:uid="{00000000-0005-0000-0000-00000D620000}"/>
    <cellStyle name="Heading 3 5 7" xfId="30832" xr:uid="{00000000-0005-0000-0000-00000E620000}"/>
    <cellStyle name="Heading 3 6" xfId="6513" xr:uid="{00000000-0005-0000-0000-00000F620000}"/>
    <cellStyle name="Heading 3 6 2" xfId="6514" xr:uid="{00000000-0005-0000-0000-000010620000}"/>
    <cellStyle name="Heading 3 6 2 2" xfId="6515" xr:uid="{00000000-0005-0000-0000-000011620000}"/>
    <cellStyle name="Heading 3 6 2 2 2" xfId="11441" xr:uid="{00000000-0005-0000-0000-000012620000}"/>
    <cellStyle name="Heading 3 6 2 2 3" xfId="30840" xr:uid="{00000000-0005-0000-0000-000013620000}"/>
    <cellStyle name="Heading 3 6 2 3" xfId="10022" xr:uid="{00000000-0005-0000-0000-000014620000}"/>
    <cellStyle name="Heading 3 6 2 4" xfId="30839" xr:uid="{00000000-0005-0000-0000-000015620000}"/>
    <cellStyle name="Heading 3 6 3" xfId="6516" xr:uid="{00000000-0005-0000-0000-000016620000}"/>
    <cellStyle name="Heading 3 6 3 2" xfId="11440" xr:uid="{00000000-0005-0000-0000-000017620000}"/>
    <cellStyle name="Heading 3 6 3 3" xfId="30841" xr:uid="{00000000-0005-0000-0000-000018620000}"/>
    <cellStyle name="Heading 3 6 4" xfId="10021" xr:uid="{00000000-0005-0000-0000-000019620000}"/>
    <cellStyle name="Heading 3 6 5" xfId="30838" xr:uid="{00000000-0005-0000-0000-00001A620000}"/>
    <cellStyle name="Heading 3 7" xfId="6517" xr:uid="{00000000-0005-0000-0000-00001B620000}"/>
    <cellStyle name="Heading 3 7 2" xfId="6518" xr:uid="{00000000-0005-0000-0000-00001C620000}"/>
    <cellStyle name="Heading 3 7 2 2" xfId="11442" xr:uid="{00000000-0005-0000-0000-00001D620000}"/>
    <cellStyle name="Heading 3 7 2 3" xfId="30843" xr:uid="{00000000-0005-0000-0000-00001E620000}"/>
    <cellStyle name="Heading 3 7 3" xfId="10023" xr:uid="{00000000-0005-0000-0000-00001F620000}"/>
    <cellStyle name="Heading 3 7 4" xfId="30842" xr:uid="{00000000-0005-0000-0000-000020620000}"/>
    <cellStyle name="Heading 3 8" xfId="6519" xr:uid="{00000000-0005-0000-0000-000021620000}"/>
    <cellStyle name="Heading 3 8 2" xfId="6520" xr:uid="{00000000-0005-0000-0000-000022620000}"/>
    <cellStyle name="Heading 3 8 2 2" xfId="11443" xr:uid="{00000000-0005-0000-0000-000023620000}"/>
    <cellStyle name="Heading 3 8 2 3" xfId="30845" xr:uid="{00000000-0005-0000-0000-000024620000}"/>
    <cellStyle name="Heading 3 8 3" xfId="10024" xr:uid="{00000000-0005-0000-0000-000025620000}"/>
    <cellStyle name="Heading 3 8 4" xfId="30844" xr:uid="{00000000-0005-0000-0000-000026620000}"/>
    <cellStyle name="Heading 3 9" xfId="6521" xr:uid="{00000000-0005-0000-0000-000027620000}"/>
    <cellStyle name="Heading 3 9 2" xfId="6522" xr:uid="{00000000-0005-0000-0000-000028620000}"/>
    <cellStyle name="Heading 3 9 2 2" xfId="11444" xr:uid="{00000000-0005-0000-0000-000029620000}"/>
    <cellStyle name="Heading 3 9 2 3" xfId="30847" xr:uid="{00000000-0005-0000-0000-00002A620000}"/>
    <cellStyle name="Heading 3 9 3" xfId="10025" xr:uid="{00000000-0005-0000-0000-00002B620000}"/>
    <cellStyle name="Heading 3 9 4" xfId="30846" xr:uid="{00000000-0005-0000-0000-00002C620000}"/>
    <cellStyle name="Heading 4" xfId="18" builtinId="19" customBuiltin="1"/>
    <cellStyle name="Heading 4 10" xfId="6523" xr:uid="{00000000-0005-0000-0000-00002E620000}"/>
    <cellStyle name="Heading 4 10 2" xfId="6524" xr:uid="{00000000-0005-0000-0000-00002F620000}"/>
    <cellStyle name="Heading 4 10 2 2" xfId="11446" xr:uid="{00000000-0005-0000-0000-000030620000}"/>
    <cellStyle name="Heading 4 10 2 3" xfId="30849" xr:uid="{00000000-0005-0000-0000-000031620000}"/>
    <cellStyle name="Heading 4 10 3" xfId="10027" xr:uid="{00000000-0005-0000-0000-000032620000}"/>
    <cellStyle name="Heading 4 10 4" xfId="30848" xr:uid="{00000000-0005-0000-0000-000033620000}"/>
    <cellStyle name="Heading 4 11" xfId="6525" xr:uid="{00000000-0005-0000-0000-000034620000}"/>
    <cellStyle name="Heading 4 11 2" xfId="6526" xr:uid="{00000000-0005-0000-0000-000035620000}"/>
    <cellStyle name="Heading 4 11 2 2" xfId="15679" xr:uid="{00000000-0005-0000-0000-000036620000}"/>
    <cellStyle name="Heading 4 11 2 3" xfId="30851" xr:uid="{00000000-0005-0000-0000-000037620000}"/>
    <cellStyle name="Heading 4 11 3" xfId="10028" xr:uid="{00000000-0005-0000-0000-000038620000}"/>
    <cellStyle name="Heading 4 11 4" xfId="30850" xr:uid="{00000000-0005-0000-0000-000039620000}"/>
    <cellStyle name="Heading 4 12" xfId="6527" xr:uid="{00000000-0005-0000-0000-00003A620000}"/>
    <cellStyle name="Heading 4 12 2" xfId="6528" xr:uid="{00000000-0005-0000-0000-00003B620000}"/>
    <cellStyle name="Heading 4 12 2 2" xfId="15680" xr:uid="{00000000-0005-0000-0000-00003C620000}"/>
    <cellStyle name="Heading 4 12 2 3" xfId="30853" xr:uid="{00000000-0005-0000-0000-00003D620000}"/>
    <cellStyle name="Heading 4 12 3" xfId="10493" xr:uid="{00000000-0005-0000-0000-00003E620000}"/>
    <cellStyle name="Heading 4 12 4" xfId="30852" xr:uid="{00000000-0005-0000-0000-00003F620000}"/>
    <cellStyle name="Heading 4 13" xfId="6529" xr:uid="{00000000-0005-0000-0000-000040620000}"/>
    <cellStyle name="Heading 4 13 2" xfId="11445" xr:uid="{00000000-0005-0000-0000-000041620000}"/>
    <cellStyle name="Heading 4 13 3" xfId="30854" xr:uid="{00000000-0005-0000-0000-000042620000}"/>
    <cellStyle name="Heading 4 14" xfId="6530" xr:uid="{00000000-0005-0000-0000-000043620000}"/>
    <cellStyle name="Heading 4 14 2" xfId="10026" xr:uid="{00000000-0005-0000-0000-000044620000}"/>
    <cellStyle name="Heading 4 14 3" xfId="30855" xr:uid="{00000000-0005-0000-0000-000045620000}"/>
    <cellStyle name="Heading 4 2" xfId="6531" xr:uid="{00000000-0005-0000-0000-000046620000}"/>
    <cellStyle name="Heading 4 2 2" xfId="6532" xr:uid="{00000000-0005-0000-0000-000047620000}"/>
    <cellStyle name="Heading 4 2 2 2" xfId="10030" xr:uid="{00000000-0005-0000-0000-000048620000}"/>
    <cellStyle name="Heading 4 2 2 3" xfId="30857" xr:uid="{00000000-0005-0000-0000-000049620000}"/>
    <cellStyle name="Heading 4 2 3" xfId="6533" xr:uid="{00000000-0005-0000-0000-00004A620000}"/>
    <cellStyle name="Heading 4 2 3 2" xfId="13224" xr:uid="{00000000-0005-0000-0000-00004B620000}"/>
    <cellStyle name="Heading 4 2 3 3" xfId="30858" xr:uid="{00000000-0005-0000-0000-00004C620000}"/>
    <cellStyle name="Heading 4 2 4" xfId="10029" xr:uid="{00000000-0005-0000-0000-00004D620000}"/>
    <cellStyle name="Heading 4 2 5" xfId="30856" xr:uid="{00000000-0005-0000-0000-00004E620000}"/>
    <cellStyle name="Heading 4 2 6" xfId="33048" xr:uid="{00000000-0005-0000-0000-00004F620000}"/>
    <cellStyle name="Heading 4 3" xfId="6534" xr:uid="{00000000-0005-0000-0000-000050620000}"/>
    <cellStyle name="Heading 4 3 2" xfId="6535" xr:uid="{00000000-0005-0000-0000-000051620000}"/>
    <cellStyle name="Heading 4 3 2 2" xfId="10032" xr:uid="{00000000-0005-0000-0000-000052620000}"/>
    <cellStyle name="Heading 4 3 2 3" xfId="30860" xr:uid="{00000000-0005-0000-0000-000053620000}"/>
    <cellStyle name="Heading 4 3 3" xfId="6536" xr:uid="{00000000-0005-0000-0000-000054620000}"/>
    <cellStyle name="Heading 4 3 3 2" xfId="13226" xr:uid="{00000000-0005-0000-0000-000055620000}"/>
    <cellStyle name="Heading 4 3 3 3" xfId="30861" xr:uid="{00000000-0005-0000-0000-000056620000}"/>
    <cellStyle name="Heading 4 3 4" xfId="6537" xr:uid="{00000000-0005-0000-0000-000057620000}"/>
    <cellStyle name="Heading 4 3 4 2" xfId="13225" xr:uid="{00000000-0005-0000-0000-000058620000}"/>
    <cellStyle name="Heading 4 3 4 3" xfId="30862" xr:uid="{00000000-0005-0000-0000-000059620000}"/>
    <cellStyle name="Heading 4 3 5" xfId="10031" xr:uid="{00000000-0005-0000-0000-00005A620000}"/>
    <cellStyle name="Heading 4 3 6" xfId="30859" xr:uid="{00000000-0005-0000-0000-00005B620000}"/>
    <cellStyle name="Heading 4 4" xfId="6538" xr:uid="{00000000-0005-0000-0000-00005C620000}"/>
    <cellStyle name="Heading 4 4 2" xfId="6539" xr:uid="{00000000-0005-0000-0000-00005D620000}"/>
    <cellStyle name="Heading 4 4 2 2" xfId="6540" xr:uid="{00000000-0005-0000-0000-00005E620000}"/>
    <cellStyle name="Heading 4 4 2 2 2" xfId="11448" xr:uid="{00000000-0005-0000-0000-00005F620000}"/>
    <cellStyle name="Heading 4 4 2 2 3" xfId="30865" xr:uid="{00000000-0005-0000-0000-000060620000}"/>
    <cellStyle name="Heading 4 4 2 3" xfId="10034" xr:uid="{00000000-0005-0000-0000-000061620000}"/>
    <cellStyle name="Heading 4 4 2 4" xfId="30864" xr:uid="{00000000-0005-0000-0000-000062620000}"/>
    <cellStyle name="Heading 4 4 3" xfId="6541" xr:uid="{00000000-0005-0000-0000-000063620000}"/>
    <cellStyle name="Heading 4 4 3 2" xfId="11447" xr:uid="{00000000-0005-0000-0000-000064620000}"/>
    <cellStyle name="Heading 4 4 3 3" xfId="30866" xr:uid="{00000000-0005-0000-0000-000065620000}"/>
    <cellStyle name="Heading 4 4 4" xfId="6542" xr:uid="{00000000-0005-0000-0000-000066620000}"/>
    <cellStyle name="Heading 4 4 4 2" xfId="13227" xr:uid="{00000000-0005-0000-0000-000067620000}"/>
    <cellStyle name="Heading 4 4 4 3" xfId="30867" xr:uid="{00000000-0005-0000-0000-000068620000}"/>
    <cellStyle name="Heading 4 4 5" xfId="6543" xr:uid="{00000000-0005-0000-0000-000069620000}"/>
    <cellStyle name="Heading 4 4 5 2" xfId="15681" xr:uid="{00000000-0005-0000-0000-00006A620000}"/>
    <cellStyle name="Heading 4 4 5 3" xfId="30868" xr:uid="{00000000-0005-0000-0000-00006B620000}"/>
    <cellStyle name="Heading 4 4 6" xfId="10033" xr:uid="{00000000-0005-0000-0000-00006C620000}"/>
    <cellStyle name="Heading 4 4 7" xfId="30863" xr:uid="{00000000-0005-0000-0000-00006D620000}"/>
    <cellStyle name="Heading 4 5" xfId="6544" xr:uid="{00000000-0005-0000-0000-00006E620000}"/>
    <cellStyle name="Heading 4 5 2" xfId="6545" xr:uid="{00000000-0005-0000-0000-00006F620000}"/>
    <cellStyle name="Heading 4 5 2 2" xfId="6546" xr:uid="{00000000-0005-0000-0000-000070620000}"/>
    <cellStyle name="Heading 4 5 2 2 2" xfId="11450" xr:uid="{00000000-0005-0000-0000-000071620000}"/>
    <cellStyle name="Heading 4 5 2 2 3" xfId="30871" xr:uid="{00000000-0005-0000-0000-000072620000}"/>
    <cellStyle name="Heading 4 5 2 3" xfId="10036" xr:uid="{00000000-0005-0000-0000-000073620000}"/>
    <cellStyle name="Heading 4 5 2 4" xfId="30870" xr:uid="{00000000-0005-0000-0000-000074620000}"/>
    <cellStyle name="Heading 4 5 3" xfId="6547" xr:uid="{00000000-0005-0000-0000-000075620000}"/>
    <cellStyle name="Heading 4 5 3 2" xfId="11449" xr:uid="{00000000-0005-0000-0000-000076620000}"/>
    <cellStyle name="Heading 4 5 3 3" xfId="30872" xr:uid="{00000000-0005-0000-0000-000077620000}"/>
    <cellStyle name="Heading 4 5 4" xfId="10035" xr:uid="{00000000-0005-0000-0000-000078620000}"/>
    <cellStyle name="Heading 4 5 5" xfId="30869" xr:uid="{00000000-0005-0000-0000-000079620000}"/>
    <cellStyle name="Heading 4 6" xfId="6548" xr:uid="{00000000-0005-0000-0000-00007A620000}"/>
    <cellStyle name="Heading 4 6 2" xfId="6549" xr:uid="{00000000-0005-0000-0000-00007B620000}"/>
    <cellStyle name="Heading 4 6 2 2" xfId="11451" xr:uid="{00000000-0005-0000-0000-00007C620000}"/>
    <cellStyle name="Heading 4 6 2 3" xfId="30874" xr:uid="{00000000-0005-0000-0000-00007D620000}"/>
    <cellStyle name="Heading 4 6 3" xfId="10037" xr:uid="{00000000-0005-0000-0000-00007E620000}"/>
    <cellStyle name="Heading 4 6 4" xfId="30873" xr:uid="{00000000-0005-0000-0000-00007F620000}"/>
    <cellStyle name="Heading 4 7" xfId="6550" xr:uid="{00000000-0005-0000-0000-000080620000}"/>
    <cellStyle name="Heading 4 7 2" xfId="6551" xr:uid="{00000000-0005-0000-0000-000081620000}"/>
    <cellStyle name="Heading 4 7 2 2" xfId="11452" xr:uid="{00000000-0005-0000-0000-000082620000}"/>
    <cellStyle name="Heading 4 7 2 3" xfId="30876" xr:uid="{00000000-0005-0000-0000-000083620000}"/>
    <cellStyle name="Heading 4 7 3" xfId="10038" xr:uid="{00000000-0005-0000-0000-000084620000}"/>
    <cellStyle name="Heading 4 7 4" xfId="30875" xr:uid="{00000000-0005-0000-0000-000085620000}"/>
    <cellStyle name="Heading 4 8" xfId="6552" xr:uid="{00000000-0005-0000-0000-000086620000}"/>
    <cellStyle name="Heading 4 8 2" xfId="6553" xr:uid="{00000000-0005-0000-0000-000087620000}"/>
    <cellStyle name="Heading 4 8 2 2" xfId="11453" xr:uid="{00000000-0005-0000-0000-000088620000}"/>
    <cellStyle name="Heading 4 8 2 3" xfId="30878" xr:uid="{00000000-0005-0000-0000-000089620000}"/>
    <cellStyle name="Heading 4 8 3" xfId="10039" xr:uid="{00000000-0005-0000-0000-00008A620000}"/>
    <cellStyle name="Heading 4 8 4" xfId="30877" xr:uid="{00000000-0005-0000-0000-00008B620000}"/>
    <cellStyle name="Heading 4 9" xfId="6554" xr:uid="{00000000-0005-0000-0000-00008C620000}"/>
    <cellStyle name="Heading 4 9 2" xfId="6555" xr:uid="{00000000-0005-0000-0000-00008D620000}"/>
    <cellStyle name="Heading 4 9 2 2" xfId="11454" xr:uid="{00000000-0005-0000-0000-00008E620000}"/>
    <cellStyle name="Heading 4 9 2 3" xfId="30880" xr:uid="{00000000-0005-0000-0000-00008F620000}"/>
    <cellStyle name="Heading 4 9 3" xfId="10040" xr:uid="{00000000-0005-0000-0000-000090620000}"/>
    <cellStyle name="Heading 4 9 4" xfId="30879" xr:uid="{00000000-0005-0000-0000-000091620000}"/>
    <cellStyle name="Hyperlink" xfId="7" builtinId="8"/>
    <cellStyle name="Hyperlink 2" xfId="6556" xr:uid="{00000000-0005-0000-0000-000093620000}"/>
    <cellStyle name="Hyperlink 2 2" xfId="8699" xr:uid="{00000000-0005-0000-0000-000094620000}"/>
    <cellStyle name="Hyperlink 2 3" xfId="30881" xr:uid="{00000000-0005-0000-0000-000095620000}"/>
    <cellStyle name="Hyperlink 2 4" xfId="33097" xr:uid="{00000000-0005-0000-0000-000096620000}"/>
    <cellStyle name="Hyperlink 3" xfId="6557" xr:uid="{00000000-0005-0000-0000-000097620000}"/>
    <cellStyle name="Hyperlink 3 2" xfId="10041" xr:uid="{00000000-0005-0000-0000-000098620000}"/>
    <cellStyle name="Hyperlink 3 3" xfId="30882" xr:uid="{00000000-0005-0000-0000-000099620000}"/>
    <cellStyle name="Input" xfId="22" builtinId="20" customBuiltin="1"/>
    <cellStyle name="Input 10" xfId="6558" xr:uid="{00000000-0005-0000-0000-00009B620000}"/>
    <cellStyle name="Input 10 2" xfId="10043" xr:uid="{00000000-0005-0000-0000-00009C620000}"/>
    <cellStyle name="Input 10 3" xfId="30883" xr:uid="{00000000-0005-0000-0000-00009D620000}"/>
    <cellStyle name="Input 11" xfId="6559" xr:uid="{00000000-0005-0000-0000-00009E620000}"/>
    <cellStyle name="Input 11 2" xfId="10044" xr:uid="{00000000-0005-0000-0000-00009F620000}"/>
    <cellStyle name="Input 11 3" xfId="30884" xr:uid="{00000000-0005-0000-0000-0000A0620000}"/>
    <cellStyle name="Input 12" xfId="6560" xr:uid="{00000000-0005-0000-0000-0000A1620000}"/>
    <cellStyle name="Input 12 2" xfId="6561" xr:uid="{00000000-0005-0000-0000-0000A2620000}"/>
    <cellStyle name="Input 12 2 2" xfId="15682" xr:uid="{00000000-0005-0000-0000-0000A3620000}"/>
    <cellStyle name="Input 12 2 3" xfId="30886" xr:uid="{00000000-0005-0000-0000-0000A4620000}"/>
    <cellStyle name="Input 12 3" xfId="10494" xr:uid="{00000000-0005-0000-0000-0000A5620000}"/>
    <cellStyle name="Input 12 4" xfId="30885" xr:uid="{00000000-0005-0000-0000-0000A6620000}"/>
    <cellStyle name="Input 13" xfId="6562" xr:uid="{00000000-0005-0000-0000-0000A7620000}"/>
    <cellStyle name="Input 13 2" xfId="11455" xr:uid="{00000000-0005-0000-0000-0000A8620000}"/>
    <cellStyle name="Input 13 3" xfId="30887" xr:uid="{00000000-0005-0000-0000-0000A9620000}"/>
    <cellStyle name="Input 14" xfId="6563" xr:uid="{00000000-0005-0000-0000-0000AA620000}"/>
    <cellStyle name="Input 14 2" xfId="10042" xr:uid="{00000000-0005-0000-0000-0000AB620000}"/>
    <cellStyle name="Input 14 3" xfId="30888" xr:uid="{00000000-0005-0000-0000-0000AC620000}"/>
    <cellStyle name="Input 2" xfId="6564" xr:uid="{00000000-0005-0000-0000-0000AD620000}"/>
    <cellStyle name="Input 2 2" xfId="10045" xr:uid="{00000000-0005-0000-0000-0000AE620000}"/>
    <cellStyle name="Input 2 3" xfId="30889" xr:uid="{00000000-0005-0000-0000-0000AF620000}"/>
    <cellStyle name="Input 2 4" xfId="33052" xr:uid="{00000000-0005-0000-0000-0000B0620000}"/>
    <cellStyle name="Input 3" xfId="6565" xr:uid="{00000000-0005-0000-0000-0000B1620000}"/>
    <cellStyle name="Input 3 2" xfId="6566" xr:uid="{00000000-0005-0000-0000-0000B2620000}"/>
    <cellStyle name="Input 3 2 2" xfId="10047" xr:uid="{00000000-0005-0000-0000-0000B3620000}"/>
    <cellStyle name="Input 3 2 3" xfId="30891" xr:uid="{00000000-0005-0000-0000-0000B4620000}"/>
    <cellStyle name="Input 3 3" xfId="10046" xr:uid="{00000000-0005-0000-0000-0000B5620000}"/>
    <cellStyle name="Input 3 4" xfId="30890" xr:uid="{00000000-0005-0000-0000-0000B6620000}"/>
    <cellStyle name="Input 4" xfId="6567" xr:uid="{00000000-0005-0000-0000-0000B7620000}"/>
    <cellStyle name="Input 4 2" xfId="6568" xr:uid="{00000000-0005-0000-0000-0000B8620000}"/>
    <cellStyle name="Input 4 2 2" xfId="13229" xr:uid="{00000000-0005-0000-0000-0000B9620000}"/>
    <cellStyle name="Input 4 2 3" xfId="30893" xr:uid="{00000000-0005-0000-0000-0000BA620000}"/>
    <cellStyle name="Input 4 3" xfId="6569" xr:uid="{00000000-0005-0000-0000-0000BB620000}"/>
    <cellStyle name="Input 4 3 2" xfId="13228" xr:uid="{00000000-0005-0000-0000-0000BC620000}"/>
    <cellStyle name="Input 4 3 3" xfId="30894" xr:uid="{00000000-0005-0000-0000-0000BD620000}"/>
    <cellStyle name="Input 4 4" xfId="10048" xr:uid="{00000000-0005-0000-0000-0000BE620000}"/>
    <cellStyle name="Input 4 5" xfId="30892" xr:uid="{00000000-0005-0000-0000-0000BF620000}"/>
    <cellStyle name="Input 5" xfId="6570" xr:uid="{00000000-0005-0000-0000-0000C0620000}"/>
    <cellStyle name="Input 5 2" xfId="6571" xr:uid="{00000000-0005-0000-0000-0000C1620000}"/>
    <cellStyle name="Input 5 2 2" xfId="10050" xr:uid="{00000000-0005-0000-0000-0000C2620000}"/>
    <cellStyle name="Input 5 2 3" xfId="30896" xr:uid="{00000000-0005-0000-0000-0000C3620000}"/>
    <cellStyle name="Input 5 3" xfId="10049" xr:uid="{00000000-0005-0000-0000-0000C4620000}"/>
    <cellStyle name="Input 5 4" xfId="30895" xr:uid="{00000000-0005-0000-0000-0000C5620000}"/>
    <cellStyle name="Input 6" xfId="6572" xr:uid="{00000000-0005-0000-0000-0000C6620000}"/>
    <cellStyle name="Input 6 2" xfId="10051" xr:uid="{00000000-0005-0000-0000-0000C7620000}"/>
    <cellStyle name="Input 6 3" xfId="30897" xr:uid="{00000000-0005-0000-0000-0000C8620000}"/>
    <cellStyle name="Input 7" xfId="6573" xr:uid="{00000000-0005-0000-0000-0000C9620000}"/>
    <cellStyle name="Input 7 2" xfId="10052" xr:uid="{00000000-0005-0000-0000-0000CA620000}"/>
    <cellStyle name="Input 7 3" xfId="30898" xr:uid="{00000000-0005-0000-0000-0000CB620000}"/>
    <cellStyle name="Input 8" xfId="6574" xr:uid="{00000000-0005-0000-0000-0000CC620000}"/>
    <cellStyle name="Input 8 2" xfId="10053" xr:uid="{00000000-0005-0000-0000-0000CD620000}"/>
    <cellStyle name="Input 8 3" xfId="30899" xr:uid="{00000000-0005-0000-0000-0000CE620000}"/>
    <cellStyle name="Input 9" xfId="6575" xr:uid="{00000000-0005-0000-0000-0000CF620000}"/>
    <cellStyle name="Input 9 2" xfId="10054" xr:uid="{00000000-0005-0000-0000-0000D0620000}"/>
    <cellStyle name="Input 9 3" xfId="30900" xr:uid="{00000000-0005-0000-0000-0000D1620000}"/>
    <cellStyle name="Linked Cell" xfId="25" builtinId="24" customBuiltin="1"/>
    <cellStyle name="Linked Cell 10" xfId="6576" xr:uid="{00000000-0005-0000-0000-0000D3620000}"/>
    <cellStyle name="Linked Cell 10 2" xfId="6577" xr:uid="{00000000-0005-0000-0000-0000D4620000}"/>
    <cellStyle name="Linked Cell 10 2 2" xfId="11457" xr:uid="{00000000-0005-0000-0000-0000D5620000}"/>
    <cellStyle name="Linked Cell 10 2 3" xfId="30902" xr:uid="{00000000-0005-0000-0000-0000D6620000}"/>
    <cellStyle name="Linked Cell 10 3" xfId="10056" xr:uid="{00000000-0005-0000-0000-0000D7620000}"/>
    <cellStyle name="Linked Cell 10 4" xfId="30901" xr:uid="{00000000-0005-0000-0000-0000D8620000}"/>
    <cellStyle name="Linked Cell 11" xfId="6578" xr:uid="{00000000-0005-0000-0000-0000D9620000}"/>
    <cellStyle name="Linked Cell 11 2" xfId="6579" xr:uid="{00000000-0005-0000-0000-0000DA620000}"/>
    <cellStyle name="Linked Cell 11 2 2" xfId="11458" xr:uid="{00000000-0005-0000-0000-0000DB620000}"/>
    <cellStyle name="Linked Cell 11 2 3" xfId="30904" xr:uid="{00000000-0005-0000-0000-0000DC620000}"/>
    <cellStyle name="Linked Cell 11 3" xfId="10057" xr:uid="{00000000-0005-0000-0000-0000DD620000}"/>
    <cellStyle name="Linked Cell 11 4" xfId="30903" xr:uid="{00000000-0005-0000-0000-0000DE620000}"/>
    <cellStyle name="Linked Cell 12" xfId="6580" xr:uid="{00000000-0005-0000-0000-0000DF620000}"/>
    <cellStyle name="Linked Cell 12 2" xfId="6581" xr:uid="{00000000-0005-0000-0000-0000E0620000}"/>
    <cellStyle name="Linked Cell 12 2 2" xfId="15683" xr:uid="{00000000-0005-0000-0000-0000E1620000}"/>
    <cellStyle name="Linked Cell 12 2 3" xfId="30906" xr:uid="{00000000-0005-0000-0000-0000E2620000}"/>
    <cellStyle name="Linked Cell 12 3" xfId="10058" xr:uid="{00000000-0005-0000-0000-0000E3620000}"/>
    <cellStyle name="Linked Cell 12 4" xfId="30905" xr:uid="{00000000-0005-0000-0000-0000E4620000}"/>
    <cellStyle name="Linked Cell 13" xfId="6582" xr:uid="{00000000-0005-0000-0000-0000E5620000}"/>
    <cellStyle name="Linked Cell 13 2" xfId="6583" xr:uid="{00000000-0005-0000-0000-0000E6620000}"/>
    <cellStyle name="Linked Cell 13 2 2" xfId="15684" xr:uid="{00000000-0005-0000-0000-0000E7620000}"/>
    <cellStyle name="Linked Cell 13 2 3" xfId="30908" xr:uid="{00000000-0005-0000-0000-0000E8620000}"/>
    <cellStyle name="Linked Cell 13 3" xfId="10495" xr:uid="{00000000-0005-0000-0000-0000E9620000}"/>
    <cellStyle name="Linked Cell 13 4" xfId="30907" xr:uid="{00000000-0005-0000-0000-0000EA620000}"/>
    <cellStyle name="Linked Cell 14" xfId="6584" xr:uid="{00000000-0005-0000-0000-0000EB620000}"/>
    <cellStyle name="Linked Cell 14 2" xfId="11456" xr:uid="{00000000-0005-0000-0000-0000EC620000}"/>
    <cellStyle name="Linked Cell 14 3" xfId="30909" xr:uid="{00000000-0005-0000-0000-0000ED620000}"/>
    <cellStyle name="Linked Cell 15" xfId="6585" xr:uid="{00000000-0005-0000-0000-0000EE620000}"/>
    <cellStyle name="Linked Cell 15 2" xfId="10055" xr:uid="{00000000-0005-0000-0000-0000EF620000}"/>
    <cellStyle name="Linked Cell 15 3" xfId="30910" xr:uid="{00000000-0005-0000-0000-0000F0620000}"/>
    <cellStyle name="Linked Cell 2" xfId="6586" xr:uid="{00000000-0005-0000-0000-0000F1620000}"/>
    <cellStyle name="Linked Cell 2 2" xfId="6587" xr:uid="{00000000-0005-0000-0000-0000F2620000}"/>
    <cellStyle name="Linked Cell 2 2 2" xfId="10060" xr:uid="{00000000-0005-0000-0000-0000F3620000}"/>
    <cellStyle name="Linked Cell 2 2 3" xfId="30912" xr:uid="{00000000-0005-0000-0000-0000F4620000}"/>
    <cellStyle name="Linked Cell 2 3" xfId="6588" xr:uid="{00000000-0005-0000-0000-0000F5620000}"/>
    <cellStyle name="Linked Cell 2 3 2" xfId="13230" xr:uid="{00000000-0005-0000-0000-0000F6620000}"/>
    <cellStyle name="Linked Cell 2 3 3" xfId="30913" xr:uid="{00000000-0005-0000-0000-0000F7620000}"/>
    <cellStyle name="Linked Cell 2 4" xfId="10059" xr:uid="{00000000-0005-0000-0000-0000F8620000}"/>
    <cellStyle name="Linked Cell 2 5" xfId="30911" xr:uid="{00000000-0005-0000-0000-0000F9620000}"/>
    <cellStyle name="Linked Cell 2 6" xfId="33055" xr:uid="{00000000-0005-0000-0000-0000FA620000}"/>
    <cellStyle name="Linked Cell 3" xfId="6589" xr:uid="{00000000-0005-0000-0000-0000FB620000}"/>
    <cellStyle name="Linked Cell 3 2" xfId="6590" xr:uid="{00000000-0005-0000-0000-0000FC620000}"/>
    <cellStyle name="Linked Cell 3 2 2" xfId="10062" xr:uid="{00000000-0005-0000-0000-0000FD620000}"/>
    <cellStyle name="Linked Cell 3 2 3" xfId="30915" xr:uid="{00000000-0005-0000-0000-0000FE620000}"/>
    <cellStyle name="Linked Cell 3 3" xfId="6591" xr:uid="{00000000-0005-0000-0000-0000FF620000}"/>
    <cellStyle name="Linked Cell 3 3 2" xfId="13232" xr:uid="{00000000-0005-0000-0000-000000630000}"/>
    <cellStyle name="Linked Cell 3 3 3" xfId="30916" xr:uid="{00000000-0005-0000-0000-000001630000}"/>
    <cellStyle name="Linked Cell 3 4" xfId="6592" xr:uid="{00000000-0005-0000-0000-000002630000}"/>
    <cellStyle name="Linked Cell 3 4 2" xfId="13231" xr:uid="{00000000-0005-0000-0000-000003630000}"/>
    <cellStyle name="Linked Cell 3 4 3" xfId="30917" xr:uid="{00000000-0005-0000-0000-000004630000}"/>
    <cellStyle name="Linked Cell 3 5" xfId="10061" xr:uid="{00000000-0005-0000-0000-000005630000}"/>
    <cellStyle name="Linked Cell 3 6" xfId="30914" xr:uid="{00000000-0005-0000-0000-000006630000}"/>
    <cellStyle name="Linked Cell 4" xfId="6593" xr:uid="{00000000-0005-0000-0000-000007630000}"/>
    <cellStyle name="Linked Cell 4 2" xfId="6594" xr:uid="{00000000-0005-0000-0000-000008630000}"/>
    <cellStyle name="Linked Cell 4 2 2" xfId="6595" xr:uid="{00000000-0005-0000-0000-000009630000}"/>
    <cellStyle name="Linked Cell 4 2 2 2" xfId="11460" xr:uid="{00000000-0005-0000-0000-00000A630000}"/>
    <cellStyle name="Linked Cell 4 2 2 3" xfId="30920" xr:uid="{00000000-0005-0000-0000-00000B630000}"/>
    <cellStyle name="Linked Cell 4 2 3" xfId="10064" xr:uid="{00000000-0005-0000-0000-00000C630000}"/>
    <cellStyle name="Linked Cell 4 2 4" xfId="30919" xr:uid="{00000000-0005-0000-0000-00000D630000}"/>
    <cellStyle name="Linked Cell 4 3" xfId="6596" xr:uid="{00000000-0005-0000-0000-00000E630000}"/>
    <cellStyle name="Linked Cell 4 3 2" xfId="11459" xr:uid="{00000000-0005-0000-0000-00000F630000}"/>
    <cellStyle name="Linked Cell 4 3 3" xfId="30921" xr:uid="{00000000-0005-0000-0000-000010630000}"/>
    <cellStyle name="Linked Cell 4 4" xfId="6597" xr:uid="{00000000-0005-0000-0000-000011630000}"/>
    <cellStyle name="Linked Cell 4 4 2" xfId="13233" xr:uid="{00000000-0005-0000-0000-000012630000}"/>
    <cellStyle name="Linked Cell 4 4 3" xfId="30922" xr:uid="{00000000-0005-0000-0000-000013630000}"/>
    <cellStyle name="Linked Cell 4 5" xfId="6598" xr:uid="{00000000-0005-0000-0000-000014630000}"/>
    <cellStyle name="Linked Cell 4 5 2" xfId="15685" xr:uid="{00000000-0005-0000-0000-000015630000}"/>
    <cellStyle name="Linked Cell 4 5 3" xfId="30923" xr:uid="{00000000-0005-0000-0000-000016630000}"/>
    <cellStyle name="Linked Cell 4 6" xfId="10063" xr:uid="{00000000-0005-0000-0000-000017630000}"/>
    <cellStyle name="Linked Cell 4 7" xfId="30918" xr:uid="{00000000-0005-0000-0000-000018630000}"/>
    <cellStyle name="Linked Cell 5" xfId="6599" xr:uid="{00000000-0005-0000-0000-000019630000}"/>
    <cellStyle name="Linked Cell 5 2" xfId="6600" xr:uid="{00000000-0005-0000-0000-00001A630000}"/>
    <cellStyle name="Linked Cell 5 2 2" xfId="6601" xr:uid="{00000000-0005-0000-0000-00001B630000}"/>
    <cellStyle name="Linked Cell 5 2 2 2" xfId="11462" xr:uid="{00000000-0005-0000-0000-00001C630000}"/>
    <cellStyle name="Linked Cell 5 2 2 3" xfId="30926" xr:uid="{00000000-0005-0000-0000-00001D630000}"/>
    <cellStyle name="Linked Cell 5 2 3" xfId="10066" xr:uid="{00000000-0005-0000-0000-00001E630000}"/>
    <cellStyle name="Linked Cell 5 2 4" xfId="30925" xr:uid="{00000000-0005-0000-0000-00001F630000}"/>
    <cellStyle name="Linked Cell 5 3" xfId="6602" xr:uid="{00000000-0005-0000-0000-000020630000}"/>
    <cellStyle name="Linked Cell 5 3 2" xfId="11461" xr:uid="{00000000-0005-0000-0000-000021630000}"/>
    <cellStyle name="Linked Cell 5 3 3" xfId="30927" xr:uid="{00000000-0005-0000-0000-000022630000}"/>
    <cellStyle name="Linked Cell 5 4" xfId="10065" xr:uid="{00000000-0005-0000-0000-000023630000}"/>
    <cellStyle name="Linked Cell 5 5" xfId="30924" xr:uid="{00000000-0005-0000-0000-000024630000}"/>
    <cellStyle name="Linked Cell 6" xfId="6603" xr:uid="{00000000-0005-0000-0000-000025630000}"/>
    <cellStyle name="Linked Cell 6 2" xfId="10067" xr:uid="{00000000-0005-0000-0000-000026630000}"/>
    <cellStyle name="Linked Cell 6 3" xfId="30928" xr:uid="{00000000-0005-0000-0000-000027630000}"/>
    <cellStyle name="Linked Cell 7" xfId="6604" xr:uid="{00000000-0005-0000-0000-000028630000}"/>
    <cellStyle name="Linked Cell 7 2" xfId="6605" xr:uid="{00000000-0005-0000-0000-000029630000}"/>
    <cellStyle name="Linked Cell 7 2 2" xfId="11463" xr:uid="{00000000-0005-0000-0000-00002A630000}"/>
    <cellStyle name="Linked Cell 7 2 3" xfId="30930" xr:uid="{00000000-0005-0000-0000-00002B630000}"/>
    <cellStyle name="Linked Cell 7 3" xfId="10068" xr:uid="{00000000-0005-0000-0000-00002C630000}"/>
    <cellStyle name="Linked Cell 7 4" xfId="30929" xr:uid="{00000000-0005-0000-0000-00002D630000}"/>
    <cellStyle name="Linked Cell 8" xfId="6606" xr:uid="{00000000-0005-0000-0000-00002E630000}"/>
    <cellStyle name="Linked Cell 8 2" xfId="6607" xr:uid="{00000000-0005-0000-0000-00002F630000}"/>
    <cellStyle name="Linked Cell 8 2 2" xfId="11464" xr:uid="{00000000-0005-0000-0000-000030630000}"/>
    <cellStyle name="Linked Cell 8 2 3" xfId="30932" xr:uid="{00000000-0005-0000-0000-000031630000}"/>
    <cellStyle name="Linked Cell 8 3" xfId="10069" xr:uid="{00000000-0005-0000-0000-000032630000}"/>
    <cellStyle name="Linked Cell 8 4" xfId="30931" xr:uid="{00000000-0005-0000-0000-000033630000}"/>
    <cellStyle name="Linked Cell 9" xfId="6608" xr:uid="{00000000-0005-0000-0000-000034630000}"/>
    <cellStyle name="Linked Cell 9 2" xfId="6609" xr:uid="{00000000-0005-0000-0000-000035630000}"/>
    <cellStyle name="Linked Cell 9 2 2" xfId="11465" xr:uid="{00000000-0005-0000-0000-000036630000}"/>
    <cellStyle name="Linked Cell 9 2 3" xfId="30934" xr:uid="{00000000-0005-0000-0000-000037630000}"/>
    <cellStyle name="Linked Cell 9 3" xfId="10070" xr:uid="{00000000-0005-0000-0000-000038630000}"/>
    <cellStyle name="Linked Cell 9 4" xfId="30933" xr:uid="{00000000-0005-0000-0000-000039630000}"/>
    <cellStyle name="Neutral" xfId="21" builtinId="28" customBuiltin="1"/>
    <cellStyle name="Neutral 10" xfId="6610" xr:uid="{00000000-0005-0000-0000-00003B630000}"/>
    <cellStyle name="Neutral 10 2" xfId="10072" xr:uid="{00000000-0005-0000-0000-00003C630000}"/>
    <cellStyle name="Neutral 10 3" xfId="30935" xr:uid="{00000000-0005-0000-0000-00003D630000}"/>
    <cellStyle name="Neutral 11" xfId="6611" xr:uid="{00000000-0005-0000-0000-00003E630000}"/>
    <cellStyle name="Neutral 11 2" xfId="10073" xr:uid="{00000000-0005-0000-0000-00003F630000}"/>
    <cellStyle name="Neutral 11 3" xfId="30936" xr:uid="{00000000-0005-0000-0000-000040630000}"/>
    <cellStyle name="Neutral 12" xfId="6612" xr:uid="{00000000-0005-0000-0000-000041630000}"/>
    <cellStyle name="Neutral 12 2" xfId="6613" xr:uid="{00000000-0005-0000-0000-000042630000}"/>
    <cellStyle name="Neutral 12 2 2" xfId="15686" xr:uid="{00000000-0005-0000-0000-000043630000}"/>
    <cellStyle name="Neutral 12 2 3" xfId="30938" xr:uid="{00000000-0005-0000-0000-000044630000}"/>
    <cellStyle name="Neutral 12 3" xfId="10496" xr:uid="{00000000-0005-0000-0000-000045630000}"/>
    <cellStyle name="Neutral 12 4" xfId="30937" xr:uid="{00000000-0005-0000-0000-000046630000}"/>
    <cellStyle name="Neutral 13" xfId="6614" xr:uid="{00000000-0005-0000-0000-000047630000}"/>
    <cellStyle name="Neutral 13 2" xfId="11466" xr:uid="{00000000-0005-0000-0000-000048630000}"/>
    <cellStyle name="Neutral 13 3" xfId="30939" xr:uid="{00000000-0005-0000-0000-000049630000}"/>
    <cellStyle name="Neutral 14" xfId="6615" xr:uid="{00000000-0005-0000-0000-00004A630000}"/>
    <cellStyle name="Neutral 14 2" xfId="10071" xr:uid="{00000000-0005-0000-0000-00004B630000}"/>
    <cellStyle name="Neutral 14 3" xfId="30940" xr:uid="{00000000-0005-0000-0000-00004C630000}"/>
    <cellStyle name="Neutral 2" xfId="6616" xr:uid="{00000000-0005-0000-0000-00004D630000}"/>
    <cellStyle name="Neutral 2 2" xfId="10074" xr:uid="{00000000-0005-0000-0000-00004E630000}"/>
    <cellStyle name="Neutral 2 3" xfId="30941" xr:uid="{00000000-0005-0000-0000-00004F630000}"/>
    <cellStyle name="Neutral 2 4" xfId="33051" xr:uid="{00000000-0005-0000-0000-000050630000}"/>
    <cellStyle name="Neutral 3" xfId="6617" xr:uid="{00000000-0005-0000-0000-000051630000}"/>
    <cellStyle name="Neutral 3 2" xfId="6618" xr:uid="{00000000-0005-0000-0000-000052630000}"/>
    <cellStyle name="Neutral 3 2 2" xfId="10076" xr:uid="{00000000-0005-0000-0000-000053630000}"/>
    <cellStyle name="Neutral 3 2 3" xfId="30943" xr:uid="{00000000-0005-0000-0000-000054630000}"/>
    <cellStyle name="Neutral 3 3" xfId="10075" xr:uid="{00000000-0005-0000-0000-000055630000}"/>
    <cellStyle name="Neutral 3 4" xfId="30942" xr:uid="{00000000-0005-0000-0000-000056630000}"/>
    <cellStyle name="Neutral 3 5" xfId="33103" xr:uid="{00000000-0005-0000-0000-000057630000}"/>
    <cellStyle name="Neutral 4" xfId="6619" xr:uid="{00000000-0005-0000-0000-000058630000}"/>
    <cellStyle name="Neutral 4 2" xfId="6620" xr:uid="{00000000-0005-0000-0000-000059630000}"/>
    <cellStyle name="Neutral 4 2 2" xfId="13235" xr:uid="{00000000-0005-0000-0000-00005A630000}"/>
    <cellStyle name="Neutral 4 2 3" xfId="30945" xr:uid="{00000000-0005-0000-0000-00005B630000}"/>
    <cellStyle name="Neutral 4 3" xfId="6621" xr:uid="{00000000-0005-0000-0000-00005C630000}"/>
    <cellStyle name="Neutral 4 3 2" xfId="13234" xr:uid="{00000000-0005-0000-0000-00005D630000}"/>
    <cellStyle name="Neutral 4 3 3" xfId="30946" xr:uid="{00000000-0005-0000-0000-00005E630000}"/>
    <cellStyle name="Neutral 4 4" xfId="10077" xr:uid="{00000000-0005-0000-0000-00005F630000}"/>
    <cellStyle name="Neutral 4 5" xfId="30944" xr:uid="{00000000-0005-0000-0000-000060630000}"/>
    <cellStyle name="Neutral 5" xfId="6622" xr:uid="{00000000-0005-0000-0000-000061630000}"/>
    <cellStyle name="Neutral 5 2" xfId="6623" xr:uid="{00000000-0005-0000-0000-000062630000}"/>
    <cellStyle name="Neutral 5 2 2" xfId="10079" xr:uid="{00000000-0005-0000-0000-000063630000}"/>
    <cellStyle name="Neutral 5 2 3" xfId="30948" xr:uid="{00000000-0005-0000-0000-000064630000}"/>
    <cellStyle name="Neutral 5 3" xfId="10078" xr:uid="{00000000-0005-0000-0000-000065630000}"/>
    <cellStyle name="Neutral 5 4" xfId="30947" xr:uid="{00000000-0005-0000-0000-000066630000}"/>
    <cellStyle name="Neutral 6" xfId="6624" xr:uid="{00000000-0005-0000-0000-000067630000}"/>
    <cellStyle name="Neutral 6 2" xfId="10080" xr:uid="{00000000-0005-0000-0000-000068630000}"/>
    <cellStyle name="Neutral 6 3" xfId="30949" xr:uid="{00000000-0005-0000-0000-000069630000}"/>
    <cellStyle name="Neutral 7" xfId="6625" xr:uid="{00000000-0005-0000-0000-00006A630000}"/>
    <cellStyle name="Neutral 7 2" xfId="10081" xr:uid="{00000000-0005-0000-0000-00006B630000}"/>
    <cellStyle name="Neutral 7 3" xfId="30950" xr:uid="{00000000-0005-0000-0000-00006C630000}"/>
    <cellStyle name="Neutral 8" xfId="6626" xr:uid="{00000000-0005-0000-0000-00006D630000}"/>
    <cellStyle name="Neutral 8 2" xfId="10082" xr:uid="{00000000-0005-0000-0000-00006E630000}"/>
    <cellStyle name="Neutral 8 3" xfId="30951" xr:uid="{00000000-0005-0000-0000-00006F630000}"/>
    <cellStyle name="Neutral 9" xfId="6627" xr:uid="{00000000-0005-0000-0000-000070630000}"/>
    <cellStyle name="Neutral 9 2" xfId="10083" xr:uid="{00000000-0005-0000-0000-000071630000}"/>
    <cellStyle name="Neutral 9 3" xfId="30952" xr:uid="{00000000-0005-0000-0000-000072630000}"/>
    <cellStyle name="Normal" xfId="0" builtinId="0"/>
    <cellStyle name="Normal 10" xfId="6628" xr:uid="{00000000-0005-0000-0000-000074630000}"/>
    <cellStyle name="Normal 10 2" xfId="6629" xr:uid="{00000000-0005-0000-0000-000075630000}"/>
    <cellStyle name="Normal 10 2 2" xfId="6630" xr:uid="{00000000-0005-0000-0000-000076630000}"/>
    <cellStyle name="Normal 10 2 2 2" xfId="11693" xr:uid="{00000000-0005-0000-0000-000077630000}"/>
    <cellStyle name="Normal 10 2 2 2 2" xfId="25429" xr:uid="{00000000-0005-0000-0000-000078630000}"/>
    <cellStyle name="Normal 10 2 2 3" xfId="30953" xr:uid="{00000000-0005-0000-0000-000079630000}"/>
    <cellStyle name="Normal 10 2 3" xfId="6631" xr:uid="{00000000-0005-0000-0000-00007A630000}"/>
    <cellStyle name="Normal 10 2 3 2" xfId="17343" xr:uid="{00000000-0005-0000-0000-00007B630000}"/>
    <cellStyle name="Normal 10 2 3 3" xfId="30954" xr:uid="{00000000-0005-0000-0000-00007C630000}"/>
    <cellStyle name="Normal 10 2 4" xfId="8730" xr:uid="{00000000-0005-0000-0000-00007D630000}"/>
    <cellStyle name="Normal 10 2 5" xfId="10085" xr:uid="{00000000-0005-0000-0000-00007E630000}"/>
    <cellStyle name="Normal 10 3" xfId="6632" xr:uid="{00000000-0005-0000-0000-00007F630000}"/>
    <cellStyle name="Normal 10 3 2" xfId="6633" xr:uid="{00000000-0005-0000-0000-000080630000}"/>
    <cellStyle name="Normal 10 3 2 2" xfId="13237" xr:uid="{00000000-0005-0000-0000-000081630000}"/>
    <cellStyle name="Normal 10 3 2 2 2" xfId="26882" xr:uid="{00000000-0005-0000-0000-000082630000}"/>
    <cellStyle name="Normal 10 3 2 3" xfId="30956" xr:uid="{00000000-0005-0000-0000-000083630000}"/>
    <cellStyle name="Normal 10 3 3" xfId="6634" xr:uid="{00000000-0005-0000-0000-000084630000}"/>
    <cellStyle name="Normal 10 3 3 2" xfId="15688" xr:uid="{00000000-0005-0000-0000-000085630000}"/>
    <cellStyle name="Normal 10 3 3 2 2" xfId="29174" xr:uid="{00000000-0005-0000-0000-000086630000}"/>
    <cellStyle name="Normal 10 3 3 3" xfId="30957" xr:uid="{00000000-0005-0000-0000-000087630000}"/>
    <cellStyle name="Normal 10 3 4" xfId="11467" xr:uid="{00000000-0005-0000-0000-000088630000}"/>
    <cellStyle name="Normal 10 3 4 2" xfId="25299" xr:uid="{00000000-0005-0000-0000-000089630000}"/>
    <cellStyle name="Normal 10 3 5" xfId="30955" xr:uid="{00000000-0005-0000-0000-00008A630000}"/>
    <cellStyle name="Normal 10 3 6" xfId="32946" xr:uid="{00000000-0005-0000-0000-00008B630000}"/>
    <cellStyle name="Normal 10 3 7" xfId="33004" xr:uid="{00000000-0005-0000-0000-00008C630000}"/>
    <cellStyle name="Normal 10 4" xfId="6635" xr:uid="{00000000-0005-0000-0000-00008D630000}"/>
    <cellStyle name="Normal 10 4 2" xfId="13236" xr:uid="{00000000-0005-0000-0000-00008E630000}"/>
    <cellStyle name="Normal 10 4 2 2" xfId="26881" xr:uid="{00000000-0005-0000-0000-00008F630000}"/>
    <cellStyle name="Normal 10 4 3" xfId="30958" xr:uid="{00000000-0005-0000-0000-000090630000}"/>
    <cellStyle name="Normal 10 5" xfId="6636" xr:uid="{00000000-0005-0000-0000-000091630000}"/>
    <cellStyle name="Normal 10 5 2" xfId="15687" xr:uid="{00000000-0005-0000-0000-000092630000}"/>
    <cellStyle name="Normal 10 5 2 2" xfId="29173" xr:uid="{00000000-0005-0000-0000-000093630000}"/>
    <cellStyle name="Normal 10 5 3" xfId="30959" xr:uid="{00000000-0005-0000-0000-000094630000}"/>
    <cellStyle name="Normal 10 6" xfId="6637" xr:uid="{00000000-0005-0000-0000-000095630000}"/>
    <cellStyle name="Normal 10 6 2" xfId="15803" xr:uid="{00000000-0005-0000-0000-000096630000}"/>
    <cellStyle name="Normal 10 6 2 2" xfId="29210" xr:uid="{00000000-0005-0000-0000-000097630000}"/>
    <cellStyle name="Normal 10 6 3" xfId="30960" xr:uid="{00000000-0005-0000-0000-000098630000}"/>
    <cellStyle name="Normal 10 7" xfId="8720" xr:uid="{00000000-0005-0000-0000-000099630000}"/>
    <cellStyle name="Normal 10 7 2" xfId="10084" xr:uid="{00000000-0005-0000-0000-00009A630000}"/>
    <cellStyle name="Normal 10 7 2 2" xfId="24316" xr:uid="{00000000-0005-0000-0000-00009B630000}"/>
    <cellStyle name="Normal 10 8" xfId="8721" xr:uid="{00000000-0005-0000-0000-00009C630000}"/>
    <cellStyle name="Normal 10 8 2" xfId="17329" xr:uid="{00000000-0005-0000-0000-00009D630000}"/>
    <cellStyle name="Normal 10 8 3" xfId="23236" xr:uid="{00000000-0005-0000-0000-00009E630000}"/>
    <cellStyle name="Normal 11" xfId="6638" xr:uid="{00000000-0005-0000-0000-00009F630000}"/>
    <cellStyle name="Normal 11 2" xfId="10086" xr:uid="{00000000-0005-0000-0000-0000A0630000}"/>
    <cellStyle name="Normal 11 3" xfId="30961" xr:uid="{00000000-0005-0000-0000-0000A1630000}"/>
    <cellStyle name="Normal 11 4" xfId="32917" xr:uid="{00000000-0005-0000-0000-0000A2630000}"/>
    <cellStyle name="Normal 11 5" xfId="32977" xr:uid="{00000000-0005-0000-0000-0000A3630000}"/>
    <cellStyle name="Normal 12" xfId="6639" xr:uid="{00000000-0005-0000-0000-0000A4630000}"/>
    <cellStyle name="Normal 12 2" xfId="10087" xr:uid="{00000000-0005-0000-0000-0000A5630000}"/>
    <cellStyle name="Normal 12 3" xfId="30962" xr:uid="{00000000-0005-0000-0000-0000A6630000}"/>
    <cellStyle name="Normal 12 4" xfId="32943" xr:uid="{00000000-0005-0000-0000-0000A7630000}"/>
    <cellStyle name="Normal 13" xfId="6640" xr:uid="{00000000-0005-0000-0000-0000A8630000}"/>
    <cellStyle name="Normal 13 10" xfId="6641" xr:uid="{00000000-0005-0000-0000-0000A9630000}"/>
    <cellStyle name="Normal 13 10 2" xfId="6642" xr:uid="{00000000-0005-0000-0000-0000AA630000}"/>
    <cellStyle name="Normal 13 10 2 2" xfId="13238" xr:uid="{00000000-0005-0000-0000-0000AB630000}"/>
    <cellStyle name="Normal 13 10 2 2 2" xfId="26883" xr:uid="{00000000-0005-0000-0000-0000AC630000}"/>
    <cellStyle name="Normal 13 10 2 3" xfId="30964" xr:uid="{00000000-0005-0000-0000-0000AD630000}"/>
    <cellStyle name="Normal 13 10 3" xfId="6643" xr:uid="{00000000-0005-0000-0000-0000AE630000}"/>
    <cellStyle name="Normal 13 10 3 2" xfId="15689" xr:uid="{00000000-0005-0000-0000-0000AF630000}"/>
    <cellStyle name="Normal 13 10 3 2 2" xfId="29175" xr:uid="{00000000-0005-0000-0000-0000B0630000}"/>
    <cellStyle name="Normal 13 10 3 3" xfId="30965" xr:uid="{00000000-0005-0000-0000-0000B1630000}"/>
    <cellStyle name="Normal 13 10 4" xfId="6644" xr:uid="{00000000-0005-0000-0000-0000B2630000}"/>
    <cellStyle name="Normal 13 10 4 2" xfId="17110" xr:uid="{00000000-0005-0000-0000-0000B3630000}"/>
    <cellStyle name="Normal 13 10 4 2 2" xfId="30469" xr:uid="{00000000-0005-0000-0000-0000B4630000}"/>
    <cellStyle name="Normal 13 10 4 3" xfId="30966" xr:uid="{00000000-0005-0000-0000-0000B5630000}"/>
    <cellStyle name="Normal 13 10 5" xfId="10521" xr:uid="{00000000-0005-0000-0000-0000B6630000}"/>
    <cellStyle name="Normal 13 10 5 2" xfId="24467" xr:uid="{00000000-0005-0000-0000-0000B7630000}"/>
    <cellStyle name="Normal 13 10 6" xfId="30963" xr:uid="{00000000-0005-0000-0000-0000B8630000}"/>
    <cellStyle name="Normal 13 11" xfId="6645" xr:uid="{00000000-0005-0000-0000-0000B9630000}"/>
    <cellStyle name="Normal 13 11 2" xfId="6646" xr:uid="{00000000-0005-0000-0000-0000BA630000}"/>
    <cellStyle name="Normal 13 11 2 2" xfId="13239" xr:uid="{00000000-0005-0000-0000-0000BB630000}"/>
    <cellStyle name="Normal 13 11 2 2 2" xfId="26884" xr:uid="{00000000-0005-0000-0000-0000BC630000}"/>
    <cellStyle name="Normal 13 11 2 3" xfId="30968" xr:uid="{00000000-0005-0000-0000-0000BD630000}"/>
    <cellStyle name="Normal 13 11 3" xfId="6647" xr:uid="{00000000-0005-0000-0000-0000BE630000}"/>
    <cellStyle name="Normal 13 11 3 2" xfId="15690" xr:uid="{00000000-0005-0000-0000-0000BF630000}"/>
    <cellStyle name="Normal 13 11 3 2 2" xfId="29176" xr:uid="{00000000-0005-0000-0000-0000C0630000}"/>
    <cellStyle name="Normal 13 11 3 3" xfId="30969" xr:uid="{00000000-0005-0000-0000-0000C1630000}"/>
    <cellStyle name="Normal 13 11 4" xfId="6648" xr:uid="{00000000-0005-0000-0000-0000C2630000}"/>
    <cellStyle name="Normal 13 11 4 2" xfId="17199" xr:uid="{00000000-0005-0000-0000-0000C3630000}"/>
    <cellStyle name="Normal 13 11 4 2 2" xfId="30558" xr:uid="{00000000-0005-0000-0000-0000C4630000}"/>
    <cellStyle name="Normal 13 11 4 3" xfId="30970" xr:uid="{00000000-0005-0000-0000-0000C5630000}"/>
    <cellStyle name="Normal 13 11 5" xfId="11468" xr:uid="{00000000-0005-0000-0000-0000C6630000}"/>
    <cellStyle name="Normal 13 11 5 2" xfId="25300" xr:uid="{00000000-0005-0000-0000-0000C7630000}"/>
    <cellStyle name="Normal 13 11 6" xfId="30967" xr:uid="{00000000-0005-0000-0000-0000C8630000}"/>
    <cellStyle name="Normal 13 12" xfId="6649" xr:uid="{00000000-0005-0000-0000-0000C9630000}"/>
    <cellStyle name="Normal 13 12 2" xfId="6650" xr:uid="{00000000-0005-0000-0000-0000CA630000}"/>
    <cellStyle name="Normal 13 12 2 2" xfId="17288" xr:uid="{00000000-0005-0000-0000-0000CB630000}"/>
    <cellStyle name="Normal 13 12 2 2 2" xfId="30647" xr:uid="{00000000-0005-0000-0000-0000CC630000}"/>
    <cellStyle name="Normal 13 12 2 3" xfId="30972" xr:uid="{00000000-0005-0000-0000-0000CD630000}"/>
    <cellStyle name="Normal 13 12 3" xfId="11777" xr:uid="{00000000-0005-0000-0000-0000CE630000}"/>
    <cellStyle name="Normal 13 12 3 2" xfId="25492" xr:uid="{00000000-0005-0000-0000-0000CF630000}"/>
    <cellStyle name="Normal 13 12 4" xfId="30971" xr:uid="{00000000-0005-0000-0000-0000D0630000}"/>
    <cellStyle name="Normal 13 13" xfId="6651" xr:uid="{00000000-0005-0000-0000-0000D1630000}"/>
    <cellStyle name="Normal 13 13 2" xfId="6652" xr:uid="{00000000-0005-0000-0000-0000D2630000}"/>
    <cellStyle name="Normal 13 13 2 2" xfId="16440" xr:uid="{00000000-0005-0000-0000-0000D3630000}"/>
    <cellStyle name="Normal 13 13 2 2 2" xfId="29847" xr:uid="{00000000-0005-0000-0000-0000D4630000}"/>
    <cellStyle name="Normal 13 13 2 3" xfId="30974" xr:uid="{00000000-0005-0000-0000-0000D5630000}"/>
    <cellStyle name="Normal 13 13 3" xfId="13392" xr:uid="{00000000-0005-0000-0000-0000D6630000}"/>
    <cellStyle name="Normal 13 13 3 2" xfId="26941" xr:uid="{00000000-0005-0000-0000-0000D7630000}"/>
    <cellStyle name="Normal 13 13 4" xfId="30973" xr:uid="{00000000-0005-0000-0000-0000D8630000}"/>
    <cellStyle name="Normal 13 14" xfId="6653" xr:uid="{00000000-0005-0000-0000-0000D9630000}"/>
    <cellStyle name="Normal 13 14 2" xfId="13973" xr:uid="{00000000-0005-0000-0000-0000DA630000}"/>
    <cellStyle name="Normal 13 14 2 2" xfId="27522" xr:uid="{00000000-0005-0000-0000-0000DB630000}"/>
    <cellStyle name="Normal 13 14 3" xfId="30975" xr:uid="{00000000-0005-0000-0000-0000DC630000}"/>
    <cellStyle name="Normal 13 15" xfId="6654" xr:uid="{00000000-0005-0000-0000-0000DD630000}"/>
    <cellStyle name="Normal 13 15 2" xfId="15842" xr:uid="{00000000-0005-0000-0000-0000DE630000}"/>
    <cellStyle name="Normal 13 15 2 2" xfId="29249" xr:uid="{00000000-0005-0000-0000-0000DF630000}"/>
    <cellStyle name="Normal 13 15 3" xfId="30976" xr:uid="{00000000-0005-0000-0000-0000E0630000}"/>
    <cellStyle name="Normal 13 16" xfId="6655" xr:uid="{00000000-0005-0000-0000-0000E1630000}"/>
    <cellStyle name="Normal 13 16 2" xfId="15859" xr:uid="{00000000-0005-0000-0000-0000E2630000}"/>
    <cellStyle name="Normal 13 16 2 2" xfId="29266" xr:uid="{00000000-0005-0000-0000-0000E3630000}"/>
    <cellStyle name="Normal 13 16 3" xfId="30977" xr:uid="{00000000-0005-0000-0000-0000E4630000}"/>
    <cellStyle name="Normal 13 17" xfId="17375" xr:uid="{00000000-0005-0000-0000-0000E5630000}"/>
    <cellStyle name="Normal 13 18" xfId="10088" xr:uid="{00000000-0005-0000-0000-0000E6630000}"/>
    <cellStyle name="Normal 13 18 2" xfId="24317" xr:uid="{00000000-0005-0000-0000-0000E7630000}"/>
    <cellStyle name="Normal 13 2" xfId="6656" xr:uid="{00000000-0005-0000-0000-0000E8630000}"/>
    <cellStyle name="Normal 13 2 10" xfId="6657" xr:uid="{00000000-0005-0000-0000-0000E9630000}"/>
    <cellStyle name="Normal 13 2 10 2" xfId="15916" xr:uid="{00000000-0005-0000-0000-0000EA630000}"/>
    <cellStyle name="Normal 13 2 10 2 2" xfId="29323" xr:uid="{00000000-0005-0000-0000-0000EB630000}"/>
    <cellStyle name="Normal 13 2 10 3" xfId="30979" xr:uid="{00000000-0005-0000-0000-0000EC630000}"/>
    <cellStyle name="Normal 13 2 11" xfId="10089" xr:uid="{00000000-0005-0000-0000-0000ED630000}"/>
    <cellStyle name="Normal 13 2 11 2" xfId="24318" xr:uid="{00000000-0005-0000-0000-0000EE630000}"/>
    <cellStyle name="Normal 13 2 12" xfId="30978" xr:uid="{00000000-0005-0000-0000-0000EF630000}"/>
    <cellStyle name="Normal 13 2 2" xfId="6658" xr:uid="{00000000-0005-0000-0000-0000F0630000}"/>
    <cellStyle name="Normal 13 2 2 10" xfId="30980" xr:uid="{00000000-0005-0000-0000-0000F1630000}"/>
    <cellStyle name="Normal 13 2 2 2" xfId="6659" xr:uid="{00000000-0005-0000-0000-0000F2630000}"/>
    <cellStyle name="Normal 13 2 2 2 2" xfId="6660" xr:uid="{00000000-0005-0000-0000-0000F3630000}"/>
    <cellStyle name="Normal 13 2 2 2 2 2" xfId="6661" xr:uid="{00000000-0005-0000-0000-0000F4630000}"/>
    <cellStyle name="Normal 13 2 2 2 2 2 2" xfId="6662" xr:uid="{00000000-0005-0000-0000-0000F5630000}"/>
    <cellStyle name="Normal 13 2 2 2 2 2 2 2" xfId="16975" xr:uid="{00000000-0005-0000-0000-0000F6630000}"/>
    <cellStyle name="Normal 13 2 2 2 2 2 2 2 2" xfId="30382" xr:uid="{00000000-0005-0000-0000-0000F7630000}"/>
    <cellStyle name="Normal 13 2 2 2 2 2 2 3" xfId="30984" xr:uid="{00000000-0005-0000-0000-0000F8630000}"/>
    <cellStyle name="Normal 13 2 2 2 2 2 3" xfId="11472" xr:uid="{00000000-0005-0000-0000-0000F9630000}"/>
    <cellStyle name="Normal 13 2 2 2 2 2 3 2" xfId="25304" xr:uid="{00000000-0005-0000-0000-0000FA630000}"/>
    <cellStyle name="Normal 13 2 2 2 2 2 4" xfId="30983" xr:uid="{00000000-0005-0000-0000-0000FB630000}"/>
    <cellStyle name="Normal 13 2 2 2 2 3" xfId="6663" xr:uid="{00000000-0005-0000-0000-0000FC630000}"/>
    <cellStyle name="Normal 13 2 2 2 2 3 2" xfId="12363" xr:uid="{00000000-0005-0000-0000-0000FD630000}"/>
    <cellStyle name="Normal 13 2 2 2 2 3 2 2" xfId="26075" xr:uid="{00000000-0005-0000-0000-0000FE630000}"/>
    <cellStyle name="Normal 13 2 2 2 2 3 3" xfId="30985" xr:uid="{00000000-0005-0000-0000-0000FF630000}"/>
    <cellStyle name="Normal 13 2 2 2 2 4" xfId="6664" xr:uid="{00000000-0005-0000-0000-000000640000}"/>
    <cellStyle name="Normal 13 2 2 2 2 4 2" xfId="13927" xr:uid="{00000000-0005-0000-0000-000001640000}"/>
    <cellStyle name="Normal 13 2 2 2 2 4 2 2" xfId="27476" xr:uid="{00000000-0005-0000-0000-000002640000}"/>
    <cellStyle name="Normal 13 2 2 2 2 4 3" xfId="30986" xr:uid="{00000000-0005-0000-0000-000003640000}"/>
    <cellStyle name="Normal 13 2 2 2 2 5" xfId="6665" xr:uid="{00000000-0005-0000-0000-000004640000}"/>
    <cellStyle name="Normal 13 2 2 2 2 5 2" xfId="14508" xr:uid="{00000000-0005-0000-0000-000005640000}"/>
    <cellStyle name="Normal 13 2 2 2 2 5 2 2" xfId="28057" xr:uid="{00000000-0005-0000-0000-000006640000}"/>
    <cellStyle name="Normal 13 2 2 2 2 5 3" xfId="30987" xr:uid="{00000000-0005-0000-0000-000007640000}"/>
    <cellStyle name="Normal 13 2 2 2 2 6" xfId="6666" xr:uid="{00000000-0005-0000-0000-000008640000}"/>
    <cellStyle name="Normal 13 2 2 2 2 6 2" xfId="16394" xr:uid="{00000000-0005-0000-0000-000009640000}"/>
    <cellStyle name="Normal 13 2 2 2 2 6 2 2" xfId="29801" xr:uid="{00000000-0005-0000-0000-00000A640000}"/>
    <cellStyle name="Normal 13 2 2 2 2 6 3" xfId="30988" xr:uid="{00000000-0005-0000-0000-00000B640000}"/>
    <cellStyle name="Normal 13 2 2 2 2 7" xfId="10092" xr:uid="{00000000-0005-0000-0000-00000C640000}"/>
    <cellStyle name="Normal 13 2 2 2 2 7 2" xfId="24321" xr:uid="{00000000-0005-0000-0000-00000D640000}"/>
    <cellStyle name="Normal 13 2 2 2 2 8" xfId="30982" xr:uid="{00000000-0005-0000-0000-00000E640000}"/>
    <cellStyle name="Normal 13 2 2 2 3" xfId="6667" xr:uid="{00000000-0005-0000-0000-00000F640000}"/>
    <cellStyle name="Normal 13 2 2 2 3 2" xfId="6668" xr:uid="{00000000-0005-0000-0000-000010640000}"/>
    <cellStyle name="Normal 13 2 2 2 3 2 2" xfId="16686" xr:uid="{00000000-0005-0000-0000-000011640000}"/>
    <cellStyle name="Normal 13 2 2 2 3 2 2 2" xfId="30093" xr:uid="{00000000-0005-0000-0000-000012640000}"/>
    <cellStyle name="Normal 13 2 2 2 3 2 3" xfId="30990" xr:uid="{00000000-0005-0000-0000-000013640000}"/>
    <cellStyle name="Normal 13 2 2 2 3 3" xfId="11471" xr:uid="{00000000-0005-0000-0000-000014640000}"/>
    <cellStyle name="Normal 13 2 2 2 3 3 2" xfId="25303" xr:uid="{00000000-0005-0000-0000-000015640000}"/>
    <cellStyle name="Normal 13 2 2 2 3 4" xfId="30989" xr:uid="{00000000-0005-0000-0000-000016640000}"/>
    <cellStyle name="Normal 13 2 2 2 4" xfId="6669" xr:uid="{00000000-0005-0000-0000-000017640000}"/>
    <cellStyle name="Normal 13 2 2 2 4 2" xfId="12063" xr:uid="{00000000-0005-0000-0000-000018640000}"/>
    <cellStyle name="Normal 13 2 2 2 4 2 2" xfId="25778" xr:uid="{00000000-0005-0000-0000-000019640000}"/>
    <cellStyle name="Normal 13 2 2 2 4 3" xfId="30991" xr:uid="{00000000-0005-0000-0000-00001A640000}"/>
    <cellStyle name="Normal 13 2 2 2 5" xfId="6670" xr:uid="{00000000-0005-0000-0000-00001B640000}"/>
    <cellStyle name="Normal 13 2 2 2 5 2" xfId="13638" xr:uid="{00000000-0005-0000-0000-00001C640000}"/>
    <cellStyle name="Normal 13 2 2 2 5 2 2" xfId="27187" xr:uid="{00000000-0005-0000-0000-00001D640000}"/>
    <cellStyle name="Normal 13 2 2 2 5 3" xfId="30992" xr:uid="{00000000-0005-0000-0000-00001E640000}"/>
    <cellStyle name="Normal 13 2 2 2 6" xfId="6671" xr:uid="{00000000-0005-0000-0000-00001F640000}"/>
    <cellStyle name="Normal 13 2 2 2 6 2" xfId="14219" xr:uid="{00000000-0005-0000-0000-000020640000}"/>
    <cellStyle name="Normal 13 2 2 2 6 2 2" xfId="27768" xr:uid="{00000000-0005-0000-0000-000021640000}"/>
    <cellStyle name="Normal 13 2 2 2 6 3" xfId="30993" xr:uid="{00000000-0005-0000-0000-000022640000}"/>
    <cellStyle name="Normal 13 2 2 2 7" xfId="6672" xr:uid="{00000000-0005-0000-0000-000023640000}"/>
    <cellStyle name="Normal 13 2 2 2 7 2" xfId="16105" xr:uid="{00000000-0005-0000-0000-000024640000}"/>
    <cellStyle name="Normal 13 2 2 2 7 2 2" xfId="29512" xr:uid="{00000000-0005-0000-0000-000025640000}"/>
    <cellStyle name="Normal 13 2 2 2 7 3" xfId="30994" xr:uid="{00000000-0005-0000-0000-000026640000}"/>
    <cellStyle name="Normal 13 2 2 2 8" xfId="10091" xr:uid="{00000000-0005-0000-0000-000027640000}"/>
    <cellStyle name="Normal 13 2 2 2 8 2" xfId="24320" xr:uid="{00000000-0005-0000-0000-000028640000}"/>
    <cellStyle name="Normal 13 2 2 2 9" xfId="30981" xr:uid="{00000000-0005-0000-0000-000029640000}"/>
    <cellStyle name="Normal 13 2 2 3" xfId="6673" xr:uid="{00000000-0005-0000-0000-00002A640000}"/>
    <cellStyle name="Normal 13 2 2 3 2" xfId="6674" xr:uid="{00000000-0005-0000-0000-00002B640000}"/>
    <cellStyle name="Normal 13 2 2 3 2 2" xfId="6675" xr:uid="{00000000-0005-0000-0000-00002C640000}"/>
    <cellStyle name="Normal 13 2 2 3 2 2 2" xfId="16832" xr:uid="{00000000-0005-0000-0000-00002D640000}"/>
    <cellStyle name="Normal 13 2 2 3 2 2 2 2" xfId="30239" xr:uid="{00000000-0005-0000-0000-00002E640000}"/>
    <cellStyle name="Normal 13 2 2 3 2 2 3" xfId="30997" xr:uid="{00000000-0005-0000-0000-00002F640000}"/>
    <cellStyle name="Normal 13 2 2 3 2 3" xfId="11473" xr:uid="{00000000-0005-0000-0000-000030640000}"/>
    <cellStyle name="Normal 13 2 2 3 2 3 2" xfId="25305" xr:uid="{00000000-0005-0000-0000-000031640000}"/>
    <cellStyle name="Normal 13 2 2 3 2 4" xfId="30996" xr:uid="{00000000-0005-0000-0000-000032640000}"/>
    <cellStyle name="Normal 13 2 2 3 3" xfId="6676" xr:uid="{00000000-0005-0000-0000-000033640000}"/>
    <cellStyle name="Normal 13 2 2 3 3 2" xfId="12220" xr:uid="{00000000-0005-0000-0000-000034640000}"/>
    <cellStyle name="Normal 13 2 2 3 3 2 2" xfId="25932" xr:uid="{00000000-0005-0000-0000-000035640000}"/>
    <cellStyle name="Normal 13 2 2 3 3 3" xfId="30998" xr:uid="{00000000-0005-0000-0000-000036640000}"/>
    <cellStyle name="Normal 13 2 2 3 4" xfId="6677" xr:uid="{00000000-0005-0000-0000-000037640000}"/>
    <cellStyle name="Normal 13 2 2 3 4 2" xfId="13784" xr:uid="{00000000-0005-0000-0000-000038640000}"/>
    <cellStyle name="Normal 13 2 2 3 4 2 2" xfId="27333" xr:uid="{00000000-0005-0000-0000-000039640000}"/>
    <cellStyle name="Normal 13 2 2 3 4 3" xfId="30999" xr:uid="{00000000-0005-0000-0000-00003A640000}"/>
    <cellStyle name="Normal 13 2 2 3 5" xfId="6678" xr:uid="{00000000-0005-0000-0000-00003B640000}"/>
    <cellStyle name="Normal 13 2 2 3 5 2" xfId="14365" xr:uid="{00000000-0005-0000-0000-00003C640000}"/>
    <cellStyle name="Normal 13 2 2 3 5 2 2" xfId="27914" xr:uid="{00000000-0005-0000-0000-00003D640000}"/>
    <cellStyle name="Normal 13 2 2 3 5 3" xfId="31000" xr:uid="{00000000-0005-0000-0000-00003E640000}"/>
    <cellStyle name="Normal 13 2 2 3 6" xfId="6679" xr:uid="{00000000-0005-0000-0000-00003F640000}"/>
    <cellStyle name="Normal 13 2 2 3 6 2" xfId="16251" xr:uid="{00000000-0005-0000-0000-000040640000}"/>
    <cellStyle name="Normal 13 2 2 3 6 2 2" xfId="29658" xr:uid="{00000000-0005-0000-0000-000041640000}"/>
    <cellStyle name="Normal 13 2 2 3 6 3" xfId="31001" xr:uid="{00000000-0005-0000-0000-000042640000}"/>
    <cellStyle name="Normal 13 2 2 3 7" xfId="10093" xr:uid="{00000000-0005-0000-0000-000043640000}"/>
    <cellStyle name="Normal 13 2 2 3 7 2" xfId="24322" xr:uid="{00000000-0005-0000-0000-000044640000}"/>
    <cellStyle name="Normal 13 2 2 3 8" xfId="30995" xr:uid="{00000000-0005-0000-0000-000045640000}"/>
    <cellStyle name="Normal 13 2 2 4" xfId="6680" xr:uid="{00000000-0005-0000-0000-000046640000}"/>
    <cellStyle name="Normal 13 2 2 4 2" xfId="6681" xr:uid="{00000000-0005-0000-0000-000047640000}"/>
    <cellStyle name="Normal 13 2 2 4 2 2" xfId="17179" xr:uid="{00000000-0005-0000-0000-000048640000}"/>
    <cellStyle name="Normal 13 2 2 4 2 2 2" xfId="30538" xr:uid="{00000000-0005-0000-0000-000049640000}"/>
    <cellStyle name="Normal 13 2 2 4 2 3" xfId="31003" xr:uid="{00000000-0005-0000-0000-00004A640000}"/>
    <cellStyle name="Normal 13 2 2 4 3" xfId="11470" xr:uid="{00000000-0005-0000-0000-00004B640000}"/>
    <cellStyle name="Normal 13 2 2 4 3 2" xfId="25302" xr:uid="{00000000-0005-0000-0000-00004C640000}"/>
    <cellStyle name="Normal 13 2 2 4 4" xfId="31002" xr:uid="{00000000-0005-0000-0000-00004D640000}"/>
    <cellStyle name="Normal 13 2 2 5" xfId="6682" xr:uid="{00000000-0005-0000-0000-00004E640000}"/>
    <cellStyle name="Normal 13 2 2 5 2" xfId="6683" xr:uid="{00000000-0005-0000-0000-00004F640000}"/>
    <cellStyle name="Normal 13 2 2 5 2 2" xfId="17268" xr:uid="{00000000-0005-0000-0000-000050640000}"/>
    <cellStyle name="Normal 13 2 2 5 2 2 2" xfId="30627" xr:uid="{00000000-0005-0000-0000-000051640000}"/>
    <cellStyle name="Normal 13 2 2 5 2 3" xfId="31005" xr:uid="{00000000-0005-0000-0000-000052640000}"/>
    <cellStyle name="Normal 13 2 2 5 3" xfId="11918" xr:uid="{00000000-0005-0000-0000-000053640000}"/>
    <cellStyle name="Normal 13 2 2 5 3 2" xfId="25633" xr:uid="{00000000-0005-0000-0000-000054640000}"/>
    <cellStyle name="Normal 13 2 2 5 4" xfId="31004" xr:uid="{00000000-0005-0000-0000-000055640000}"/>
    <cellStyle name="Normal 13 2 2 6" xfId="6684" xr:uid="{00000000-0005-0000-0000-000056640000}"/>
    <cellStyle name="Normal 13 2 2 6 2" xfId="6685" xr:uid="{00000000-0005-0000-0000-000057640000}"/>
    <cellStyle name="Normal 13 2 2 6 2 2" xfId="16543" xr:uid="{00000000-0005-0000-0000-000058640000}"/>
    <cellStyle name="Normal 13 2 2 6 2 2 2" xfId="29950" xr:uid="{00000000-0005-0000-0000-000059640000}"/>
    <cellStyle name="Normal 13 2 2 6 2 3" xfId="31007" xr:uid="{00000000-0005-0000-0000-00005A640000}"/>
    <cellStyle name="Normal 13 2 2 6 3" xfId="13495" xr:uid="{00000000-0005-0000-0000-00005B640000}"/>
    <cellStyle name="Normal 13 2 2 6 3 2" xfId="27044" xr:uid="{00000000-0005-0000-0000-00005C640000}"/>
    <cellStyle name="Normal 13 2 2 6 4" xfId="31006" xr:uid="{00000000-0005-0000-0000-00005D640000}"/>
    <cellStyle name="Normal 13 2 2 7" xfId="6686" xr:uid="{00000000-0005-0000-0000-00005E640000}"/>
    <cellStyle name="Normal 13 2 2 7 2" xfId="14076" xr:uid="{00000000-0005-0000-0000-00005F640000}"/>
    <cellStyle name="Normal 13 2 2 7 2 2" xfId="27625" xr:uid="{00000000-0005-0000-0000-000060640000}"/>
    <cellStyle name="Normal 13 2 2 7 3" xfId="31008" xr:uid="{00000000-0005-0000-0000-000061640000}"/>
    <cellStyle name="Normal 13 2 2 8" xfId="6687" xr:uid="{00000000-0005-0000-0000-000062640000}"/>
    <cellStyle name="Normal 13 2 2 8 2" xfId="15962" xr:uid="{00000000-0005-0000-0000-000063640000}"/>
    <cellStyle name="Normal 13 2 2 8 2 2" xfId="29369" xr:uid="{00000000-0005-0000-0000-000064640000}"/>
    <cellStyle name="Normal 13 2 2 8 3" xfId="31009" xr:uid="{00000000-0005-0000-0000-000065640000}"/>
    <cellStyle name="Normal 13 2 2 9" xfId="10090" xr:uid="{00000000-0005-0000-0000-000066640000}"/>
    <cellStyle name="Normal 13 2 2 9 2" xfId="24319" xr:uid="{00000000-0005-0000-0000-000067640000}"/>
    <cellStyle name="Normal 13 2 3" xfId="6688" xr:uid="{00000000-0005-0000-0000-000068640000}"/>
    <cellStyle name="Normal 13 2 3 2" xfId="6689" xr:uid="{00000000-0005-0000-0000-000069640000}"/>
    <cellStyle name="Normal 13 2 3 2 2" xfId="6690" xr:uid="{00000000-0005-0000-0000-00006A640000}"/>
    <cellStyle name="Normal 13 2 3 2 2 2" xfId="6691" xr:uid="{00000000-0005-0000-0000-00006B640000}"/>
    <cellStyle name="Normal 13 2 3 2 2 2 2" xfId="16929" xr:uid="{00000000-0005-0000-0000-00006C640000}"/>
    <cellStyle name="Normal 13 2 3 2 2 2 2 2" xfId="30336" xr:uid="{00000000-0005-0000-0000-00006D640000}"/>
    <cellStyle name="Normal 13 2 3 2 2 2 3" xfId="31013" xr:uid="{00000000-0005-0000-0000-00006E640000}"/>
    <cellStyle name="Normal 13 2 3 2 2 3" xfId="11475" xr:uid="{00000000-0005-0000-0000-00006F640000}"/>
    <cellStyle name="Normal 13 2 3 2 2 3 2" xfId="25307" xr:uid="{00000000-0005-0000-0000-000070640000}"/>
    <cellStyle name="Normal 13 2 3 2 2 4" xfId="31012" xr:uid="{00000000-0005-0000-0000-000071640000}"/>
    <cellStyle name="Normal 13 2 3 2 3" xfId="6692" xr:uid="{00000000-0005-0000-0000-000072640000}"/>
    <cellStyle name="Normal 13 2 3 2 3 2" xfId="12317" xr:uid="{00000000-0005-0000-0000-000073640000}"/>
    <cellStyle name="Normal 13 2 3 2 3 2 2" xfId="26029" xr:uid="{00000000-0005-0000-0000-000074640000}"/>
    <cellStyle name="Normal 13 2 3 2 3 3" xfId="31014" xr:uid="{00000000-0005-0000-0000-000075640000}"/>
    <cellStyle name="Normal 13 2 3 2 4" xfId="6693" xr:uid="{00000000-0005-0000-0000-000076640000}"/>
    <cellStyle name="Normal 13 2 3 2 4 2" xfId="13881" xr:uid="{00000000-0005-0000-0000-000077640000}"/>
    <cellStyle name="Normal 13 2 3 2 4 2 2" xfId="27430" xr:uid="{00000000-0005-0000-0000-000078640000}"/>
    <cellStyle name="Normal 13 2 3 2 4 3" xfId="31015" xr:uid="{00000000-0005-0000-0000-000079640000}"/>
    <cellStyle name="Normal 13 2 3 2 5" xfId="6694" xr:uid="{00000000-0005-0000-0000-00007A640000}"/>
    <cellStyle name="Normal 13 2 3 2 5 2" xfId="14462" xr:uid="{00000000-0005-0000-0000-00007B640000}"/>
    <cellStyle name="Normal 13 2 3 2 5 2 2" xfId="28011" xr:uid="{00000000-0005-0000-0000-00007C640000}"/>
    <cellStyle name="Normal 13 2 3 2 5 3" xfId="31016" xr:uid="{00000000-0005-0000-0000-00007D640000}"/>
    <cellStyle name="Normal 13 2 3 2 6" xfId="6695" xr:uid="{00000000-0005-0000-0000-00007E640000}"/>
    <cellStyle name="Normal 13 2 3 2 6 2" xfId="16348" xr:uid="{00000000-0005-0000-0000-00007F640000}"/>
    <cellStyle name="Normal 13 2 3 2 6 2 2" xfId="29755" xr:uid="{00000000-0005-0000-0000-000080640000}"/>
    <cellStyle name="Normal 13 2 3 2 6 3" xfId="31017" xr:uid="{00000000-0005-0000-0000-000081640000}"/>
    <cellStyle name="Normal 13 2 3 2 7" xfId="10095" xr:uid="{00000000-0005-0000-0000-000082640000}"/>
    <cellStyle name="Normal 13 2 3 2 7 2" xfId="24324" xr:uid="{00000000-0005-0000-0000-000083640000}"/>
    <cellStyle name="Normal 13 2 3 2 8" xfId="31011" xr:uid="{00000000-0005-0000-0000-000084640000}"/>
    <cellStyle name="Normal 13 2 3 3" xfId="6696" xr:uid="{00000000-0005-0000-0000-000085640000}"/>
    <cellStyle name="Normal 13 2 3 3 2" xfId="6697" xr:uid="{00000000-0005-0000-0000-000086640000}"/>
    <cellStyle name="Normal 13 2 3 3 2 2" xfId="16640" xr:uid="{00000000-0005-0000-0000-000087640000}"/>
    <cellStyle name="Normal 13 2 3 3 2 2 2" xfId="30047" xr:uid="{00000000-0005-0000-0000-000088640000}"/>
    <cellStyle name="Normal 13 2 3 3 2 3" xfId="31019" xr:uid="{00000000-0005-0000-0000-000089640000}"/>
    <cellStyle name="Normal 13 2 3 3 3" xfId="11474" xr:uid="{00000000-0005-0000-0000-00008A640000}"/>
    <cellStyle name="Normal 13 2 3 3 3 2" xfId="25306" xr:uid="{00000000-0005-0000-0000-00008B640000}"/>
    <cellStyle name="Normal 13 2 3 3 4" xfId="31018" xr:uid="{00000000-0005-0000-0000-00008C640000}"/>
    <cellStyle name="Normal 13 2 3 4" xfId="6698" xr:uid="{00000000-0005-0000-0000-00008D640000}"/>
    <cellStyle name="Normal 13 2 3 4 2" xfId="12017" xr:uid="{00000000-0005-0000-0000-00008E640000}"/>
    <cellStyle name="Normal 13 2 3 4 2 2" xfId="25732" xr:uid="{00000000-0005-0000-0000-00008F640000}"/>
    <cellStyle name="Normal 13 2 3 4 3" xfId="31020" xr:uid="{00000000-0005-0000-0000-000090640000}"/>
    <cellStyle name="Normal 13 2 3 5" xfId="6699" xr:uid="{00000000-0005-0000-0000-000091640000}"/>
    <cellStyle name="Normal 13 2 3 5 2" xfId="13592" xr:uid="{00000000-0005-0000-0000-000092640000}"/>
    <cellStyle name="Normal 13 2 3 5 2 2" xfId="27141" xr:uid="{00000000-0005-0000-0000-000093640000}"/>
    <cellStyle name="Normal 13 2 3 5 3" xfId="31021" xr:uid="{00000000-0005-0000-0000-000094640000}"/>
    <cellStyle name="Normal 13 2 3 6" xfId="6700" xr:uid="{00000000-0005-0000-0000-000095640000}"/>
    <cellStyle name="Normal 13 2 3 6 2" xfId="14173" xr:uid="{00000000-0005-0000-0000-000096640000}"/>
    <cellStyle name="Normal 13 2 3 6 2 2" xfId="27722" xr:uid="{00000000-0005-0000-0000-000097640000}"/>
    <cellStyle name="Normal 13 2 3 6 3" xfId="31022" xr:uid="{00000000-0005-0000-0000-000098640000}"/>
    <cellStyle name="Normal 13 2 3 7" xfId="6701" xr:uid="{00000000-0005-0000-0000-000099640000}"/>
    <cellStyle name="Normal 13 2 3 7 2" xfId="16059" xr:uid="{00000000-0005-0000-0000-00009A640000}"/>
    <cellStyle name="Normal 13 2 3 7 2 2" xfId="29466" xr:uid="{00000000-0005-0000-0000-00009B640000}"/>
    <cellStyle name="Normal 13 2 3 7 3" xfId="31023" xr:uid="{00000000-0005-0000-0000-00009C640000}"/>
    <cellStyle name="Normal 13 2 3 8" xfId="10094" xr:uid="{00000000-0005-0000-0000-00009D640000}"/>
    <cellStyle name="Normal 13 2 3 8 2" xfId="24323" xr:uid="{00000000-0005-0000-0000-00009E640000}"/>
    <cellStyle name="Normal 13 2 3 9" xfId="31010" xr:uid="{00000000-0005-0000-0000-00009F640000}"/>
    <cellStyle name="Normal 13 2 4" xfId="6702" xr:uid="{00000000-0005-0000-0000-0000A0640000}"/>
    <cellStyle name="Normal 13 2 4 2" xfId="6703" xr:uid="{00000000-0005-0000-0000-0000A1640000}"/>
    <cellStyle name="Normal 13 2 4 2 2" xfId="6704" xr:uid="{00000000-0005-0000-0000-0000A2640000}"/>
    <cellStyle name="Normal 13 2 4 2 2 2" xfId="16786" xr:uid="{00000000-0005-0000-0000-0000A3640000}"/>
    <cellStyle name="Normal 13 2 4 2 2 2 2" xfId="30193" xr:uid="{00000000-0005-0000-0000-0000A4640000}"/>
    <cellStyle name="Normal 13 2 4 2 2 3" xfId="31026" xr:uid="{00000000-0005-0000-0000-0000A5640000}"/>
    <cellStyle name="Normal 13 2 4 2 3" xfId="11476" xr:uid="{00000000-0005-0000-0000-0000A6640000}"/>
    <cellStyle name="Normal 13 2 4 2 3 2" xfId="25308" xr:uid="{00000000-0005-0000-0000-0000A7640000}"/>
    <cellStyle name="Normal 13 2 4 2 4" xfId="31025" xr:uid="{00000000-0005-0000-0000-0000A8640000}"/>
    <cellStyle name="Normal 13 2 4 3" xfId="6705" xr:uid="{00000000-0005-0000-0000-0000A9640000}"/>
    <cellStyle name="Normal 13 2 4 3 2" xfId="12174" xr:uid="{00000000-0005-0000-0000-0000AA640000}"/>
    <cellStyle name="Normal 13 2 4 3 2 2" xfId="25886" xr:uid="{00000000-0005-0000-0000-0000AB640000}"/>
    <cellStyle name="Normal 13 2 4 3 3" xfId="31027" xr:uid="{00000000-0005-0000-0000-0000AC640000}"/>
    <cellStyle name="Normal 13 2 4 4" xfId="6706" xr:uid="{00000000-0005-0000-0000-0000AD640000}"/>
    <cellStyle name="Normal 13 2 4 4 2" xfId="13738" xr:uid="{00000000-0005-0000-0000-0000AE640000}"/>
    <cellStyle name="Normal 13 2 4 4 2 2" xfId="27287" xr:uid="{00000000-0005-0000-0000-0000AF640000}"/>
    <cellStyle name="Normal 13 2 4 4 3" xfId="31028" xr:uid="{00000000-0005-0000-0000-0000B0640000}"/>
    <cellStyle name="Normal 13 2 4 5" xfId="6707" xr:uid="{00000000-0005-0000-0000-0000B1640000}"/>
    <cellStyle name="Normal 13 2 4 5 2" xfId="14319" xr:uid="{00000000-0005-0000-0000-0000B2640000}"/>
    <cellStyle name="Normal 13 2 4 5 2 2" xfId="27868" xr:uid="{00000000-0005-0000-0000-0000B3640000}"/>
    <cellStyle name="Normal 13 2 4 5 3" xfId="31029" xr:uid="{00000000-0005-0000-0000-0000B4640000}"/>
    <cellStyle name="Normal 13 2 4 6" xfId="6708" xr:uid="{00000000-0005-0000-0000-0000B5640000}"/>
    <cellStyle name="Normal 13 2 4 6 2" xfId="16205" xr:uid="{00000000-0005-0000-0000-0000B6640000}"/>
    <cellStyle name="Normal 13 2 4 6 2 2" xfId="29612" xr:uid="{00000000-0005-0000-0000-0000B7640000}"/>
    <cellStyle name="Normal 13 2 4 6 3" xfId="31030" xr:uid="{00000000-0005-0000-0000-0000B8640000}"/>
    <cellStyle name="Normal 13 2 4 7" xfId="10096" xr:uid="{00000000-0005-0000-0000-0000B9640000}"/>
    <cellStyle name="Normal 13 2 4 7 2" xfId="24325" xr:uid="{00000000-0005-0000-0000-0000BA640000}"/>
    <cellStyle name="Normal 13 2 4 8" xfId="31024" xr:uid="{00000000-0005-0000-0000-0000BB640000}"/>
    <cellStyle name="Normal 13 2 5" xfId="6709" xr:uid="{00000000-0005-0000-0000-0000BC640000}"/>
    <cellStyle name="Normal 13 2 5 2" xfId="6710" xr:uid="{00000000-0005-0000-0000-0000BD640000}"/>
    <cellStyle name="Normal 13 2 5 2 2" xfId="13240" xr:uid="{00000000-0005-0000-0000-0000BE640000}"/>
    <cellStyle name="Normal 13 2 5 2 2 2" xfId="26885" xr:uid="{00000000-0005-0000-0000-0000BF640000}"/>
    <cellStyle name="Normal 13 2 5 2 3" xfId="31032" xr:uid="{00000000-0005-0000-0000-0000C0640000}"/>
    <cellStyle name="Normal 13 2 5 3" xfId="6711" xr:uid="{00000000-0005-0000-0000-0000C1640000}"/>
    <cellStyle name="Normal 13 2 5 3 2" xfId="15691" xr:uid="{00000000-0005-0000-0000-0000C2640000}"/>
    <cellStyle name="Normal 13 2 5 3 2 2" xfId="29177" xr:uid="{00000000-0005-0000-0000-0000C3640000}"/>
    <cellStyle name="Normal 13 2 5 3 3" xfId="31033" xr:uid="{00000000-0005-0000-0000-0000C4640000}"/>
    <cellStyle name="Normal 13 2 5 4" xfId="6712" xr:uid="{00000000-0005-0000-0000-0000C5640000}"/>
    <cellStyle name="Normal 13 2 5 4 2" xfId="17037" xr:uid="{00000000-0005-0000-0000-0000C6640000}"/>
    <cellStyle name="Normal 13 2 5 4 2 2" xfId="30440" xr:uid="{00000000-0005-0000-0000-0000C7640000}"/>
    <cellStyle name="Normal 13 2 5 4 3" xfId="31034" xr:uid="{00000000-0005-0000-0000-0000C8640000}"/>
    <cellStyle name="Normal 13 2 5 5" xfId="10542" xr:uid="{00000000-0005-0000-0000-0000C9640000}"/>
    <cellStyle name="Normal 13 2 5 5 2" xfId="24484" xr:uid="{00000000-0005-0000-0000-0000CA640000}"/>
    <cellStyle name="Normal 13 2 5 6" xfId="31031" xr:uid="{00000000-0005-0000-0000-0000CB640000}"/>
    <cellStyle name="Normal 13 2 6" xfId="6713" xr:uid="{00000000-0005-0000-0000-0000CC640000}"/>
    <cellStyle name="Normal 13 2 6 2" xfId="6714" xr:uid="{00000000-0005-0000-0000-0000CD640000}"/>
    <cellStyle name="Normal 13 2 6 2 2" xfId="13241" xr:uid="{00000000-0005-0000-0000-0000CE640000}"/>
    <cellStyle name="Normal 13 2 6 2 2 2" xfId="26886" xr:uid="{00000000-0005-0000-0000-0000CF640000}"/>
    <cellStyle name="Normal 13 2 6 2 3" xfId="31036" xr:uid="{00000000-0005-0000-0000-0000D0640000}"/>
    <cellStyle name="Normal 13 2 6 3" xfId="6715" xr:uid="{00000000-0005-0000-0000-0000D1640000}"/>
    <cellStyle name="Normal 13 2 6 3 2" xfId="15692" xr:uid="{00000000-0005-0000-0000-0000D2640000}"/>
    <cellStyle name="Normal 13 2 6 3 2 2" xfId="29178" xr:uid="{00000000-0005-0000-0000-0000D3640000}"/>
    <cellStyle name="Normal 13 2 6 3 3" xfId="31037" xr:uid="{00000000-0005-0000-0000-0000D4640000}"/>
    <cellStyle name="Normal 13 2 6 4" xfId="6716" xr:uid="{00000000-0005-0000-0000-0000D5640000}"/>
    <cellStyle name="Normal 13 2 6 4 2" xfId="17133" xr:uid="{00000000-0005-0000-0000-0000D6640000}"/>
    <cellStyle name="Normal 13 2 6 4 2 2" xfId="30492" xr:uid="{00000000-0005-0000-0000-0000D7640000}"/>
    <cellStyle name="Normal 13 2 6 4 3" xfId="31038" xr:uid="{00000000-0005-0000-0000-0000D8640000}"/>
    <cellStyle name="Normal 13 2 6 5" xfId="11469" xr:uid="{00000000-0005-0000-0000-0000D9640000}"/>
    <cellStyle name="Normal 13 2 6 5 2" xfId="25301" xr:uid="{00000000-0005-0000-0000-0000DA640000}"/>
    <cellStyle name="Normal 13 2 6 6" xfId="31035" xr:uid="{00000000-0005-0000-0000-0000DB640000}"/>
    <cellStyle name="Normal 13 2 7" xfId="6717" xr:uid="{00000000-0005-0000-0000-0000DC640000}"/>
    <cellStyle name="Normal 13 2 7 2" xfId="6718" xr:uid="{00000000-0005-0000-0000-0000DD640000}"/>
    <cellStyle name="Normal 13 2 7 2 2" xfId="17222" xr:uid="{00000000-0005-0000-0000-0000DE640000}"/>
    <cellStyle name="Normal 13 2 7 2 2 2" xfId="30581" xr:uid="{00000000-0005-0000-0000-0000DF640000}"/>
    <cellStyle name="Normal 13 2 7 2 3" xfId="31040" xr:uid="{00000000-0005-0000-0000-0000E0640000}"/>
    <cellStyle name="Normal 13 2 7 3" xfId="11859" xr:uid="{00000000-0005-0000-0000-0000E1640000}"/>
    <cellStyle name="Normal 13 2 7 3 2" xfId="25574" xr:uid="{00000000-0005-0000-0000-0000E2640000}"/>
    <cellStyle name="Normal 13 2 7 4" xfId="31039" xr:uid="{00000000-0005-0000-0000-0000E3640000}"/>
    <cellStyle name="Normal 13 2 8" xfId="6719" xr:uid="{00000000-0005-0000-0000-0000E4640000}"/>
    <cellStyle name="Normal 13 2 8 2" xfId="6720" xr:uid="{00000000-0005-0000-0000-0000E5640000}"/>
    <cellStyle name="Normal 13 2 8 2 2" xfId="16497" xr:uid="{00000000-0005-0000-0000-0000E6640000}"/>
    <cellStyle name="Normal 13 2 8 2 2 2" xfId="29904" xr:uid="{00000000-0005-0000-0000-0000E7640000}"/>
    <cellStyle name="Normal 13 2 8 2 3" xfId="31042" xr:uid="{00000000-0005-0000-0000-0000E8640000}"/>
    <cellStyle name="Normal 13 2 8 3" xfId="13449" xr:uid="{00000000-0005-0000-0000-0000E9640000}"/>
    <cellStyle name="Normal 13 2 8 3 2" xfId="26998" xr:uid="{00000000-0005-0000-0000-0000EA640000}"/>
    <cellStyle name="Normal 13 2 8 4" xfId="31041" xr:uid="{00000000-0005-0000-0000-0000EB640000}"/>
    <cellStyle name="Normal 13 2 9" xfId="6721" xr:uid="{00000000-0005-0000-0000-0000EC640000}"/>
    <cellStyle name="Normal 13 2 9 2" xfId="14030" xr:uid="{00000000-0005-0000-0000-0000ED640000}"/>
    <cellStyle name="Normal 13 2 9 2 2" xfId="27579" xr:uid="{00000000-0005-0000-0000-0000EE640000}"/>
    <cellStyle name="Normal 13 2 9 3" xfId="31043" xr:uid="{00000000-0005-0000-0000-0000EF640000}"/>
    <cellStyle name="Normal 13 3" xfId="6722" xr:uid="{00000000-0005-0000-0000-0000F0640000}"/>
    <cellStyle name="Normal 13 3 10" xfId="31044" xr:uid="{00000000-0005-0000-0000-0000F1640000}"/>
    <cellStyle name="Normal 13 3 2" xfId="6723" xr:uid="{00000000-0005-0000-0000-0000F2640000}"/>
    <cellStyle name="Normal 13 3 2 2" xfId="6724" xr:uid="{00000000-0005-0000-0000-0000F3640000}"/>
    <cellStyle name="Normal 13 3 2 2 2" xfId="6725" xr:uid="{00000000-0005-0000-0000-0000F4640000}"/>
    <cellStyle name="Normal 13 3 2 2 2 2" xfId="6726" xr:uid="{00000000-0005-0000-0000-0000F5640000}"/>
    <cellStyle name="Normal 13 3 2 2 2 2 2" xfId="16952" xr:uid="{00000000-0005-0000-0000-0000F6640000}"/>
    <cellStyle name="Normal 13 3 2 2 2 2 2 2" xfId="30359" xr:uid="{00000000-0005-0000-0000-0000F7640000}"/>
    <cellStyle name="Normal 13 3 2 2 2 2 3" xfId="31048" xr:uid="{00000000-0005-0000-0000-0000F8640000}"/>
    <cellStyle name="Normal 13 3 2 2 2 3" xfId="11479" xr:uid="{00000000-0005-0000-0000-0000F9640000}"/>
    <cellStyle name="Normal 13 3 2 2 2 3 2" xfId="25311" xr:uid="{00000000-0005-0000-0000-0000FA640000}"/>
    <cellStyle name="Normal 13 3 2 2 2 4" xfId="31047" xr:uid="{00000000-0005-0000-0000-0000FB640000}"/>
    <cellStyle name="Normal 13 3 2 2 3" xfId="6727" xr:uid="{00000000-0005-0000-0000-0000FC640000}"/>
    <cellStyle name="Normal 13 3 2 2 3 2" xfId="12340" xr:uid="{00000000-0005-0000-0000-0000FD640000}"/>
    <cellStyle name="Normal 13 3 2 2 3 2 2" xfId="26052" xr:uid="{00000000-0005-0000-0000-0000FE640000}"/>
    <cellStyle name="Normal 13 3 2 2 3 3" xfId="31049" xr:uid="{00000000-0005-0000-0000-0000FF640000}"/>
    <cellStyle name="Normal 13 3 2 2 4" xfId="6728" xr:uid="{00000000-0005-0000-0000-000000650000}"/>
    <cellStyle name="Normal 13 3 2 2 4 2" xfId="13904" xr:uid="{00000000-0005-0000-0000-000001650000}"/>
    <cellStyle name="Normal 13 3 2 2 4 2 2" xfId="27453" xr:uid="{00000000-0005-0000-0000-000002650000}"/>
    <cellStyle name="Normal 13 3 2 2 4 3" xfId="31050" xr:uid="{00000000-0005-0000-0000-000003650000}"/>
    <cellStyle name="Normal 13 3 2 2 5" xfId="6729" xr:uid="{00000000-0005-0000-0000-000004650000}"/>
    <cellStyle name="Normal 13 3 2 2 5 2" xfId="14485" xr:uid="{00000000-0005-0000-0000-000005650000}"/>
    <cellStyle name="Normal 13 3 2 2 5 2 2" xfId="28034" xr:uid="{00000000-0005-0000-0000-000006650000}"/>
    <cellStyle name="Normal 13 3 2 2 5 3" xfId="31051" xr:uid="{00000000-0005-0000-0000-000007650000}"/>
    <cellStyle name="Normal 13 3 2 2 6" xfId="6730" xr:uid="{00000000-0005-0000-0000-000008650000}"/>
    <cellStyle name="Normal 13 3 2 2 6 2" xfId="16371" xr:uid="{00000000-0005-0000-0000-000009650000}"/>
    <cellStyle name="Normal 13 3 2 2 6 2 2" xfId="29778" xr:uid="{00000000-0005-0000-0000-00000A650000}"/>
    <cellStyle name="Normal 13 3 2 2 6 3" xfId="31052" xr:uid="{00000000-0005-0000-0000-00000B650000}"/>
    <cellStyle name="Normal 13 3 2 2 7" xfId="10099" xr:uid="{00000000-0005-0000-0000-00000C650000}"/>
    <cellStyle name="Normal 13 3 2 2 7 2" xfId="24328" xr:uid="{00000000-0005-0000-0000-00000D650000}"/>
    <cellStyle name="Normal 13 3 2 2 8" xfId="31046" xr:uid="{00000000-0005-0000-0000-00000E650000}"/>
    <cellStyle name="Normal 13 3 2 3" xfId="6731" xr:uid="{00000000-0005-0000-0000-00000F650000}"/>
    <cellStyle name="Normal 13 3 2 3 2" xfId="6732" xr:uid="{00000000-0005-0000-0000-000010650000}"/>
    <cellStyle name="Normal 13 3 2 3 2 2" xfId="16663" xr:uid="{00000000-0005-0000-0000-000011650000}"/>
    <cellStyle name="Normal 13 3 2 3 2 2 2" xfId="30070" xr:uid="{00000000-0005-0000-0000-000012650000}"/>
    <cellStyle name="Normal 13 3 2 3 2 3" xfId="31054" xr:uid="{00000000-0005-0000-0000-000013650000}"/>
    <cellStyle name="Normal 13 3 2 3 3" xfId="11478" xr:uid="{00000000-0005-0000-0000-000014650000}"/>
    <cellStyle name="Normal 13 3 2 3 3 2" xfId="25310" xr:uid="{00000000-0005-0000-0000-000015650000}"/>
    <cellStyle name="Normal 13 3 2 3 4" xfId="31053" xr:uid="{00000000-0005-0000-0000-000016650000}"/>
    <cellStyle name="Normal 13 3 2 4" xfId="6733" xr:uid="{00000000-0005-0000-0000-000017650000}"/>
    <cellStyle name="Normal 13 3 2 4 2" xfId="12040" xr:uid="{00000000-0005-0000-0000-000018650000}"/>
    <cellStyle name="Normal 13 3 2 4 2 2" xfId="25755" xr:uid="{00000000-0005-0000-0000-000019650000}"/>
    <cellStyle name="Normal 13 3 2 4 3" xfId="31055" xr:uid="{00000000-0005-0000-0000-00001A650000}"/>
    <cellStyle name="Normal 13 3 2 5" xfId="6734" xr:uid="{00000000-0005-0000-0000-00001B650000}"/>
    <cellStyle name="Normal 13 3 2 5 2" xfId="13615" xr:uid="{00000000-0005-0000-0000-00001C650000}"/>
    <cellStyle name="Normal 13 3 2 5 2 2" xfId="27164" xr:uid="{00000000-0005-0000-0000-00001D650000}"/>
    <cellStyle name="Normal 13 3 2 5 3" xfId="31056" xr:uid="{00000000-0005-0000-0000-00001E650000}"/>
    <cellStyle name="Normal 13 3 2 6" xfId="6735" xr:uid="{00000000-0005-0000-0000-00001F650000}"/>
    <cellStyle name="Normal 13 3 2 6 2" xfId="14196" xr:uid="{00000000-0005-0000-0000-000020650000}"/>
    <cellStyle name="Normal 13 3 2 6 2 2" xfId="27745" xr:uid="{00000000-0005-0000-0000-000021650000}"/>
    <cellStyle name="Normal 13 3 2 6 3" xfId="31057" xr:uid="{00000000-0005-0000-0000-000022650000}"/>
    <cellStyle name="Normal 13 3 2 7" xfId="6736" xr:uid="{00000000-0005-0000-0000-000023650000}"/>
    <cellStyle name="Normal 13 3 2 7 2" xfId="16082" xr:uid="{00000000-0005-0000-0000-000024650000}"/>
    <cellStyle name="Normal 13 3 2 7 2 2" xfId="29489" xr:uid="{00000000-0005-0000-0000-000025650000}"/>
    <cellStyle name="Normal 13 3 2 7 3" xfId="31058" xr:uid="{00000000-0005-0000-0000-000026650000}"/>
    <cellStyle name="Normal 13 3 2 8" xfId="10098" xr:uid="{00000000-0005-0000-0000-000027650000}"/>
    <cellStyle name="Normal 13 3 2 8 2" xfId="24327" xr:uid="{00000000-0005-0000-0000-000028650000}"/>
    <cellStyle name="Normal 13 3 2 9" xfId="31045" xr:uid="{00000000-0005-0000-0000-000029650000}"/>
    <cellStyle name="Normal 13 3 3" xfId="6737" xr:uid="{00000000-0005-0000-0000-00002A650000}"/>
    <cellStyle name="Normal 13 3 3 2" xfId="6738" xr:uid="{00000000-0005-0000-0000-00002B650000}"/>
    <cellStyle name="Normal 13 3 3 2 2" xfId="6739" xr:uid="{00000000-0005-0000-0000-00002C650000}"/>
    <cellStyle name="Normal 13 3 3 2 2 2" xfId="16809" xr:uid="{00000000-0005-0000-0000-00002D650000}"/>
    <cellStyle name="Normal 13 3 3 2 2 2 2" xfId="30216" xr:uid="{00000000-0005-0000-0000-00002E650000}"/>
    <cellStyle name="Normal 13 3 3 2 2 3" xfId="31061" xr:uid="{00000000-0005-0000-0000-00002F650000}"/>
    <cellStyle name="Normal 13 3 3 2 3" xfId="11480" xr:uid="{00000000-0005-0000-0000-000030650000}"/>
    <cellStyle name="Normal 13 3 3 2 3 2" xfId="25312" xr:uid="{00000000-0005-0000-0000-000031650000}"/>
    <cellStyle name="Normal 13 3 3 2 4" xfId="31060" xr:uid="{00000000-0005-0000-0000-000032650000}"/>
    <cellStyle name="Normal 13 3 3 3" xfId="6740" xr:uid="{00000000-0005-0000-0000-000033650000}"/>
    <cellStyle name="Normal 13 3 3 3 2" xfId="12197" xr:uid="{00000000-0005-0000-0000-000034650000}"/>
    <cellStyle name="Normal 13 3 3 3 2 2" xfId="25909" xr:uid="{00000000-0005-0000-0000-000035650000}"/>
    <cellStyle name="Normal 13 3 3 3 3" xfId="31062" xr:uid="{00000000-0005-0000-0000-000036650000}"/>
    <cellStyle name="Normal 13 3 3 4" xfId="6741" xr:uid="{00000000-0005-0000-0000-000037650000}"/>
    <cellStyle name="Normal 13 3 3 4 2" xfId="13761" xr:uid="{00000000-0005-0000-0000-000038650000}"/>
    <cellStyle name="Normal 13 3 3 4 2 2" xfId="27310" xr:uid="{00000000-0005-0000-0000-000039650000}"/>
    <cellStyle name="Normal 13 3 3 4 3" xfId="31063" xr:uid="{00000000-0005-0000-0000-00003A650000}"/>
    <cellStyle name="Normal 13 3 3 5" xfId="6742" xr:uid="{00000000-0005-0000-0000-00003B650000}"/>
    <cellStyle name="Normal 13 3 3 5 2" xfId="14342" xr:uid="{00000000-0005-0000-0000-00003C650000}"/>
    <cellStyle name="Normal 13 3 3 5 2 2" xfId="27891" xr:uid="{00000000-0005-0000-0000-00003D650000}"/>
    <cellStyle name="Normal 13 3 3 5 3" xfId="31064" xr:uid="{00000000-0005-0000-0000-00003E650000}"/>
    <cellStyle name="Normal 13 3 3 6" xfId="6743" xr:uid="{00000000-0005-0000-0000-00003F650000}"/>
    <cellStyle name="Normal 13 3 3 6 2" xfId="16228" xr:uid="{00000000-0005-0000-0000-000040650000}"/>
    <cellStyle name="Normal 13 3 3 6 2 2" xfId="29635" xr:uid="{00000000-0005-0000-0000-000041650000}"/>
    <cellStyle name="Normal 13 3 3 6 3" xfId="31065" xr:uid="{00000000-0005-0000-0000-000042650000}"/>
    <cellStyle name="Normal 13 3 3 7" xfId="10100" xr:uid="{00000000-0005-0000-0000-000043650000}"/>
    <cellStyle name="Normal 13 3 3 7 2" xfId="24329" xr:uid="{00000000-0005-0000-0000-000044650000}"/>
    <cellStyle name="Normal 13 3 3 8" xfId="31059" xr:uid="{00000000-0005-0000-0000-000045650000}"/>
    <cellStyle name="Normal 13 3 4" xfId="6744" xr:uid="{00000000-0005-0000-0000-000046650000}"/>
    <cellStyle name="Normal 13 3 4 2" xfId="6745" xr:uid="{00000000-0005-0000-0000-000047650000}"/>
    <cellStyle name="Normal 13 3 4 2 2" xfId="17156" xr:uid="{00000000-0005-0000-0000-000048650000}"/>
    <cellStyle name="Normal 13 3 4 2 2 2" xfId="30515" xr:uid="{00000000-0005-0000-0000-000049650000}"/>
    <cellStyle name="Normal 13 3 4 2 3" xfId="31067" xr:uid="{00000000-0005-0000-0000-00004A650000}"/>
    <cellStyle name="Normal 13 3 4 3" xfId="11477" xr:uid="{00000000-0005-0000-0000-00004B650000}"/>
    <cellStyle name="Normal 13 3 4 3 2" xfId="25309" xr:uid="{00000000-0005-0000-0000-00004C650000}"/>
    <cellStyle name="Normal 13 3 4 4" xfId="31066" xr:uid="{00000000-0005-0000-0000-00004D650000}"/>
    <cellStyle name="Normal 13 3 5" xfId="6746" xr:uid="{00000000-0005-0000-0000-00004E650000}"/>
    <cellStyle name="Normal 13 3 5 2" xfId="6747" xr:uid="{00000000-0005-0000-0000-00004F650000}"/>
    <cellStyle name="Normal 13 3 5 2 2" xfId="17245" xr:uid="{00000000-0005-0000-0000-000050650000}"/>
    <cellStyle name="Normal 13 3 5 2 2 2" xfId="30604" xr:uid="{00000000-0005-0000-0000-000051650000}"/>
    <cellStyle name="Normal 13 3 5 2 3" xfId="31069" xr:uid="{00000000-0005-0000-0000-000052650000}"/>
    <cellStyle name="Normal 13 3 5 3" xfId="11895" xr:uid="{00000000-0005-0000-0000-000053650000}"/>
    <cellStyle name="Normal 13 3 5 3 2" xfId="25610" xr:uid="{00000000-0005-0000-0000-000054650000}"/>
    <cellStyle name="Normal 13 3 5 4" xfId="31068" xr:uid="{00000000-0005-0000-0000-000055650000}"/>
    <cellStyle name="Normal 13 3 6" xfId="6748" xr:uid="{00000000-0005-0000-0000-000056650000}"/>
    <cellStyle name="Normal 13 3 6 2" xfId="6749" xr:uid="{00000000-0005-0000-0000-000057650000}"/>
    <cellStyle name="Normal 13 3 6 2 2" xfId="16520" xr:uid="{00000000-0005-0000-0000-000058650000}"/>
    <cellStyle name="Normal 13 3 6 2 2 2" xfId="29927" xr:uid="{00000000-0005-0000-0000-000059650000}"/>
    <cellStyle name="Normal 13 3 6 2 3" xfId="31071" xr:uid="{00000000-0005-0000-0000-00005A650000}"/>
    <cellStyle name="Normal 13 3 6 3" xfId="13472" xr:uid="{00000000-0005-0000-0000-00005B650000}"/>
    <cellStyle name="Normal 13 3 6 3 2" xfId="27021" xr:uid="{00000000-0005-0000-0000-00005C650000}"/>
    <cellStyle name="Normal 13 3 6 4" xfId="31070" xr:uid="{00000000-0005-0000-0000-00005D650000}"/>
    <cellStyle name="Normal 13 3 7" xfId="6750" xr:uid="{00000000-0005-0000-0000-00005E650000}"/>
    <cellStyle name="Normal 13 3 7 2" xfId="14053" xr:uid="{00000000-0005-0000-0000-00005F650000}"/>
    <cellStyle name="Normal 13 3 7 2 2" xfId="27602" xr:uid="{00000000-0005-0000-0000-000060650000}"/>
    <cellStyle name="Normal 13 3 7 3" xfId="31072" xr:uid="{00000000-0005-0000-0000-000061650000}"/>
    <cellStyle name="Normal 13 3 8" xfId="6751" xr:uid="{00000000-0005-0000-0000-000062650000}"/>
    <cellStyle name="Normal 13 3 8 2" xfId="15939" xr:uid="{00000000-0005-0000-0000-000063650000}"/>
    <cellStyle name="Normal 13 3 8 2 2" xfId="29346" xr:uid="{00000000-0005-0000-0000-000064650000}"/>
    <cellStyle name="Normal 13 3 8 3" xfId="31073" xr:uid="{00000000-0005-0000-0000-000065650000}"/>
    <cellStyle name="Normal 13 3 9" xfId="10097" xr:uid="{00000000-0005-0000-0000-000066650000}"/>
    <cellStyle name="Normal 13 3 9 2" xfId="24326" xr:uid="{00000000-0005-0000-0000-000067650000}"/>
    <cellStyle name="Normal 13 4" xfId="6752" xr:uid="{00000000-0005-0000-0000-000068650000}"/>
    <cellStyle name="Normal 13 4 10" xfId="31074" xr:uid="{00000000-0005-0000-0000-000069650000}"/>
    <cellStyle name="Normal 13 4 2" xfId="6753" xr:uid="{00000000-0005-0000-0000-00006A650000}"/>
    <cellStyle name="Normal 13 4 2 2" xfId="6754" xr:uid="{00000000-0005-0000-0000-00006B650000}"/>
    <cellStyle name="Normal 13 4 2 2 2" xfId="6755" xr:uid="{00000000-0005-0000-0000-00006C650000}"/>
    <cellStyle name="Normal 13 4 2 2 2 2" xfId="6756" xr:uid="{00000000-0005-0000-0000-00006D650000}"/>
    <cellStyle name="Normal 13 4 2 2 2 2 2" xfId="16906" xr:uid="{00000000-0005-0000-0000-00006E650000}"/>
    <cellStyle name="Normal 13 4 2 2 2 2 2 2" xfId="30313" xr:uid="{00000000-0005-0000-0000-00006F650000}"/>
    <cellStyle name="Normal 13 4 2 2 2 2 3" xfId="31078" xr:uid="{00000000-0005-0000-0000-000070650000}"/>
    <cellStyle name="Normal 13 4 2 2 2 3" xfId="11483" xr:uid="{00000000-0005-0000-0000-000071650000}"/>
    <cellStyle name="Normal 13 4 2 2 2 3 2" xfId="25315" xr:uid="{00000000-0005-0000-0000-000072650000}"/>
    <cellStyle name="Normal 13 4 2 2 2 4" xfId="31077" xr:uid="{00000000-0005-0000-0000-000073650000}"/>
    <cellStyle name="Normal 13 4 2 2 3" xfId="6757" xr:uid="{00000000-0005-0000-0000-000074650000}"/>
    <cellStyle name="Normal 13 4 2 2 3 2" xfId="12294" xr:uid="{00000000-0005-0000-0000-000075650000}"/>
    <cellStyle name="Normal 13 4 2 2 3 2 2" xfId="26006" xr:uid="{00000000-0005-0000-0000-000076650000}"/>
    <cellStyle name="Normal 13 4 2 2 3 3" xfId="31079" xr:uid="{00000000-0005-0000-0000-000077650000}"/>
    <cellStyle name="Normal 13 4 2 2 4" xfId="6758" xr:uid="{00000000-0005-0000-0000-000078650000}"/>
    <cellStyle name="Normal 13 4 2 2 4 2" xfId="13858" xr:uid="{00000000-0005-0000-0000-000079650000}"/>
    <cellStyle name="Normal 13 4 2 2 4 2 2" xfId="27407" xr:uid="{00000000-0005-0000-0000-00007A650000}"/>
    <cellStyle name="Normal 13 4 2 2 4 3" xfId="31080" xr:uid="{00000000-0005-0000-0000-00007B650000}"/>
    <cellStyle name="Normal 13 4 2 2 5" xfId="6759" xr:uid="{00000000-0005-0000-0000-00007C650000}"/>
    <cellStyle name="Normal 13 4 2 2 5 2" xfId="14439" xr:uid="{00000000-0005-0000-0000-00007D650000}"/>
    <cellStyle name="Normal 13 4 2 2 5 2 2" xfId="27988" xr:uid="{00000000-0005-0000-0000-00007E650000}"/>
    <cellStyle name="Normal 13 4 2 2 5 3" xfId="31081" xr:uid="{00000000-0005-0000-0000-00007F650000}"/>
    <cellStyle name="Normal 13 4 2 2 6" xfId="6760" xr:uid="{00000000-0005-0000-0000-000080650000}"/>
    <cellStyle name="Normal 13 4 2 2 6 2" xfId="16325" xr:uid="{00000000-0005-0000-0000-000081650000}"/>
    <cellStyle name="Normal 13 4 2 2 6 2 2" xfId="29732" xr:uid="{00000000-0005-0000-0000-000082650000}"/>
    <cellStyle name="Normal 13 4 2 2 6 3" xfId="31082" xr:uid="{00000000-0005-0000-0000-000083650000}"/>
    <cellStyle name="Normal 13 4 2 2 7" xfId="10103" xr:uid="{00000000-0005-0000-0000-000084650000}"/>
    <cellStyle name="Normal 13 4 2 2 7 2" xfId="24332" xr:uid="{00000000-0005-0000-0000-000085650000}"/>
    <cellStyle name="Normal 13 4 2 2 8" xfId="31076" xr:uid="{00000000-0005-0000-0000-000086650000}"/>
    <cellStyle name="Normal 13 4 2 3" xfId="6761" xr:uid="{00000000-0005-0000-0000-000087650000}"/>
    <cellStyle name="Normal 13 4 2 3 2" xfId="6762" xr:uid="{00000000-0005-0000-0000-000088650000}"/>
    <cellStyle name="Normal 13 4 2 3 2 2" xfId="16617" xr:uid="{00000000-0005-0000-0000-000089650000}"/>
    <cellStyle name="Normal 13 4 2 3 2 2 2" xfId="30024" xr:uid="{00000000-0005-0000-0000-00008A650000}"/>
    <cellStyle name="Normal 13 4 2 3 2 3" xfId="31084" xr:uid="{00000000-0005-0000-0000-00008B650000}"/>
    <cellStyle name="Normal 13 4 2 3 3" xfId="11482" xr:uid="{00000000-0005-0000-0000-00008C650000}"/>
    <cellStyle name="Normal 13 4 2 3 3 2" xfId="25314" xr:uid="{00000000-0005-0000-0000-00008D650000}"/>
    <cellStyle name="Normal 13 4 2 3 4" xfId="31083" xr:uid="{00000000-0005-0000-0000-00008E650000}"/>
    <cellStyle name="Normal 13 4 2 4" xfId="6763" xr:uid="{00000000-0005-0000-0000-00008F650000}"/>
    <cellStyle name="Normal 13 4 2 4 2" xfId="11994" xr:uid="{00000000-0005-0000-0000-000090650000}"/>
    <cellStyle name="Normal 13 4 2 4 2 2" xfId="25709" xr:uid="{00000000-0005-0000-0000-000091650000}"/>
    <cellStyle name="Normal 13 4 2 4 3" xfId="31085" xr:uid="{00000000-0005-0000-0000-000092650000}"/>
    <cellStyle name="Normal 13 4 2 5" xfId="6764" xr:uid="{00000000-0005-0000-0000-000093650000}"/>
    <cellStyle name="Normal 13 4 2 5 2" xfId="13569" xr:uid="{00000000-0005-0000-0000-000094650000}"/>
    <cellStyle name="Normal 13 4 2 5 2 2" xfId="27118" xr:uid="{00000000-0005-0000-0000-000095650000}"/>
    <cellStyle name="Normal 13 4 2 5 3" xfId="31086" xr:uid="{00000000-0005-0000-0000-000096650000}"/>
    <cellStyle name="Normal 13 4 2 6" xfId="6765" xr:uid="{00000000-0005-0000-0000-000097650000}"/>
    <cellStyle name="Normal 13 4 2 6 2" xfId="14150" xr:uid="{00000000-0005-0000-0000-000098650000}"/>
    <cellStyle name="Normal 13 4 2 6 2 2" xfId="27699" xr:uid="{00000000-0005-0000-0000-000099650000}"/>
    <cellStyle name="Normal 13 4 2 6 3" xfId="31087" xr:uid="{00000000-0005-0000-0000-00009A650000}"/>
    <cellStyle name="Normal 13 4 2 7" xfId="6766" xr:uid="{00000000-0005-0000-0000-00009B650000}"/>
    <cellStyle name="Normal 13 4 2 7 2" xfId="16036" xr:uid="{00000000-0005-0000-0000-00009C650000}"/>
    <cellStyle name="Normal 13 4 2 7 2 2" xfId="29443" xr:uid="{00000000-0005-0000-0000-00009D650000}"/>
    <cellStyle name="Normal 13 4 2 7 3" xfId="31088" xr:uid="{00000000-0005-0000-0000-00009E650000}"/>
    <cellStyle name="Normal 13 4 2 8" xfId="10102" xr:uid="{00000000-0005-0000-0000-00009F650000}"/>
    <cellStyle name="Normal 13 4 2 8 2" xfId="24331" xr:uid="{00000000-0005-0000-0000-0000A0650000}"/>
    <cellStyle name="Normal 13 4 2 9" xfId="31075" xr:uid="{00000000-0005-0000-0000-0000A1650000}"/>
    <cellStyle name="Normal 13 4 3" xfId="6767" xr:uid="{00000000-0005-0000-0000-0000A2650000}"/>
    <cellStyle name="Normal 13 4 3 2" xfId="6768" xr:uid="{00000000-0005-0000-0000-0000A3650000}"/>
    <cellStyle name="Normal 13 4 3 2 2" xfId="6769" xr:uid="{00000000-0005-0000-0000-0000A4650000}"/>
    <cellStyle name="Normal 13 4 3 2 2 2" xfId="16766" xr:uid="{00000000-0005-0000-0000-0000A5650000}"/>
    <cellStyle name="Normal 13 4 3 2 2 2 2" xfId="30173" xr:uid="{00000000-0005-0000-0000-0000A6650000}"/>
    <cellStyle name="Normal 13 4 3 2 2 3" xfId="31091" xr:uid="{00000000-0005-0000-0000-0000A7650000}"/>
    <cellStyle name="Normal 13 4 3 2 3" xfId="11484" xr:uid="{00000000-0005-0000-0000-0000A8650000}"/>
    <cellStyle name="Normal 13 4 3 2 3 2" xfId="25316" xr:uid="{00000000-0005-0000-0000-0000A9650000}"/>
    <cellStyle name="Normal 13 4 3 2 4" xfId="31090" xr:uid="{00000000-0005-0000-0000-0000AA650000}"/>
    <cellStyle name="Normal 13 4 3 3" xfId="6770" xr:uid="{00000000-0005-0000-0000-0000AB650000}"/>
    <cellStyle name="Normal 13 4 3 3 2" xfId="12154" xr:uid="{00000000-0005-0000-0000-0000AC650000}"/>
    <cellStyle name="Normal 13 4 3 3 2 2" xfId="25866" xr:uid="{00000000-0005-0000-0000-0000AD650000}"/>
    <cellStyle name="Normal 13 4 3 3 3" xfId="31092" xr:uid="{00000000-0005-0000-0000-0000AE650000}"/>
    <cellStyle name="Normal 13 4 3 4" xfId="6771" xr:uid="{00000000-0005-0000-0000-0000AF650000}"/>
    <cellStyle name="Normal 13 4 3 4 2" xfId="13718" xr:uid="{00000000-0005-0000-0000-0000B0650000}"/>
    <cellStyle name="Normal 13 4 3 4 2 2" xfId="27267" xr:uid="{00000000-0005-0000-0000-0000B1650000}"/>
    <cellStyle name="Normal 13 4 3 4 3" xfId="31093" xr:uid="{00000000-0005-0000-0000-0000B2650000}"/>
    <cellStyle name="Normal 13 4 3 5" xfId="6772" xr:uid="{00000000-0005-0000-0000-0000B3650000}"/>
    <cellStyle name="Normal 13 4 3 5 2" xfId="14299" xr:uid="{00000000-0005-0000-0000-0000B4650000}"/>
    <cellStyle name="Normal 13 4 3 5 2 2" xfId="27848" xr:uid="{00000000-0005-0000-0000-0000B5650000}"/>
    <cellStyle name="Normal 13 4 3 5 3" xfId="31094" xr:uid="{00000000-0005-0000-0000-0000B6650000}"/>
    <cellStyle name="Normal 13 4 3 6" xfId="6773" xr:uid="{00000000-0005-0000-0000-0000B7650000}"/>
    <cellStyle name="Normal 13 4 3 6 2" xfId="16185" xr:uid="{00000000-0005-0000-0000-0000B8650000}"/>
    <cellStyle name="Normal 13 4 3 6 2 2" xfId="29592" xr:uid="{00000000-0005-0000-0000-0000B9650000}"/>
    <cellStyle name="Normal 13 4 3 6 3" xfId="31095" xr:uid="{00000000-0005-0000-0000-0000BA650000}"/>
    <cellStyle name="Normal 13 4 3 7" xfId="10104" xr:uid="{00000000-0005-0000-0000-0000BB650000}"/>
    <cellStyle name="Normal 13 4 3 7 2" xfId="24333" xr:uid="{00000000-0005-0000-0000-0000BC650000}"/>
    <cellStyle name="Normal 13 4 3 8" xfId="31089" xr:uid="{00000000-0005-0000-0000-0000BD650000}"/>
    <cellStyle name="Normal 13 4 4" xfId="6774" xr:uid="{00000000-0005-0000-0000-0000BE650000}"/>
    <cellStyle name="Normal 13 4 4 2" xfId="6775" xr:uid="{00000000-0005-0000-0000-0000BF650000}"/>
    <cellStyle name="Normal 13 4 4 2 2" xfId="16474" xr:uid="{00000000-0005-0000-0000-0000C0650000}"/>
    <cellStyle name="Normal 13 4 4 2 2 2" xfId="29881" xr:uid="{00000000-0005-0000-0000-0000C1650000}"/>
    <cellStyle name="Normal 13 4 4 2 3" xfId="31097" xr:uid="{00000000-0005-0000-0000-0000C2650000}"/>
    <cellStyle name="Normal 13 4 4 3" xfId="11481" xr:uid="{00000000-0005-0000-0000-0000C3650000}"/>
    <cellStyle name="Normal 13 4 4 3 2" xfId="25313" xr:uid="{00000000-0005-0000-0000-0000C4650000}"/>
    <cellStyle name="Normal 13 4 4 4" xfId="31096" xr:uid="{00000000-0005-0000-0000-0000C5650000}"/>
    <cellStyle name="Normal 13 4 5" xfId="6776" xr:uid="{00000000-0005-0000-0000-0000C6650000}"/>
    <cellStyle name="Normal 13 4 5 2" xfId="11825" xr:uid="{00000000-0005-0000-0000-0000C7650000}"/>
    <cellStyle name="Normal 13 4 5 2 2" xfId="25540" xr:uid="{00000000-0005-0000-0000-0000C8650000}"/>
    <cellStyle name="Normal 13 4 5 3" xfId="31098" xr:uid="{00000000-0005-0000-0000-0000C9650000}"/>
    <cellStyle name="Normal 13 4 6" xfId="6777" xr:uid="{00000000-0005-0000-0000-0000CA650000}"/>
    <cellStyle name="Normal 13 4 6 2" xfId="13426" xr:uid="{00000000-0005-0000-0000-0000CB650000}"/>
    <cellStyle name="Normal 13 4 6 2 2" xfId="26975" xr:uid="{00000000-0005-0000-0000-0000CC650000}"/>
    <cellStyle name="Normal 13 4 6 3" xfId="31099" xr:uid="{00000000-0005-0000-0000-0000CD650000}"/>
    <cellStyle name="Normal 13 4 7" xfId="6778" xr:uid="{00000000-0005-0000-0000-0000CE650000}"/>
    <cellStyle name="Normal 13 4 7 2" xfId="14007" xr:uid="{00000000-0005-0000-0000-0000CF650000}"/>
    <cellStyle name="Normal 13 4 7 2 2" xfId="27556" xr:uid="{00000000-0005-0000-0000-0000D0650000}"/>
    <cellStyle name="Normal 13 4 7 3" xfId="31100" xr:uid="{00000000-0005-0000-0000-0000D1650000}"/>
    <cellStyle name="Normal 13 4 8" xfId="6779" xr:uid="{00000000-0005-0000-0000-0000D2650000}"/>
    <cellStyle name="Normal 13 4 8 2" xfId="15893" xr:uid="{00000000-0005-0000-0000-0000D3650000}"/>
    <cellStyle name="Normal 13 4 8 2 2" xfId="29300" xr:uid="{00000000-0005-0000-0000-0000D4650000}"/>
    <cellStyle name="Normal 13 4 8 3" xfId="31101" xr:uid="{00000000-0005-0000-0000-0000D5650000}"/>
    <cellStyle name="Normal 13 4 9" xfId="10101" xr:uid="{00000000-0005-0000-0000-0000D6650000}"/>
    <cellStyle name="Normal 13 4 9 2" xfId="24330" xr:uid="{00000000-0005-0000-0000-0000D7650000}"/>
    <cellStyle name="Normal 13 5" xfId="6780" xr:uid="{00000000-0005-0000-0000-0000D8650000}"/>
    <cellStyle name="Normal 13 5 10" xfId="31102" xr:uid="{00000000-0005-0000-0000-0000D9650000}"/>
    <cellStyle name="Normal 13 5 2" xfId="6781" xr:uid="{00000000-0005-0000-0000-0000DA650000}"/>
    <cellStyle name="Normal 13 5 2 2" xfId="6782" xr:uid="{00000000-0005-0000-0000-0000DB650000}"/>
    <cellStyle name="Normal 13 5 2 2 2" xfId="6783" xr:uid="{00000000-0005-0000-0000-0000DC650000}"/>
    <cellStyle name="Normal 13 5 2 2 2 2" xfId="6784" xr:uid="{00000000-0005-0000-0000-0000DD650000}"/>
    <cellStyle name="Normal 13 5 2 2 2 2 2" xfId="16889" xr:uid="{00000000-0005-0000-0000-0000DE650000}"/>
    <cellStyle name="Normal 13 5 2 2 2 2 2 2" xfId="30296" xr:uid="{00000000-0005-0000-0000-0000DF650000}"/>
    <cellStyle name="Normal 13 5 2 2 2 2 3" xfId="31106" xr:uid="{00000000-0005-0000-0000-0000E0650000}"/>
    <cellStyle name="Normal 13 5 2 2 2 3" xfId="11487" xr:uid="{00000000-0005-0000-0000-0000E1650000}"/>
    <cellStyle name="Normal 13 5 2 2 2 3 2" xfId="25319" xr:uid="{00000000-0005-0000-0000-0000E2650000}"/>
    <cellStyle name="Normal 13 5 2 2 2 4" xfId="31105" xr:uid="{00000000-0005-0000-0000-0000E3650000}"/>
    <cellStyle name="Normal 13 5 2 2 3" xfId="6785" xr:uid="{00000000-0005-0000-0000-0000E4650000}"/>
    <cellStyle name="Normal 13 5 2 2 3 2" xfId="12277" xr:uid="{00000000-0005-0000-0000-0000E5650000}"/>
    <cellStyle name="Normal 13 5 2 2 3 2 2" xfId="25989" xr:uid="{00000000-0005-0000-0000-0000E6650000}"/>
    <cellStyle name="Normal 13 5 2 2 3 3" xfId="31107" xr:uid="{00000000-0005-0000-0000-0000E7650000}"/>
    <cellStyle name="Normal 13 5 2 2 4" xfId="6786" xr:uid="{00000000-0005-0000-0000-0000E8650000}"/>
    <cellStyle name="Normal 13 5 2 2 4 2" xfId="13841" xr:uid="{00000000-0005-0000-0000-0000E9650000}"/>
    <cellStyle name="Normal 13 5 2 2 4 2 2" xfId="27390" xr:uid="{00000000-0005-0000-0000-0000EA650000}"/>
    <cellStyle name="Normal 13 5 2 2 4 3" xfId="31108" xr:uid="{00000000-0005-0000-0000-0000EB650000}"/>
    <cellStyle name="Normal 13 5 2 2 5" xfId="6787" xr:uid="{00000000-0005-0000-0000-0000EC650000}"/>
    <cellStyle name="Normal 13 5 2 2 5 2" xfId="14422" xr:uid="{00000000-0005-0000-0000-0000ED650000}"/>
    <cellStyle name="Normal 13 5 2 2 5 2 2" xfId="27971" xr:uid="{00000000-0005-0000-0000-0000EE650000}"/>
    <cellStyle name="Normal 13 5 2 2 5 3" xfId="31109" xr:uid="{00000000-0005-0000-0000-0000EF650000}"/>
    <cellStyle name="Normal 13 5 2 2 6" xfId="6788" xr:uid="{00000000-0005-0000-0000-0000F0650000}"/>
    <cellStyle name="Normal 13 5 2 2 6 2" xfId="16308" xr:uid="{00000000-0005-0000-0000-0000F1650000}"/>
    <cellStyle name="Normal 13 5 2 2 6 2 2" xfId="29715" xr:uid="{00000000-0005-0000-0000-0000F2650000}"/>
    <cellStyle name="Normal 13 5 2 2 6 3" xfId="31110" xr:uid="{00000000-0005-0000-0000-0000F3650000}"/>
    <cellStyle name="Normal 13 5 2 2 7" xfId="10107" xr:uid="{00000000-0005-0000-0000-0000F4650000}"/>
    <cellStyle name="Normal 13 5 2 2 7 2" xfId="24336" xr:uid="{00000000-0005-0000-0000-0000F5650000}"/>
    <cellStyle name="Normal 13 5 2 2 8" xfId="31104" xr:uid="{00000000-0005-0000-0000-0000F6650000}"/>
    <cellStyle name="Normal 13 5 2 3" xfId="6789" xr:uid="{00000000-0005-0000-0000-0000F7650000}"/>
    <cellStyle name="Normal 13 5 2 3 2" xfId="6790" xr:uid="{00000000-0005-0000-0000-0000F8650000}"/>
    <cellStyle name="Normal 13 5 2 3 2 2" xfId="16600" xr:uid="{00000000-0005-0000-0000-0000F9650000}"/>
    <cellStyle name="Normal 13 5 2 3 2 2 2" xfId="30007" xr:uid="{00000000-0005-0000-0000-0000FA650000}"/>
    <cellStyle name="Normal 13 5 2 3 2 3" xfId="31112" xr:uid="{00000000-0005-0000-0000-0000FB650000}"/>
    <cellStyle name="Normal 13 5 2 3 3" xfId="11486" xr:uid="{00000000-0005-0000-0000-0000FC650000}"/>
    <cellStyle name="Normal 13 5 2 3 3 2" xfId="25318" xr:uid="{00000000-0005-0000-0000-0000FD650000}"/>
    <cellStyle name="Normal 13 5 2 3 4" xfId="31111" xr:uid="{00000000-0005-0000-0000-0000FE650000}"/>
    <cellStyle name="Normal 13 5 2 4" xfId="6791" xr:uid="{00000000-0005-0000-0000-0000FF650000}"/>
    <cellStyle name="Normal 13 5 2 4 2" xfId="11977" xr:uid="{00000000-0005-0000-0000-000000660000}"/>
    <cellStyle name="Normal 13 5 2 4 2 2" xfId="25692" xr:uid="{00000000-0005-0000-0000-000001660000}"/>
    <cellStyle name="Normal 13 5 2 4 3" xfId="31113" xr:uid="{00000000-0005-0000-0000-000002660000}"/>
    <cellStyle name="Normal 13 5 2 5" xfId="6792" xr:uid="{00000000-0005-0000-0000-000003660000}"/>
    <cellStyle name="Normal 13 5 2 5 2" xfId="13552" xr:uid="{00000000-0005-0000-0000-000004660000}"/>
    <cellStyle name="Normal 13 5 2 5 2 2" xfId="27101" xr:uid="{00000000-0005-0000-0000-000005660000}"/>
    <cellStyle name="Normal 13 5 2 5 3" xfId="31114" xr:uid="{00000000-0005-0000-0000-000006660000}"/>
    <cellStyle name="Normal 13 5 2 6" xfId="6793" xr:uid="{00000000-0005-0000-0000-000007660000}"/>
    <cellStyle name="Normal 13 5 2 6 2" xfId="14133" xr:uid="{00000000-0005-0000-0000-000008660000}"/>
    <cellStyle name="Normal 13 5 2 6 2 2" xfId="27682" xr:uid="{00000000-0005-0000-0000-000009660000}"/>
    <cellStyle name="Normal 13 5 2 6 3" xfId="31115" xr:uid="{00000000-0005-0000-0000-00000A660000}"/>
    <cellStyle name="Normal 13 5 2 7" xfId="6794" xr:uid="{00000000-0005-0000-0000-00000B660000}"/>
    <cellStyle name="Normal 13 5 2 7 2" xfId="16019" xr:uid="{00000000-0005-0000-0000-00000C660000}"/>
    <cellStyle name="Normal 13 5 2 7 2 2" xfId="29426" xr:uid="{00000000-0005-0000-0000-00000D660000}"/>
    <cellStyle name="Normal 13 5 2 7 3" xfId="31116" xr:uid="{00000000-0005-0000-0000-00000E660000}"/>
    <cellStyle name="Normal 13 5 2 8" xfId="10106" xr:uid="{00000000-0005-0000-0000-00000F660000}"/>
    <cellStyle name="Normal 13 5 2 8 2" xfId="24335" xr:uid="{00000000-0005-0000-0000-000010660000}"/>
    <cellStyle name="Normal 13 5 2 9" xfId="31103" xr:uid="{00000000-0005-0000-0000-000011660000}"/>
    <cellStyle name="Normal 13 5 3" xfId="6795" xr:uid="{00000000-0005-0000-0000-000012660000}"/>
    <cellStyle name="Normal 13 5 3 2" xfId="6796" xr:uid="{00000000-0005-0000-0000-000013660000}"/>
    <cellStyle name="Normal 13 5 3 2 2" xfId="6797" xr:uid="{00000000-0005-0000-0000-000014660000}"/>
    <cellStyle name="Normal 13 5 3 2 2 2" xfId="16749" xr:uid="{00000000-0005-0000-0000-000015660000}"/>
    <cellStyle name="Normal 13 5 3 2 2 2 2" xfId="30156" xr:uid="{00000000-0005-0000-0000-000016660000}"/>
    <cellStyle name="Normal 13 5 3 2 2 3" xfId="31119" xr:uid="{00000000-0005-0000-0000-000017660000}"/>
    <cellStyle name="Normal 13 5 3 2 3" xfId="11488" xr:uid="{00000000-0005-0000-0000-000018660000}"/>
    <cellStyle name="Normal 13 5 3 2 3 2" xfId="25320" xr:uid="{00000000-0005-0000-0000-000019660000}"/>
    <cellStyle name="Normal 13 5 3 2 4" xfId="31118" xr:uid="{00000000-0005-0000-0000-00001A660000}"/>
    <cellStyle name="Normal 13 5 3 3" xfId="6798" xr:uid="{00000000-0005-0000-0000-00001B660000}"/>
    <cellStyle name="Normal 13 5 3 3 2" xfId="12137" xr:uid="{00000000-0005-0000-0000-00001C660000}"/>
    <cellStyle name="Normal 13 5 3 3 2 2" xfId="25849" xr:uid="{00000000-0005-0000-0000-00001D660000}"/>
    <cellStyle name="Normal 13 5 3 3 3" xfId="31120" xr:uid="{00000000-0005-0000-0000-00001E660000}"/>
    <cellStyle name="Normal 13 5 3 4" xfId="6799" xr:uid="{00000000-0005-0000-0000-00001F660000}"/>
    <cellStyle name="Normal 13 5 3 4 2" xfId="13701" xr:uid="{00000000-0005-0000-0000-000020660000}"/>
    <cellStyle name="Normal 13 5 3 4 2 2" xfId="27250" xr:uid="{00000000-0005-0000-0000-000021660000}"/>
    <cellStyle name="Normal 13 5 3 4 3" xfId="31121" xr:uid="{00000000-0005-0000-0000-000022660000}"/>
    <cellStyle name="Normal 13 5 3 5" xfId="6800" xr:uid="{00000000-0005-0000-0000-000023660000}"/>
    <cellStyle name="Normal 13 5 3 5 2" xfId="14282" xr:uid="{00000000-0005-0000-0000-000024660000}"/>
    <cellStyle name="Normal 13 5 3 5 2 2" xfId="27831" xr:uid="{00000000-0005-0000-0000-000025660000}"/>
    <cellStyle name="Normal 13 5 3 5 3" xfId="31122" xr:uid="{00000000-0005-0000-0000-000026660000}"/>
    <cellStyle name="Normal 13 5 3 6" xfId="6801" xr:uid="{00000000-0005-0000-0000-000027660000}"/>
    <cellStyle name="Normal 13 5 3 6 2" xfId="16168" xr:uid="{00000000-0005-0000-0000-000028660000}"/>
    <cellStyle name="Normal 13 5 3 6 2 2" xfId="29575" xr:uid="{00000000-0005-0000-0000-000029660000}"/>
    <cellStyle name="Normal 13 5 3 6 3" xfId="31123" xr:uid="{00000000-0005-0000-0000-00002A660000}"/>
    <cellStyle name="Normal 13 5 3 7" xfId="10108" xr:uid="{00000000-0005-0000-0000-00002B660000}"/>
    <cellStyle name="Normal 13 5 3 7 2" xfId="24337" xr:uid="{00000000-0005-0000-0000-00002C660000}"/>
    <cellStyle name="Normal 13 5 3 8" xfId="31117" xr:uid="{00000000-0005-0000-0000-00002D660000}"/>
    <cellStyle name="Normal 13 5 4" xfId="6802" xr:uid="{00000000-0005-0000-0000-00002E660000}"/>
    <cellStyle name="Normal 13 5 4 2" xfId="6803" xr:uid="{00000000-0005-0000-0000-00002F660000}"/>
    <cellStyle name="Normal 13 5 4 2 2" xfId="16457" xr:uid="{00000000-0005-0000-0000-000030660000}"/>
    <cellStyle name="Normal 13 5 4 2 2 2" xfId="29864" xr:uid="{00000000-0005-0000-0000-000031660000}"/>
    <cellStyle name="Normal 13 5 4 2 3" xfId="31125" xr:uid="{00000000-0005-0000-0000-000032660000}"/>
    <cellStyle name="Normal 13 5 4 3" xfId="11485" xr:uid="{00000000-0005-0000-0000-000033660000}"/>
    <cellStyle name="Normal 13 5 4 3 2" xfId="25317" xr:uid="{00000000-0005-0000-0000-000034660000}"/>
    <cellStyle name="Normal 13 5 4 4" xfId="31124" xr:uid="{00000000-0005-0000-0000-000035660000}"/>
    <cellStyle name="Normal 13 5 5" xfId="6804" xr:uid="{00000000-0005-0000-0000-000036660000}"/>
    <cellStyle name="Normal 13 5 5 2" xfId="11808" xr:uid="{00000000-0005-0000-0000-000037660000}"/>
    <cellStyle name="Normal 13 5 5 2 2" xfId="25523" xr:uid="{00000000-0005-0000-0000-000038660000}"/>
    <cellStyle name="Normal 13 5 5 3" xfId="31126" xr:uid="{00000000-0005-0000-0000-000039660000}"/>
    <cellStyle name="Normal 13 5 6" xfId="6805" xr:uid="{00000000-0005-0000-0000-00003A660000}"/>
    <cellStyle name="Normal 13 5 6 2" xfId="13409" xr:uid="{00000000-0005-0000-0000-00003B660000}"/>
    <cellStyle name="Normal 13 5 6 2 2" xfId="26958" xr:uid="{00000000-0005-0000-0000-00003C660000}"/>
    <cellStyle name="Normal 13 5 6 3" xfId="31127" xr:uid="{00000000-0005-0000-0000-00003D660000}"/>
    <cellStyle name="Normal 13 5 7" xfId="6806" xr:uid="{00000000-0005-0000-0000-00003E660000}"/>
    <cellStyle name="Normal 13 5 7 2" xfId="13990" xr:uid="{00000000-0005-0000-0000-00003F660000}"/>
    <cellStyle name="Normal 13 5 7 2 2" xfId="27539" xr:uid="{00000000-0005-0000-0000-000040660000}"/>
    <cellStyle name="Normal 13 5 7 3" xfId="31128" xr:uid="{00000000-0005-0000-0000-000041660000}"/>
    <cellStyle name="Normal 13 5 8" xfId="6807" xr:uid="{00000000-0005-0000-0000-000042660000}"/>
    <cellStyle name="Normal 13 5 8 2" xfId="15876" xr:uid="{00000000-0005-0000-0000-000043660000}"/>
    <cellStyle name="Normal 13 5 8 2 2" xfId="29283" xr:uid="{00000000-0005-0000-0000-000044660000}"/>
    <cellStyle name="Normal 13 5 8 3" xfId="31129" xr:uid="{00000000-0005-0000-0000-000045660000}"/>
    <cellStyle name="Normal 13 5 9" xfId="10105" xr:uid="{00000000-0005-0000-0000-000046660000}"/>
    <cellStyle name="Normal 13 5 9 2" xfId="24334" xr:uid="{00000000-0005-0000-0000-000047660000}"/>
    <cellStyle name="Normal 13 6" xfId="6808" xr:uid="{00000000-0005-0000-0000-000048660000}"/>
    <cellStyle name="Normal 13 6 10" xfId="31130" xr:uid="{00000000-0005-0000-0000-000049660000}"/>
    <cellStyle name="Normal 13 6 2" xfId="6809" xr:uid="{00000000-0005-0000-0000-00004A660000}"/>
    <cellStyle name="Normal 13 6 2 2" xfId="6810" xr:uid="{00000000-0005-0000-0000-00004B660000}"/>
    <cellStyle name="Normal 13 6 2 2 2" xfId="6811" xr:uid="{00000000-0005-0000-0000-00004C660000}"/>
    <cellStyle name="Normal 13 6 2 2 2 2" xfId="6812" xr:uid="{00000000-0005-0000-0000-00004D660000}"/>
    <cellStyle name="Normal 13 6 2 2 2 2 2" xfId="16995" xr:uid="{00000000-0005-0000-0000-00004E660000}"/>
    <cellStyle name="Normal 13 6 2 2 2 2 2 2" xfId="30402" xr:uid="{00000000-0005-0000-0000-00004F660000}"/>
    <cellStyle name="Normal 13 6 2 2 2 2 3" xfId="31134" xr:uid="{00000000-0005-0000-0000-000050660000}"/>
    <cellStyle name="Normal 13 6 2 2 2 3" xfId="11491" xr:uid="{00000000-0005-0000-0000-000051660000}"/>
    <cellStyle name="Normal 13 6 2 2 2 3 2" xfId="25323" xr:uid="{00000000-0005-0000-0000-000052660000}"/>
    <cellStyle name="Normal 13 6 2 2 2 4" xfId="31133" xr:uid="{00000000-0005-0000-0000-000053660000}"/>
    <cellStyle name="Normal 13 6 2 2 3" xfId="6813" xr:uid="{00000000-0005-0000-0000-000054660000}"/>
    <cellStyle name="Normal 13 6 2 2 3 2" xfId="12383" xr:uid="{00000000-0005-0000-0000-000055660000}"/>
    <cellStyle name="Normal 13 6 2 2 3 2 2" xfId="26095" xr:uid="{00000000-0005-0000-0000-000056660000}"/>
    <cellStyle name="Normal 13 6 2 2 3 3" xfId="31135" xr:uid="{00000000-0005-0000-0000-000057660000}"/>
    <cellStyle name="Normal 13 6 2 2 4" xfId="6814" xr:uid="{00000000-0005-0000-0000-000058660000}"/>
    <cellStyle name="Normal 13 6 2 2 4 2" xfId="13947" xr:uid="{00000000-0005-0000-0000-000059660000}"/>
    <cellStyle name="Normal 13 6 2 2 4 2 2" xfId="27496" xr:uid="{00000000-0005-0000-0000-00005A660000}"/>
    <cellStyle name="Normal 13 6 2 2 4 3" xfId="31136" xr:uid="{00000000-0005-0000-0000-00005B660000}"/>
    <cellStyle name="Normal 13 6 2 2 5" xfId="6815" xr:uid="{00000000-0005-0000-0000-00005C660000}"/>
    <cellStyle name="Normal 13 6 2 2 5 2" xfId="14528" xr:uid="{00000000-0005-0000-0000-00005D660000}"/>
    <cellStyle name="Normal 13 6 2 2 5 2 2" xfId="28077" xr:uid="{00000000-0005-0000-0000-00005E660000}"/>
    <cellStyle name="Normal 13 6 2 2 5 3" xfId="31137" xr:uid="{00000000-0005-0000-0000-00005F660000}"/>
    <cellStyle name="Normal 13 6 2 2 6" xfId="6816" xr:uid="{00000000-0005-0000-0000-000060660000}"/>
    <cellStyle name="Normal 13 6 2 2 6 2" xfId="16414" xr:uid="{00000000-0005-0000-0000-000061660000}"/>
    <cellStyle name="Normal 13 6 2 2 6 2 2" xfId="29821" xr:uid="{00000000-0005-0000-0000-000062660000}"/>
    <cellStyle name="Normal 13 6 2 2 6 3" xfId="31138" xr:uid="{00000000-0005-0000-0000-000063660000}"/>
    <cellStyle name="Normal 13 6 2 2 7" xfId="10111" xr:uid="{00000000-0005-0000-0000-000064660000}"/>
    <cellStyle name="Normal 13 6 2 2 7 2" xfId="24340" xr:uid="{00000000-0005-0000-0000-000065660000}"/>
    <cellStyle name="Normal 13 6 2 2 8" xfId="31132" xr:uid="{00000000-0005-0000-0000-000066660000}"/>
    <cellStyle name="Normal 13 6 2 3" xfId="6817" xr:uid="{00000000-0005-0000-0000-000067660000}"/>
    <cellStyle name="Normal 13 6 2 3 2" xfId="6818" xr:uid="{00000000-0005-0000-0000-000068660000}"/>
    <cellStyle name="Normal 13 6 2 3 2 2" xfId="16706" xr:uid="{00000000-0005-0000-0000-000069660000}"/>
    <cellStyle name="Normal 13 6 2 3 2 2 2" xfId="30113" xr:uid="{00000000-0005-0000-0000-00006A660000}"/>
    <cellStyle name="Normal 13 6 2 3 2 3" xfId="31140" xr:uid="{00000000-0005-0000-0000-00006B660000}"/>
    <cellStyle name="Normal 13 6 2 3 3" xfId="11490" xr:uid="{00000000-0005-0000-0000-00006C660000}"/>
    <cellStyle name="Normal 13 6 2 3 3 2" xfId="25322" xr:uid="{00000000-0005-0000-0000-00006D660000}"/>
    <cellStyle name="Normal 13 6 2 3 4" xfId="31139" xr:uid="{00000000-0005-0000-0000-00006E660000}"/>
    <cellStyle name="Normal 13 6 2 4" xfId="6819" xr:uid="{00000000-0005-0000-0000-00006F660000}"/>
    <cellStyle name="Normal 13 6 2 4 2" xfId="12083" xr:uid="{00000000-0005-0000-0000-000070660000}"/>
    <cellStyle name="Normal 13 6 2 4 2 2" xfId="25798" xr:uid="{00000000-0005-0000-0000-000071660000}"/>
    <cellStyle name="Normal 13 6 2 4 3" xfId="31141" xr:uid="{00000000-0005-0000-0000-000072660000}"/>
    <cellStyle name="Normal 13 6 2 5" xfId="6820" xr:uid="{00000000-0005-0000-0000-000073660000}"/>
    <cellStyle name="Normal 13 6 2 5 2" xfId="13658" xr:uid="{00000000-0005-0000-0000-000074660000}"/>
    <cellStyle name="Normal 13 6 2 5 2 2" xfId="27207" xr:uid="{00000000-0005-0000-0000-000075660000}"/>
    <cellStyle name="Normal 13 6 2 5 3" xfId="31142" xr:uid="{00000000-0005-0000-0000-000076660000}"/>
    <cellStyle name="Normal 13 6 2 6" xfId="6821" xr:uid="{00000000-0005-0000-0000-000077660000}"/>
    <cellStyle name="Normal 13 6 2 6 2" xfId="14239" xr:uid="{00000000-0005-0000-0000-000078660000}"/>
    <cellStyle name="Normal 13 6 2 6 2 2" xfId="27788" xr:uid="{00000000-0005-0000-0000-000079660000}"/>
    <cellStyle name="Normal 13 6 2 6 3" xfId="31143" xr:uid="{00000000-0005-0000-0000-00007A660000}"/>
    <cellStyle name="Normal 13 6 2 7" xfId="6822" xr:uid="{00000000-0005-0000-0000-00007B660000}"/>
    <cellStyle name="Normal 13 6 2 7 2" xfId="16125" xr:uid="{00000000-0005-0000-0000-00007C660000}"/>
    <cellStyle name="Normal 13 6 2 7 2 2" xfId="29532" xr:uid="{00000000-0005-0000-0000-00007D660000}"/>
    <cellStyle name="Normal 13 6 2 7 3" xfId="31144" xr:uid="{00000000-0005-0000-0000-00007E660000}"/>
    <cellStyle name="Normal 13 6 2 8" xfId="10110" xr:uid="{00000000-0005-0000-0000-00007F660000}"/>
    <cellStyle name="Normal 13 6 2 8 2" xfId="24339" xr:uid="{00000000-0005-0000-0000-000080660000}"/>
    <cellStyle name="Normal 13 6 2 9" xfId="31131" xr:uid="{00000000-0005-0000-0000-000081660000}"/>
    <cellStyle name="Normal 13 6 3" xfId="6823" xr:uid="{00000000-0005-0000-0000-000082660000}"/>
    <cellStyle name="Normal 13 6 3 2" xfId="6824" xr:uid="{00000000-0005-0000-0000-000083660000}"/>
    <cellStyle name="Normal 13 6 3 2 2" xfId="6825" xr:uid="{00000000-0005-0000-0000-000084660000}"/>
    <cellStyle name="Normal 13 6 3 2 2 2" xfId="16852" xr:uid="{00000000-0005-0000-0000-000085660000}"/>
    <cellStyle name="Normal 13 6 3 2 2 2 2" xfId="30259" xr:uid="{00000000-0005-0000-0000-000086660000}"/>
    <cellStyle name="Normal 13 6 3 2 2 3" xfId="31147" xr:uid="{00000000-0005-0000-0000-000087660000}"/>
    <cellStyle name="Normal 13 6 3 2 3" xfId="11492" xr:uid="{00000000-0005-0000-0000-000088660000}"/>
    <cellStyle name="Normal 13 6 3 2 3 2" xfId="25324" xr:uid="{00000000-0005-0000-0000-000089660000}"/>
    <cellStyle name="Normal 13 6 3 2 4" xfId="31146" xr:uid="{00000000-0005-0000-0000-00008A660000}"/>
    <cellStyle name="Normal 13 6 3 3" xfId="6826" xr:uid="{00000000-0005-0000-0000-00008B660000}"/>
    <cellStyle name="Normal 13 6 3 3 2" xfId="12240" xr:uid="{00000000-0005-0000-0000-00008C660000}"/>
    <cellStyle name="Normal 13 6 3 3 2 2" xfId="25952" xr:uid="{00000000-0005-0000-0000-00008D660000}"/>
    <cellStyle name="Normal 13 6 3 3 3" xfId="31148" xr:uid="{00000000-0005-0000-0000-00008E660000}"/>
    <cellStyle name="Normal 13 6 3 4" xfId="6827" xr:uid="{00000000-0005-0000-0000-00008F660000}"/>
    <cellStyle name="Normal 13 6 3 4 2" xfId="13804" xr:uid="{00000000-0005-0000-0000-000090660000}"/>
    <cellStyle name="Normal 13 6 3 4 2 2" xfId="27353" xr:uid="{00000000-0005-0000-0000-000091660000}"/>
    <cellStyle name="Normal 13 6 3 4 3" xfId="31149" xr:uid="{00000000-0005-0000-0000-000092660000}"/>
    <cellStyle name="Normal 13 6 3 5" xfId="6828" xr:uid="{00000000-0005-0000-0000-000093660000}"/>
    <cellStyle name="Normal 13 6 3 5 2" xfId="14385" xr:uid="{00000000-0005-0000-0000-000094660000}"/>
    <cellStyle name="Normal 13 6 3 5 2 2" xfId="27934" xr:uid="{00000000-0005-0000-0000-000095660000}"/>
    <cellStyle name="Normal 13 6 3 5 3" xfId="31150" xr:uid="{00000000-0005-0000-0000-000096660000}"/>
    <cellStyle name="Normal 13 6 3 6" xfId="6829" xr:uid="{00000000-0005-0000-0000-000097660000}"/>
    <cellStyle name="Normal 13 6 3 6 2" xfId="16271" xr:uid="{00000000-0005-0000-0000-000098660000}"/>
    <cellStyle name="Normal 13 6 3 6 2 2" xfId="29678" xr:uid="{00000000-0005-0000-0000-000099660000}"/>
    <cellStyle name="Normal 13 6 3 6 3" xfId="31151" xr:uid="{00000000-0005-0000-0000-00009A660000}"/>
    <cellStyle name="Normal 13 6 3 7" xfId="10112" xr:uid="{00000000-0005-0000-0000-00009B660000}"/>
    <cellStyle name="Normal 13 6 3 7 2" xfId="24341" xr:uid="{00000000-0005-0000-0000-00009C660000}"/>
    <cellStyle name="Normal 13 6 3 8" xfId="31145" xr:uid="{00000000-0005-0000-0000-00009D660000}"/>
    <cellStyle name="Normal 13 6 4" xfId="6830" xr:uid="{00000000-0005-0000-0000-00009E660000}"/>
    <cellStyle name="Normal 13 6 4 2" xfId="6831" xr:uid="{00000000-0005-0000-0000-00009F660000}"/>
    <cellStyle name="Normal 13 6 4 2 2" xfId="16563" xr:uid="{00000000-0005-0000-0000-0000A0660000}"/>
    <cellStyle name="Normal 13 6 4 2 2 2" xfId="29970" xr:uid="{00000000-0005-0000-0000-0000A1660000}"/>
    <cellStyle name="Normal 13 6 4 2 3" xfId="31153" xr:uid="{00000000-0005-0000-0000-0000A2660000}"/>
    <cellStyle name="Normal 13 6 4 3" xfId="11489" xr:uid="{00000000-0005-0000-0000-0000A3660000}"/>
    <cellStyle name="Normal 13 6 4 3 2" xfId="25321" xr:uid="{00000000-0005-0000-0000-0000A4660000}"/>
    <cellStyle name="Normal 13 6 4 4" xfId="31152" xr:uid="{00000000-0005-0000-0000-0000A5660000}"/>
    <cellStyle name="Normal 13 6 5" xfId="6832" xr:uid="{00000000-0005-0000-0000-0000A6660000}"/>
    <cellStyle name="Normal 13 6 5 2" xfId="11938" xr:uid="{00000000-0005-0000-0000-0000A7660000}"/>
    <cellStyle name="Normal 13 6 5 2 2" xfId="25653" xr:uid="{00000000-0005-0000-0000-0000A8660000}"/>
    <cellStyle name="Normal 13 6 5 3" xfId="31154" xr:uid="{00000000-0005-0000-0000-0000A9660000}"/>
    <cellStyle name="Normal 13 6 6" xfId="6833" xr:uid="{00000000-0005-0000-0000-0000AA660000}"/>
    <cellStyle name="Normal 13 6 6 2" xfId="13515" xr:uid="{00000000-0005-0000-0000-0000AB660000}"/>
    <cellStyle name="Normal 13 6 6 2 2" xfId="27064" xr:uid="{00000000-0005-0000-0000-0000AC660000}"/>
    <cellStyle name="Normal 13 6 6 3" xfId="31155" xr:uid="{00000000-0005-0000-0000-0000AD660000}"/>
    <cellStyle name="Normal 13 6 7" xfId="6834" xr:uid="{00000000-0005-0000-0000-0000AE660000}"/>
    <cellStyle name="Normal 13 6 7 2" xfId="14096" xr:uid="{00000000-0005-0000-0000-0000AF660000}"/>
    <cellStyle name="Normal 13 6 7 2 2" xfId="27645" xr:uid="{00000000-0005-0000-0000-0000B0660000}"/>
    <cellStyle name="Normal 13 6 7 3" xfId="31156" xr:uid="{00000000-0005-0000-0000-0000B1660000}"/>
    <cellStyle name="Normal 13 6 8" xfId="6835" xr:uid="{00000000-0005-0000-0000-0000B2660000}"/>
    <cellStyle name="Normal 13 6 8 2" xfId="15982" xr:uid="{00000000-0005-0000-0000-0000B3660000}"/>
    <cellStyle name="Normal 13 6 8 2 2" xfId="29389" xr:uid="{00000000-0005-0000-0000-0000B4660000}"/>
    <cellStyle name="Normal 13 6 8 3" xfId="31157" xr:uid="{00000000-0005-0000-0000-0000B5660000}"/>
    <cellStyle name="Normal 13 6 9" xfId="10109" xr:uid="{00000000-0005-0000-0000-0000B6660000}"/>
    <cellStyle name="Normal 13 6 9 2" xfId="24338" xr:uid="{00000000-0005-0000-0000-0000B7660000}"/>
    <cellStyle name="Normal 13 7" xfId="6836" xr:uid="{00000000-0005-0000-0000-0000B8660000}"/>
    <cellStyle name="Normal 13 7 2" xfId="6837" xr:uid="{00000000-0005-0000-0000-0000B9660000}"/>
    <cellStyle name="Normal 13 7 2 2" xfId="6838" xr:uid="{00000000-0005-0000-0000-0000BA660000}"/>
    <cellStyle name="Normal 13 7 2 2 2" xfId="6839" xr:uid="{00000000-0005-0000-0000-0000BB660000}"/>
    <cellStyle name="Normal 13 7 2 2 2 2" xfId="16872" xr:uid="{00000000-0005-0000-0000-0000BC660000}"/>
    <cellStyle name="Normal 13 7 2 2 2 2 2" xfId="30279" xr:uid="{00000000-0005-0000-0000-0000BD660000}"/>
    <cellStyle name="Normal 13 7 2 2 2 3" xfId="31161" xr:uid="{00000000-0005-0000-0000-0000BE660000}"/>
    <cellStyle name="Normal 13 7 2 2 3" xfId="11494" xr:uid="{00000000-0005-0000-0000-0000BF660000}"/>
    <cellStyle name="Normal 13 7 2 2 3 2" xfId="25326" xr:uid="{00000000-0005-0000-0000-0000C0660000}"/>
    <cellStyle name="Normal 13 7 2 2 4" xfId="31160" xr:uid="{00000000-0005-0000-0000-0000C1660000}"/>
    <cellStyle name="Normal 13 7 2 3" xfId="6840" xr:uid="{00000000-0005-0000-0000-0000C2660000}"/>
    <cellStyle name="Normal 13 7 2 3 2" xfId="12260" xr:uid="{00000000-0005-0000-0000-0000C3660000}"/>
    <cellStyle name="Normal 13 7 2 3 2 2" xfId="25972" xr:uid="{00000000-0005-0000-0000-0000C4660000}"/>
    <cellStyle name="Normal 13 7 2 3 3" xfId="31162" xr:uid="{00000000-0005-0000-0000-0000C5660000}"/>
    <cellStyle name="Normal 13 7 2 4" xfId="6841" xr:uid="{00000000-0005-0000-0000-0000C6660000}"/>
    <cellStyle name="Normal 13 7 2 4 2" xfId="13824" xr:uid="{00000000-0005-0000-0000-0000C7660000}"/>
    <cellStyle name="Normal 13 7 2 4 2 2" xfId="27373" xr:uid="{00000000-0005-0000-0000-0000C8660000}"/>
    <cellStyle name="Normal 13 7 2 4 3" xfId="31163" xr:uid="{00000000-0005-0000-0000-0000C9660000}"/>
    <cellStyle name="Normal 13 7 2 5" xfId="6842" xr:uid="{00000000-0005-0000-0000-0000CA660000}"/>
    <cellStyle name="Normal 13 7 2 5 2" xfId="14405" xr:uid="{00000000-0005-0000-0000-0000CB660000}"/>
    <cellStyle name="Normal 13 7 2 5 2 2" xfId="27954" xr:uid="{00000000-0005-0000-0000-0000CC660000}"/>
    <cellStyle name="Normal 13 7 2 5 3" xfId="31164" xr:uid="{00000000-0005-0000-0000-0000CD660000}"/>
    <cellStyle name="Normal 13 7 2 6" xfId="6843" xr:uid="{00000000-0005-0000-0000-0000CE660000}"/>
    <cellStyle name="Normal 13 7 2 6 2" xfId="16291" xr:uid="{00000000-0005-0000-0000-0000CF660000}"/>
    <cellStyle name="Normal 13 7 2 6 2 2" xfId="29698" xr:uid="{00000000-0005-0000-0000-0000D0660000}"/>
    <cellStyle name="Normal 13 7 2 6 3" xfId="31165" xr:uid="{00000000-0005-0000-0000-0000D1660000}"/>
    <cellStyle name="Normal 13 7 2 7" xfId="10114" xr:uid="{00000000-0005-0000-0000-0000D2660000}"/>
    <cellStyle name="Normal 13 7 2 7 2" xfId="24343" xr:uid="{00000000-0005-0000-0000-0000D3660000}"/>
    <cellStyle name="Normal 13 7 2 8" xfId="31159" xr:uid="{00000000-0005-0000-0000-0000D4660000}"/>
    <cellStyle name="Normal 13 7 3" xfId="6844" xr:uid="{00000000-0005-0000-0000-0000D5660000}"/>
    <cellStyle name="Normal 13 7 3 2" xfId="6845" xr:uid="{00000000-0005-0000-0000-0000D6660000}"/>
    <cellStyle name="Normal 13 7 3 2 2" xfId="16583" xr:uid="{00000000-0005-0000-0000-0000D7660000}"/>
    <cellStyle name="Normal 13 7 3 2 2 2" xfId="29990" xr:uid="{00000000-0005-0000-0000-0000D8660000}"/>
    <cellStyle name="Normal 13 7 3 2 3" xfId="31167" xr:uid="{00000000-0005-0000-0000-0000D9660000}"/>
    <cellStyle name="Normal 13 7 3 3" xfId="11493" xr:uid="{00000000-0005-0000-0000-0000DA660000}"/>
    <cellStyle name="Normal 13 7 3 3 2" xfId="25325" xr:uid="{00000000-0005-0000-0000-0000DB660000}"/>
    <cellStyle name="Normal 13 7 3 4" xfId="31166" xr:uid="{00000000-0005-0000-0000-0000DC660000}"/>
    <cellStyle name="Normal 13 7 4" xfId="6846" xr:uid="{00000000-0005-0000-0000-0000DD660000}"/>
    <cellStyle name="Normal 13 7 4 2" xfId="11960" xr:uid="{00000000-0005-0000-0000-0000DE660000}"/>
    <cellStyle name="Normal 13 7 4 2 2" xfId="25675" xr:uid="{00000000-0005-0000-0000-0000DF660000}"/>
    <cellStyle name="Normal 13 7 4 3" xfId="31168" xr:uid="{00000000-0005-0000-0000-0000E0660000}"/>
    <cellStyle name="Normal 13 7 5" xfId="6847" xr:uid="{00000000-0005-0000-0000-0000E1660000}"/>
    <cellStyle name="Normal 13 7 5 2" xfId="13535" xr:uid="{00000000-0005-0000-0000-0000E2660000}"/>
    <cellStyle name="Normal 13 7 5 2 2" xfId="27084" xr:uid="{00000000-0005-0000-0000-0000E3660000}"/>
    <cellStyle name="Normal 13 7 5 3" xfId="31169" xr:uid="{00000000-0005-0000-0000-0000E4660000}"/>
    <cellStyle name="Normal 13 7 6" xfId="6848" xr:uid="{00000000-0005-0000-0000-0000E5660000}"/>
    <cellStyle name="Normal 13 7 6 2" xfId="14116" xr:uid="{00000000-0005-0000-0000-0000E6660000}"/>
    <cellStyle name="Normal 13 7 6 2 2" xfId="27665" xr:uid="{00000000-0005-0000-0000-0000E7660000}"/>
    <cellStyle name="Normal 13 7 6 3" xfId="31170" xr:uid="{00000000-0005-0000-0000-0000E8660000}"/>
    <cellStyle name="Normal 13 7 7" xfId="6849" xr:uid="{00000000-0005-0000-0000-0000E9660000}"/>
    <cellStyle name="Normal 13 7 7 2" xfId="16002" xr:uid="{00000000-0005-0000-0000-0000EA660000}"/>
    <cellStyle name="Normal 13 7 7 2 2" xfId="29409" xr:uid="{00000000-0005-0000-0000-0000EB660000}"/>
    <cellStyle name="Normal 13 7 7 3" xfId="31171" xr:uid="{00000000-0005-0000-0000-0000EC660000}"/>
    <cellStyle name="Normal 13 7 8" xfId="10113" xr:uid="{00000000-0005-0000-0000-0000ED660000}"/>
    <cellStyle name="Normal 13 7 8 2" xfId="24342" xr:uid="{00000000-0005-0000-0000-0000EE660000}"/>
    <cellStyle name="Normal 13 7 9" xfId="31158" xr:uid="{00000000-0005-0000-0000-0000EF660000}"/>
    <cellStyle name="Normal 13 8" xfId="6850" xr:uid="{00000000-0005-0000-0000-0000F0660000}"/>
    <cellStyle name="Normal 13 8 2" xfId="6851" xr:uid="{00000000-0005-0000-0000-0000F1660000}"/>
    <cellStyle name="Normal 13 8 2 2" xfId="6852" xr:uid="{00000000-0005-0000-0000-0000F2660000}"/>
    <cellStyle name="Normal 13 8 2 2 2" xfId="16728" xr:uid="{00000000-0005-0000-0000-0000F3660000}"/>
    <cellStyle name="Normal 13 8 2 2 2 2" xfId="30135" xr:uid="{00000000-0005-0000-0000-0000F4660000}"/>
    <cellStyle name="Normal 13 8 2 2 3" xfId="31174" xr:uid="{00000000-0005-0000-0000-0000F5660000}"/>
    <cellStyle name="Normal 13 8 2 3" xfId="11495" xr:uid="{00000000-0005-0000-0000-0000F6660000}"/>
    <cellStyle name="Normal 13 8 2 3 2" xfId="25327" xr:uid="{00000000-0005-0000-0000-0000F7660000}"/>
    <cellStyle name="Normal 13 8 2 4" xfId="31173" xr:uid="{00000000-0005-0000-0000-0000F8660000}"/>
    <cellStyle name="Normal 13 8 3" xfId="6853" xr:uid="{00000000-0005-0000-0000-0000F9660000}"/>
    <cellStyle name="Normal 13 8 3 2" xfId="12113" xr:uid="{00000000-0005-0000-0000-0000FA660000}"/>
    <cellStyle name="Normal 13 8 3 2 2" xfId="25825" xr:uid="{00000000-0005-0000-0000-0000FB660000}"/>
    <cellStyle name="Normal 13 8 3 3" xfId="31175" xr:uid="{00000000-0005-0000-0000-0000FC660000}"/>
    <cellStyle name="Normal 13 8 4" xfId="6854" xr:uid="{00000000-0005-0000-0000-0000FD660000}"/>
    <cellStyle name="Normal 13 8 4 2" xfId="13680" xr:uid="{00000000-0005-0000-0000-0000FE660000}"/>
    <cellStyle name="Normal 13 8 4 2 2" xfId="27229" xr:uid="{00000000-0005-0000-0000-0000FF660000}"/>
    <cellStyle name="Normal 13 8 4 3" xfId="31176" xr:uid="{00000000-0005-0000-0000-000000670000}"/>
    <cellStyle name="Normal 13 8 5" xfId="6855" xr:uid="{00000000-0005-0000-0000-000001670000}"/>
    <cellStyle name="Normal 13 8 5 2" xfId="14261" xr:uid="{00000000-0005-0000-0000-000002670000}"/>
    <cellStyle name="Normal 13 8 5 2 2" xfId="27810" xr:uid="{00000000-0005-0000-0000-000003670000}"/>
    <cellStyle name="Normal 13 8 5 3" xfId="31177" xr:uid="{00000000-0005-0000-0000-000004670000}"/>
    <cellStyle name="Normal 13 8 6" xfId="6856" xr:uid="{00000000-0005-0000-0000-000005670000}"/>
    <cellStyle name="Normal 13 8 6 2" xfId="16147" xr:uid="{00000000-0005-0000-0000-000006670000}"/>
    <cellStyle name="Normal 13 8 6 2 2" xfId="29554" xr:uid="{00000000-0005-0000-0000-000007670000}"/>
    <cellStyle name="Normal 13 8 6 3" xfId="31178" xr:uid="{00000000-0005-0000-0000-000008670000}"/>
    <cellStyle name="Normal 13 8 7" xfId="10115" xr:uid="{00000000-0005-0000-0000-000009670000}"/>
    <cellStyle name="Normal 13 8 7 2" xfId="24344" xr:uid="{00000000-0005-0000-0000-00000A670000}"/>
    <cellStyle name="Normal 13 8 8" xfId="31172" xr:uid="{00000000-0005-0000-0000-00000B670000}"/>
    <cellStyle name="Normal 13 9" xfId="6857" xr:uid="{00000000-0005-0000-0000-00000C670000}"/>
    <cellStyle name="Normal 13 9 2" xfId="6858" xr:uid="{00000000-0005-0000-0000-00000D670000}"/>
    <cellStyle name="Normal 13 9 2 2" xfId="11724" xr:uid="{00000000-0005-0000-0000-00000E670000}"/>
    <cellStyle name="Normal 13 9 2 2 2" xfId="25444" xr:uid="{00000000-0005-0000-0000-00000F670000}"/>
    <cellStyle name="Normal 13 9 2 3" xfId="31180" xr:uid="{00000000-0005-0000-0000-000010670000}"/>
    <cellStyle name="Normal 13 9 3" xfId="6859" xr:uid="{00000000-0005-0000-0000-000011670000}"/>
    <cellStyle name="Normal 13 9 3 2" xfId="13242" xr:uid="{00000000-0005-0000-0000-000012670000}"/>
    <cellStyle name="Normal 13 9 3 2 2" xfId="26887" xr:uid="{00000000-0005-0000-0000-000013670000}"/>
    <cellStyle name="Normal 13 9 3 3" xfId="31181" xr:uid="{00000000-0005-0000-0000-000014670000}"/>
    <cellStyle name="Normal 13 9 4" xfId="6860" xr:uid="{00000000-0005-0000-0000-000015670000}"/>
    <cellStyle name="Normal 13 9 4 2" xfId="15693" xr:uid="{00000000-0005-0000-0000-000016670000}"/>
    <cellStyle name="Normal 13 9 4 2 2" xfId="29179" xr:uid="{00000000-0005-0000-0000-000017670000}"/>
    <cellStyle name="Normal 13 9 4 3" xfId="31182" xr:uid="{00000000-0005-0000-0000-000018670000}"/>
    <cellStyle name="Normal 13 9 5" xfId="6861" xr:uid="{00000000-0005-0000-0000-000019670000}"/>
    <cellStyle name="Normal 13 9 5 2" xfId="17036" xr:uid="{00000000-0005-0000-0000-00001A670000}"/>
    <cellStyle name="Normal 13 9 5 2 2" xfId="30439" xr:uid="{00000000-0005-0000-0000-00001B670000}"/>
    <cellStyle name="Normal 13 9 5 3" xfId="31183" xr:uid="{00000000-0005-0000-0000-00001C670000}"/>
    <cellStyle name="Normal 13 9 6" xfId="10497" xr:uid="{00000000-0005-0000-0000-00001D670000}"/>
    <cellStyle name="Normal 13 9 6 2" xfId="24448" xr:uid="{00000000-0005-0000-0000-00001E670000}"/>
    <cellStyle name="Normal 13 9 7" xfId="31179" xr:uid="{00000000-0005-0000-0000-00001F670000}"/>
    <cellStyle name="Normal 14" xfId="6862" xr:uid="{00000000-0005-0000-0000-000020670000}"/>
    <cellStyle name="Normal 14 10" xfId="6863" xr:uid="{00000000-0005-0000-0000-000021670000}"/>
    <cellStyle name="Normal 14 10 2" xfId="6864" xr:uid="{00000000-0005-0000-0000-000022670000}"/>
    <cellStyle name="Normal 14 10 2 2" xfId="17291" xr:uid="{00000000-0005-0000-0000-000023670000}"/>
    <cellStyle name="Normal 14 10 2 2 2" xfId="30650" xr:uid="{00000000-0005-0000-0000-000024670000}"/>
    <cellStyle name="Normal 14 10 2 3" xfId="31186" xr:uid="{00000000-0005-0000-0000-000025670000}"/>
    <cellStyle name="Normal 14 10 3" xfId="14010" xr:uid="{00000000-0005-0000-0000-000026670000}"/>
    <cellStyle name="Normal 14 10 3 2" xfId="27559" xr:uid="{00000000-0005-0000-0000-000027670000}"/>
    <cellStyle name="Normal 14 10 4" xfId="31185" xr:uid="{00000000-0005-0000-0000-000028670000}"/>
    <cellStyle name="Normal 14 11" xfId="6865" xr:uid="{00000000-0005-0000-0000-000029670000}"/>
    <cellStyle name="Normal 14 11 2" xfId="16477" xr:uid="{00000000-0005-0000-0000-00002A670000}"/>
    <cellStyle name="Normal 14 11 2 2" xfId="29884" xr:uid="{00000000-0005-0000-0000-00002B670000}"/>
    <cellStyle name="Normal 14 11 3" xfId="31187" xr:uid="{00000000-0005-0000-0000-00002C670000}"/>
    <cellStyle name="Normal 14 12" xfId="6866" xr:uid="{00000000-0005-0000-0000-00002D670000}"/>
    <cellStyle name="Normal 14 12 2" xfId="15896" xr:uid="{00000000-0005-0000-0000-00002E670000}"/>
    <cellStyle name="Normal 14 12 2 2" xfId="29303" xr:uid="{00000000-0005-0000-0000-00002F670000}"/>
    <cellStyle name="Normal 14 12 3" xfId="31188" xr:uid="{00000000-0005-0000-0000-000030670000}"/>
    <cellStyle name="Normal 14 13" xfId="10116" xr:uid="{00000000-0005-0000-0000-000031670000}"/>
    <cellStyle name="Normal 14 14" xfId="31184" xr:uid="{00000000-0005-0000-0000-000032670000}"/>
    <cellStyle name="Normal 14 15" xfId="33038" xr:uid="{00000000-0005-0000-0000-000033670000}"/>
    <cellStyle name="Normal 14 2" xfId="6867" xr:uid="{00000000-0005-0000-0000-000034670000}"/>
    <cellStyle name="Normal 14 2 10" xfId="10117" xr:uid="{00000000-0005-0000-0000-000035670000}"/>
    <cellStyle name="Normal 14 2 10 2" xfId="24345" xr:uid="{00000000-0005-0000-0000-000036670000}"/>
    <cellStyle name="Normal 14 2 11" xfId="31189" xr:uid="{00000000-0005-0000-0000-000037670000}"/>
    <cellStyle name="Normal 14 2 2" xfId="6868" xr:uid="{00000000-0005-0000-0000-000038670000}"/>
    <cellStyle name="Normal 14 2 2 10" xfId="31190" xr:uid="{00000000-0005-0000-0000-000039670000}"/>
    <cellStyle name="Normal 14 2 2 2" xfId="6869" xr:uid="{00000000-0005-0000-0000-00003A670000}"/>
    <cellStyle name="Normal 14 2 2 2 2" xfId="6870" xr:uid="{00000000-0005-0000-0000-00003B670000}"/>
    <cellStyle name="Normal 14 2 2 2 2 2" xfId="6871" xr:uid="{00000000-0005-0000-0000-00003C670000}"/>
    <cellStyle name="Normal 14 2 2 2 2 2 2" xfId="6872" xr:uid="{00000000-0005-0000-0000-00003D670000}"/>
    <cellStyle name="Normal 14 2 2 2 2 2 2 2" xfId="16978" xr:uid="{00000000-0005-0000-0000-00003E670000}"/>
    <cellStyle name="Normal 14 2 2 2 2 2 2 2 2" xfId="30385" xr:uid="{00000000-0005-0000-0000-00003F670000}"/>
    <cellStyle name="Normal 14 2 2 2 2 2 2 3" xfId="31194" xr:uid="{00000000-0005-0000-0000-000040670000}"/>
    <cellStyle name="Normal 14 2 2 2 2 2 3" xfId="11499" xr:uid="{00000000-0005-0000-0000-000041670000}"/>
    <cellStyle name="Normal 14 2 2 2 2 2 3 2" xfId="25331" xr:uid="{00000000-0005-0000-0000-000042670000}"/>
    <cellStyle name="Normal 14 2 2 2 2 2 4" xfId="31193" xr:uid="{00000000-0005-0000-0000-000043670000}"/>
    <cellStyle name="Normal 14 2 2 2 2 3" xfId="6873" xr:uid="{00000000-0005-0000-0000-000044670000}"/>
    <cellStyle name="Normal 14 2 2 2 2 3 2" xfId="12366" xr:uid="{00000000-0005-0000-0000-000045670000}"/>
    <cellStyle name="Normal 14 2 2 2 2 3 2 2" xfId="26078" xr:uid="{00000000-0005-0000-0000-000046670000}"/>
    <cellStyle name="Normal 14 2 2 2 2 3 3" xfId="31195" xr:uid="{00000000-0005-0000-0000-000047670000}"/>
    <cellStyle name="Normal 14 2 2 2 2 4" xfId="6874" xr:uid="{00000000-0005-0000-0000-000048670000}"/>
    <cellStyle name="Normal 14 2 2 2 2 4 2" xfId="13930" xr:uid="{00000000-0005-0000-0000-000049670000}"/>
    <cellStyle name="Normal 14 2 2 2 2 4 2 2" xfId="27479" xr:uid="{00000000-0005-0000-0000-00004A670000}"/>
    <cellStyle name="Normal 14 2 2 2 2 4 3" xfId="31196" xr:uid="{00000000-0005-0000-0000-00004B670000}"/>
    <cellStyle name="Normal 14 2 2 2 2 5" xfId="6875" xr:uid="{00000000-0005-0000-0000-00004C670000}"/>
    <cellStyle name="Normal 14 2 2 2 2 5 2" xfId="14511" xr:uid="{00000000-0005-0000-0000-00004D670000}"/>
    <cellStyle name="Normal 14 2 2 2 2 5 2 2" xfId="28060" xr:uid="{00000000-0005-0000-0000-00004E670000}"/>
    <cellStyle name="Normal 14 2 2 2 2 5 3" xfId="31197" xr:uid="{00000000-0005-0000-0000-00004F670000}"/>
    <cellStyle name="Normal 14 2 2 2 2 6" xfId="6876" xr:uid="{00000000-0005-0000-0000-000050670000}"/>
    <cellStyle name="Normal 14 2 2 2 2 6 2" xfId="16397" xr:uid="{00000000-0005-0000-0000-000051670000}"/>
    <cellStyle name="Normal 14 2 2 2 2 6 2 2" xfId="29804" xr:uid="{00000000-0005-0000-0000-000052670000}"/>
    <cellStyle name="Normal 14 2 2 2 2 6 3" xfId="31198" xr:uid="{00000000-0005-0000-0000-000053670000}"/>
    <cellStyle name="Normal 14 2 2 2 2 7" xfId="10120" xr:uid="{00000000-0005-0000-0000-000054670000}"/>
    <cellStyle name="Normal 14 2 2 2 2 7 2" xfId="24348" xr:uid="{00000000-0005-0000-0000-000055670000}"/>
    <cellStyle name="Normal 14 2 2 2 2 8" xfId="31192" xr:uid="{00000000-0005-0000-0000-000056670000}"/>
    <cellStyle name="Normal 14 2 2 2 3" xfId="6877" xr:uid="{00000000-0005-0000-0000-000057670000}"/>
    <cellStyle name="Normal 14 2 2 2 3 2" xfId="6878" xr:uid="{00000000-0005-0000-0000-000058670000}"/>
    <cellStyle name="Normal 14 2 2 2 3 2 2" xfId="16689" xr:uid="{00000000-0005-0000-0000-000059670000}"/>
    <cellStyle name="Normal 14 2 2 2 3 2 2 2" xfId="30096" xr:uid="{00000000-0005-0000-0000-00005A670000}"/>
    <cellStyle name="Normal 14 2 2 2 3 2 3" xfId="31200" xr:uid="{00000000-0005-0000-0000-00005B670000}"/>
    <cellStyle name="Normal 14 2 2 2 3 3" xfId="11498" xr:uid="{00000000-0005-0000-0000-00005C670000}"/>
    <cellStyle name="Normal 14 2 2 2 3 3 2" xfId="25330" xr:uid="{00000000-0005-0000-0000-00005D670000}"/>
    <cellStyle name="Normal 14 2 2 2 3 4" xfId="31199" xr:uid="{00000000-0005-0000-0000-00005E670000}"/>
    <cellStyle name="Normal 14 2 2 2 4" xfId="6879" xr:uid="{00000000-0005-0000-0000-00005F670000}"/>
    <cellStyle name="Normal 14 2 2 2 4 2" xfId="12066" xr:uid="{00000000-0005-0000-0000-000060670000}"/>
    <cellStyle name="Normal 14 2 2 2 4 2 2" xfId="25781" xr:uid="{00000000-0005-0000-0000-000061670000}"/>
    <cellStyle name="Normal 14 2 2 2 4 3" xfId="31201" xr:uid="{00000000-0005-0000-0000-000062670000}"/>
    <cellStyle name="Normal 14 2 2 2 5" xfId="6880" xr:uid="{00000000-0005-0000-0000-000063670000}"/>
    <cellStyle name="Normal 14 2 2 2 5 2" xfId="13641" xr:uid="{00000000-0005-0000-0000-000064670000}"/>
    <cellStyle name="Normal 14 2 2 2 5 2 2" xfId="27190" xr:uid="{00000000-0005-0000-0000-000065670000}"/>
    <cellStyle name="Normal 14 2 2 2 5 3" xfId="31202" xr:uid="{00000000-0005-0000-0000-000066670000}"/>
    <cellStyle name="Normal 14 2 2 2 6" xfId="6881" xr:uid="{00000000-0005-0000-0000-000067670000}"/>
    <cellStyle name="Normal 14 2 2 2 6 2" xfId="14222" xr:uid="{00000000-0005-0000-0000-000068670000}"/>
    <cellStyle name="Normal 14 2 2 2 6 2 2" xfId="27771" xr:uid="{00000000-0005-0000-0000-000069670000}"/>
    <cellStyle name="Normal 14 2 2 2 6 3" xfId="31203" xr:uid="{00000000-0005-0000-0000-00006A670000}"/>
    <cellStyle name="Normal 14 2 2 2 7" xfId="6882" xr:uid="{00000000-0005-0000-0000-00006B670000}"/>
    <cellStyle name="Normal 14 2 2 2 7 2" xfId="16108" xr:uid="{00000000-0005-0000-0000-00006C670000}"/>
    <cellStyle name="Normal 14 2 2 2 7 2 2" xfId="29515" xr:uid="{00000000-0005-0000-0000-00006D670000}"/>
    <cellStyle name="Normal 14 2 2 2 7 3" xfId="31204" xr:uid="{00000000-0005-0000-0000-00006E670000}"/>
    <cellStyle name="Normal 14 2 2 2 8" xfId="10119" xr:uid="{00000000-0005-0000-0000-00006F670000}"/>
    <cellStyle name="Normal 14 2 2 2 8 2" xfId="24347" xr:uid="{00000000-0005-0000-0000-000070670000}"/>
    <cellStyle name="Normal 14 2 2 2 9" xfId="31191" xr:uid="{00000000-0005-0000-0000-000071670000}"/>
    <cellStyle name="Normal 14 2 2 3" xfId="6883" xr:uid="{00000000-0005-0000-0000-000072670000}"/>
    <cellStyle name="Normal 14 2 2 3 2" xfId="6884" xr:uid="{00000000-0005-0000-0000-000073670000}"/>
    <cellStyle name="Normal 14 2 2 3 2 2" xfId="6885" xr:uid="{00000000-0005-0000-0000-000074670000}"/>
    <cellStyle name="Normal 14 2 2 3 2 2 2" xfId="16835" xr:uid="{00000000-0005-0000-0000-000075670000}"/>
    <cellStyle name="Normal 14 2 2 3 2 2 2 2" xfId="30242" xr:uid="{00000000-0005-0000-0000-000076670000}"/>
    <cellStyle name="Normal 14 2 2 3 2 2 3" xfId="31207" xr:uid="{00000000-0005-0000-0000-000077670000}"/>
    <cellStyle name="Normal 14 2 2 3 2 3" xfId="11500" xr:uid="{00000000-0005-0000-0000-000078670000}"/>
    <cellStyle name="Normal 14 2 2 3 2 3 2" xfId="25332" xr:uid="{00000000-0005-0000-0000-000079670000}"/>
    <cellStyle name="Normal 14 2 2 3 2 4" xfId="31206" xr:uid="{00000000-0005-0000-0000-00007A670000}"/>
    <cellStyle name="Normal 14 2 2 3 3" xfId="6886" xr:uid="{00000000-0005-0000-0000-00007B670000}"/>
    <cellStyle name="Normal 14 2 2 3 3 2" xfId="12223" xr:uid="{00000000-0005-0000-0000-00007C670000}"/>
    <cellStyle name="Normal 14 2 2 3 3 2 2" xfId="25935" xr:uid="{00000000-0005-0000-0000-00007D670000}"/>
    <cellStyle name="Normal 14 2 2 3 3 3" xfId="31208" xr:uid="{00000000-0005-0000-0000-00007E670000}"/>
    <cellStyle name="Normal 14 2 2 3 4" xfId="6887" xr:uid="{00000000-0005-0000-0000-00007F670000}"/>
    <cellStyle name="Normal 14 2 2 3 4 2" xfId="13787" xr:uid="{00000000-0005-0000-0000-000080670000}"/>
    <cellStyle name="Normal 14 2 2 3 4 2 2" xfId="27336" xr:uid="{00000000-0005-0000-0000-000081670000}"/>
    <cellStyle name="Normal 14 2 2 3 4 3" xfId="31209" xr:uid="{00000000-0005-0000-0000-000082670000}"/>
    <cellStyle name="Normal 14 2 2 3 5" xfId="6888" xr:uid="{00000000-0005-0000-0000-000083670000}"/>
    <cellStyle name="Normal 14 2 2 3 5 2" xfId="14368" xr:uid="{00000000-0005-0000-0000-000084670000}"/>
    <cellStyle name="Normal 14 2 2 3 5 2 2" xfId="27917" xr:uid="{00000000-0005-0000-0000-000085670000}"/>
    <cellStyle name="Normal 14 2 2 3 5 3" xfId="31210" xr:uid="{00000000-0005-0000-0000-000086670000}"/>
    <cellStyle name="Normal 14 2 2 3 6" xfId="6889" xr:uid="{00000000-0005-0000-0000-000087670000}"/>
    <cellStyle name="Normal 14 2 2 3 6 2" xfId="16254" xr:uid="{00000000-0005-0000-0000-000088670000}"/>
    <cellStyle name="Normal 14 2 2 3 6 2 2" xfId="29661" xr:uid="{00000000-0005-0000-0000-000089670000}"/>
    <cellStyle name="Normal 14 2 2 3 6 3" xfId="31211" xr:uid="{00000000-0005-0000-0000-00008A670000}"/>
    <cellStyle name="Normal 14 2 2 3 7" xfId="10121" xr:uid="{00000000-0005-0000-0000-00008B670000}"/>
    <cellStyle name="Normal 14 2 2 3 7 2" xfId="24349" xr:uid="{00000000-0005-0000-0000-00008C670000}"/>
    <cellStyle name="Normal 14 2 2 3 8" xfId="31205" xr:uid="{00000000-0005-0000-0000-00008D670000}"/>
    <cellStyle name="Normal 14 2 2 4" xfId="6890" xr:uid="{00000000-0005-0000-0000-00008E670000}"/>
    <cellStyle name="Normal 14 2 2 4 2" xfId="6891" xr:uid="{00000000-0005-0000-0000-00008F670000}"/>
    <cellStyle name="Normal 14 2 2 4 2 2" xfId="17182" xr:uid="{00000000-0005-0000-0000-000090670000}"/>
    <cellStyle name="Normal 14 2 2 4 2 2 2" xfId="30541" xr:uid="{00000000-0005-0000-0000-000091670000}"/>
    <cellStyle name="Normal 14 2 2 4 2 3" xfId="31213" xr:uid="{00000000-0005-0000-0000-000092670000}"/>
    <cellStyle name="Normal 14 2 2 4 3" xfId="11497" xr:uid="{00000000-0005-0000-0000-000093670000}"/>
    <cellStyle name="Normal 14 2 2 4 3 2" xfId="25329" xr:uid="{00000000-0005-0000-0000-000094670000}"/>
    <cellStyle name="Normal 14 2 2 4 4" xfId="31212" xr:uid="{00000000-0005-0000-0000-000095670000}"/>
    <cellStyle name="Normal 14 2 2 5" xfId="6892" xr:uid="{00000000-0005-0000-0000-000096670000}"/>
    <cellStyle name="Normal 14 2 2 5 2" xfId="6893" xr:uid="{00000000-0005-0000-0000-000097670000}"/>
    <cellStyle name="Normal 14 2 2 5 2 2" xfId="17271" xr:uid="{00000000-0005-0000-0000-000098670000}"/>
    <cellStyle name="Normal 14 2 2 5 2 2 2" xfId="30630" xr:uid="{00000000-0005-0000-0000-000099670000}"/>
    <cellStyle name="Normal 14 2 2 5 2 3" xfId="31215" xr:uid="{00000000-0005-0000-0000-00009A670000}"/>
    <cellStyle name="Normal 14 2 2 5 3" xfId="11921" xr:uid="{00000000-0005-0000-0000-00009B670000}"/>
    <cellStyle name="Normal 14 2 2 5 3 2" xfId="25636" xr:uid="{00000000-0005-0000-0000-00009C670000}"/>
    <cellStyle name="Normal 14 2 2 5 4" xfId="31214" xr:uid="{00000000-0005-0000-0000-00009D670000}"/>
    <cellStyle name="Normal 14 2 2 6" xfId="6894" xr:uid="{00000000-0005-0000-0000-00009E670000}"/>
    <cellStyle name="Normal 14 2 2 6 2" xfId="6895" xr:uid="{00000000-0005-0000-0000-00009F670000}"/>
    <cellStyle name="Normal 14 2 2 6 2 2" xfId="16546" xr:uid="{00000000-0005-0000-0000-0000A0670000}"/>
    <cellStyle name="Normal 14 2 2 6 2 2 2" xfId="29953" xr:uid="{00000000-0005-0000-0000-0000A1670000}"/>
    <cellStyle name="Normal 14 2 2 6 2 3" xfId="31217" xr:uid="{00000000-0005-0000-0000-0000A2670000}"/>
    <cellStyle name="Normal 14 2 2 6 3" xfId="13498" xr:uid="{00000000-0005-0000-0000-0000A3670000}"/>
    <cellStyle name="Normal 14 2 2 6 3 2" xfId="27047" xr:uid="{00000000-0005-0000-0000-0000A4670000}"/>
    <cellStyle name="Normal 14 2 2 6 4" xfId="31216" xr:uid="{00000000-0005-0000-0000-0000A5670000}"/>
    <cellStyle name="Normal 14 2 2 7" xfId="6896" xr:uid="{00000000-0005-0000-0000-0000A6670000}"/>
    <cellStyle name="Normal 14 2 2 7 2" xfId="14079" xr:uid="{00000000-0005-0000-0000-0000A7670000}"/>
    <cellStyle name="Normal 14 2 2 7 2 2" xfId="27628" xr:uid="{00000000-0005-0000-0000-0000A8670000}"/>
    <cellStyle name="Normal 14 2 2 7 3" xfId="31218" xr:uid="{00000000-0005-0000-0000-0000A9670000}"/>
    <cellStyle name="Normal 14 2 2 8" xfId="6897" xr:uid="{00000000-0005-0000-0000-0000AA670000}"/>
    <cellStyle name="Normal 14 2 2 8 2" xfId="15965" xr:uid="{00000000-0005-0000-0000-0000AB670000}"/>
    <cellStyle name="Normal 14 2 2 8 2 2" xfId="29372" xr:uid="{00000000-0005-0000-0000-0000AC670000}"/>
    <cellStyle name="Normal 14 2 2 8 3" xfId="31219" xr:uid="{00000000-0005-0000-0000-0000AD670000}"/>
    <cellStyle name="Normal 14 2 2 9" xfId="10118" xr:uid="{00000000-0005-0000-0000-0000AE670000}"/>
    <cellStyle name="Normal 14 2 2 9 2" xfId="24346" xr:uid="{00000000-0005-0000-0000-0000AF670000}"/>
    <cellStyle name="Normal 14 2 3" xfId="6898" xr:uid="{00000000-0005-0000-0000-0000B0670000}"/>
    <cellStyle name="Normal 14 2 3 2" xfId="6899" xr:uid="{00000000-0005-0000-0000-0000B1670000}"/>
    <cellStyle name="Normal 14 2 3 2 2" xfId="6900" xr:uid="{00000000-0005-0000-0000-0000B2670000}"/>
    <cellStyle name="Normal 14 2 3 2 2 2" xfId="6901" xr:uid="{00000000-0005-0000-0000-0000B3670000}"/>
    <cellStyle name="Normal 14 2 3 2 2 2 2" xfId="16932" xr:uid="{00000000-0005-0000-0000-0000B4670000}"/>
    <cellStyle name="Normal 14 2 3 2 2 2 2 2" xfId="30339" xr:uid="{00000000-0005-0000-0000-0000B5670000}"/>
    <cellStyle name="Normal 14 2 3 2 2 2 3" xfId="31223" xr:uid="{00000000-0005-0000-0000-0000B6670000}"/>
    <cellStyle name="Normal 14 2 3 2 2 3" xfId="11502" xr:uid="{00000000-0005-0000-0000-0000B7670000}"/>
    <cellStyle name="Normal 14 2 3 2 2 3 2" xfId="25334" xr:uid="{00000000-0005-0000-0000-0000B8670000}"/>
    <cellStyle name="Normal 14 2 3 2 2 4" xfId="31222" xr:uid="{00000000-0005-0000-0000-0000B9670000}"/>
    <cellStyle name="Normal 14 2 3 2 3" xfId="6902" xr:uid="{00000000-0005-0000-0000-0000BA670000}"/>
    <cellStyle name="Normal 14 2 3 2 3 2" xfId="12320" xr:uid="{00000000-0005-0000-0000-0000BB670000}"/>
    <cellStyle name="Normal 14 2 3 2 3 2 2" xfId="26032" xr:uid="{00000000-0005-0000-0000-0000BC670000}"/>
    <cellStyle name="Normal 14 2 3 2 3 3" xfId="31224" xr:uid="{00000000-0005-0000-0000-0000BD670000}"/>
    <cellStyle name="Normal 14 2 3 2 4" xfId="6903" xr:uid="{00000000-0005-0000-0000-0000BE670000}"/>
    <cellStyle name="Normal 14 2 3 2 4 2" xfId="13884" xr:uid="{00000000-0005-0000-0000-0000BF670000}"/>
    <cellStyle name="Normal 14 2 3 2 4 2 2" xfId="27433" xr:uid="{00000000-0005-0000-0000-0000C0670000}"/>
    <cellStyle name="Normal 14 2 3 2 4 3" xfId="31225" xr:uid="{00000000-0005-0000-0000-0000C1670000}"/>
    <cellStyle name="Normal 14 2 3 2 5" xfId="6904" xr:uid="{00000000-0005-0000-0000-0000C2670000}"/>
    <cellStyle name="Normal 14 2 3 2 5 2" xfId="14465" xr:uid="{00000000-0005-0000-0000-0000C3670000}"/>
    <cellStyle name="Normal 14 2 3 2 5 2 2" xfId="28014" xr:uid="{00000000-0005-0000-0000-0000C4670000}"/>
    <cellStyle name="Normal 14 2 3 2 5 3" xfId="31226" xr:uid="{00000000-0005-0000-0000-0000C5670000}"/>
    <cellStyle name="Normal 14 2 3 2 6" xfId="6905" xr:uid="{00000000-0005-0000-0000-0000C6670000}"/>
    <cellStyle name="Normal 14 2 3 2 6 2" xfId="16351" xr:uid="{00000000-0005-0000-0000-0000C7670000}"/>
    <cellStyle name="Normal 14 2 3 2 6 2 2" xfId="29758" xr:uid="{00000000-0005-0000-0000-0000C8670000}"/>
    <cellStyle name="Normal 14 2 3 2 6 3" xfId="31227" xr:uid="{00000000-0005-0000-0000-0000C9670000}"/>
    <cellStyle name="Normal 14 2 3 2 7" xfId="10123" xr:uid="{00000000-0005-0000-0000-0000CA670000}"/>
    <cellStyle name="Normal 14 2 3 2 7 2" xfId="24351" xr:uid="{00000000-0005-0000-0000-0000CB670000}"/>
    <cellStyle name="Normal 14 2 3 2 8" xfId="31221" xr:uid="{00000000-0005-0000-0000-0000CC670000}"/>
    <cellStyle name="Normal 14 2 3 3" xfId="6906" xr:uid="{00000000-0005-0000-0000-0000CD670000}"/>
    <cellStyle name="Normal 14 2 3 3 2" xfId="6907" xr:uid="{00000000-0005-0000-0000-0000CE670000}"/>
    <cellStyle name="Normal 14 2 3 3 2 2" xfId="16643" xr:uid="{00000000-0005-0000-0000-0000CF670000}"/>
    <cellStyle name="Normal 14 2 3 3 2 2 2" xfId="30050" xr:uid="{00000000-0005-0000-0000-0000D0670000}"/>
    <cellStyle name="Normal 14 2 3 3 2 3" xfId="31229" xr:uid="{00000000-0005-0000-0000-0000D1670000}"/>
    <cellStyle name="Normal 14 2 3 3 3" xfId="11501" xr:uid="{00000000-0005-0000-0000-0000D2670000}"/>
    <cellStyle name="Normal 14 2 3 3 3 2" xfId="25333" xr:uid="{00000000-0005-0000-0000-0000D3670000}"/>
    <cellStyle name="Normal 14 2 3 3 4" xfId="31228" xr:uid="{00000000-0005-0000-0000-0000D4670000}"/>
    <cellStyle name="Normal 14 2 3 4" xfId="6908" xr:uid="{00000000-0005-0000-0000-0000D5670000}"/>
    <cellStyle name="Normal 14 2 3 4 2" xfId="12020" xr:uid="{00000000-0005-0000-0000-0000D6670000}"/>
    <cellStyle name="Normal 14 2 3 4 2 2" xfId="25735" xr:uid="{00000000-0005-0000-0000-0000D7670000}"/>
    <cellStyle name="Normal 14 2 3 4 3" xfId="31230" xr:uid="{00000000-0005-0000-0000-0000D8670000}"/>
    <cellStyle name="Normal 14 2 3 5" xfId="6909" xr:uid="{00000000-0005-0000-0000-0000D9670000}"/>
    <cellStyle name="Normal 14 2 3 5 2" xfId="13595" xr:uid="{00000000-0005-0000-0000-0000DA670000}"/>
    <cellStyle name="Normal 14 2 3 5 2 2" xfId="27144" xr:uid="{00000000-0005-0000-0000-0000DB670000}"/>
    <cellStyle name="Normal 14 2 3 5 3" xfId="31231" xr:uid="{00000000-0005-0000-0000-0000DC670000}"/>
    <cellStyle name="Normal 14 2 3 6" xfId="6910" xr:uid="{00000000-0005-0000-0000-0000DD670000}"/>
    <cellStyle name="Normal 14 2 3 6 2" xfId="14176" xr:uid="{00000000-0005-0000-0000-0000DE670000}"/>
    <cellStyle name="Normal 14 2 3 6 2 2" xfId="27725" xr:uid="{00000000-0005-0000-0000-0000DF670000}"/>
    <cellStyle name="Normal 14 2 3 6 3" xfId="31232" xr:uid="{00000000-0005-0000-0000-0000E0670000}"/>
    <cellStyle name="Normal 14 2 3 7" xfId="6911" xr:uid="{00000000-0005-0000-0000-0000E1670000}"/>
    <cellStyle name="Normal 14 2 3 7 2" xfId="16062" xr:uid="{00000000-0005-0000-0000-0000E2670000}"/>
    <cellStyle name="Normal 14 2 3 7 2 2" xfId="29469" xr:uid="{00000000-0005-0000-0000-0000E3670000}"/>
    <cellStyle name="Normal 14 2 3 7 3" xfId="31233" xr:uid="{00000000-0005-0000-0000-0000E4670000}"/>
    <cellStyle name="Normal 14 2 3 8" xfId="10122" xr:uid="{00000000-0005-0000-0000-0000E5670000}"/>
    <cellStyle name="Normal 14 2 3 8 2" xfId="24350" xr:uid="{00000000-0005-0000-0000-0000E6670000}"/>
    <cellStyle name="Normal 14 2 3 9" xfId="31220" xr:uid="{00000000-0005-0000-0000-0000E7670000}"/>
    <cellStyle name="Normal 14 2 4" xfId="6912" xr:uid="{00000000-0005-0000-0000-0000E8670000}"/>
    <cellStyle name="Normal 14 2 4 2" xfId="6913" xr:uid="{00000000-0005-0000-0000-0000E9670000}"/>
    <cellStyle name="Normal 14 2 4 2 2" xfId="6914" xr:uid="{00000000-0005-0000-0000-0000EA670000}"/>
    <cellStyle name="Normal 14 2 4 2 2 2" xfId="16789" xr:uid="{00000000-0005-0000-0000-0000EB670000}"/>
    <cellStyle name="Normal 14 2 4 2 2 2 2" xfId="30196" xr:uid="{00000000-0005-0000-0000-0000EC670000}"/>
    <cellStyle name="Normal 14 2 4 2 2 3" xfId="31236" xr:uid="{00000000-0005-0000-0000-0000ED670000}"/>
    <cellStyle name="Normal 14 2 4 2 3" xfId="11503" xr:uid="{00000000-0005-0000-0000-0000EE670000}"/>
    <cellStyle name="Normal 14 2 4 2 3 2" xfId="25335" xr:uid="{00000000-0005-0000-0000-0000EF670000}"/>
    <cellStyle name="Normal 14 2 4 2 4" xfId="31235" xr:uid="{00000000-0005-0000-0000-0000F0670000}"/>
    <cellStyle name="Normal 14 2 4 3" xfId="6915" xr:uid="{00000000-0005-0000-0000-0000F1670000}"/>
    <cellStyle name="Normal 14 2 4 3 2" xfId="12177" xr:uid="{00000000-0005-0000-0000-0000F2670000}"/>
    <cellStyle name="Normal 14 2 4 3 2 2" xfId="25889" xr:uid="{00000000-0005-0000-0000-0000F3670000}"/>
    <cellStyle name="Normal 14 2 4 3 3" xfId="31237" xr:uid="{00000000-0005-0000-0000-0000F4670000}"/>
    <cellStyle name="Normal 14 2 4 4" xfId="6916" xr:uid="{00000000-0005-0000-0000-0000F5670000}"/>
    <cellStyle name="Normal 14 2 4 4 2" xfId="13741" xr:uid="{00000000-0005-0000-0000-0000F6670000}"/>
    <cellStyle name="Normal 14 2 4 4 2 2" xfId="27290" xr:uid="{00000000-0005-0000-0000-0000F7670000}"/>
    <cellStyle name="Normal 14 2 4 4 3" xfId="31238" xr:uid="{00000000-0005-0000-0000-0000F8670000}"/>
    <cellStyle name="Normal 14 2 4 5" xfId="6917" xr:uid="{00000000-0005-0000-0000-0000F9670000}"/>
    <cellStyle name="Normal 14 2 4 5 2" xfId="14322" xr:uid="{00000000-0005-0000-0000-0000FA670000}"/>
    <cellStyle name="Normal 14 2 4 5 2 2" xfId="27871" xr:uid="{00000000-0005-0000-0000-0000FB670000}"/>
    <cellStyle name="Normal 14 2 4 5 3" xfId="31239" xr:uid="{00000000-0005-0000-0000-0000FC670000}"/>
    <cellStyle name="Normal 14 2 4 6" xfId="6918" xr:uid="{00000000-0005-0000-0000-0000FD670000}"/>
    <cellStyle name="Normal 14 2 4 6 2" xfId="16208" xr:uid="{00000000-0005-0000-0000-0000FE670000}"/>
    <cellStyle name="Normal 14 2 4 6 2 2" xfId="29615" xr:uid="{00000000-0005-0000-0000-0000FF670000}"/>
    <cellStyle name="Normal 14 2 4 6 3" xfId="31240" xr:uid="{00000000-0005-0000-0000-000000680000}"/>
    <cellStyle name="Normal 14 2 4 7" xfId="10124" xr:uid="{00000000-0005-0000-0000-000001680000}"/>
    <cellStyle name="Normal 14 2 4 7 2" xfId="24352" xr:uid="{00000000-0005-0000-0000-000002680000}"/>
    <cellStyle name="Normal 14 2 4 8" xfId="31234" xr:uid="{00000000-0005-0000-0000-000003680000}"/>
    <cellStyle name="Normal 14 2 5" xfId="6919" xr:uid="{00000000-0005-0000-0000-000004680000}"/>
    <cellStyle name="Normal 14 2 5 2" xfId="6920" xr:uid="{00000000-0005-0000-0000-000005680000}"/>
    <cellStyle name="Normal 14 2 5 2 2" xfId="17136" xr:uid="{00000000-0005-0000-0000-000006680000}"/>
    <cellStyle name="Normal 14 2 5 2 2 2" xfId="30495" xr:uid="{00000000-0005-0000-0000-000007680000}"/>
    <cellStyle name="Normal 14 2 5 2 3" xfId="31242" xr:uid="{00000000-0005-0000-0000-000008680000}"/>
    <cellStyle name="Normal 14 2 5 3" xfId="11496" xr:uid="{00000000-0005-0000-0000-000009680000}"/>
    <cellStyle name="Normal 14 2 5 3 2" xfId="25328" xr:uid="{00000000-0005-0000-0000-00000A680000}"/>
    <cellStyle name="Normal 14 2 5 4" xfId="31241" xr:uid="{00000000-0005-0000-0000-00000B680000}"/>
    <cellStyle name="Normal 14 2 6" xfId="6921" xr:uid="{00000000-0005-0000-0000-00000C680000}"/>
    <cellStyle name="Normal 14 2 6 2" xfId="6922" xr:uid="{00000000-0005-0000-0000-00000D680000}"/>
    <cellStyle name="Normal 14 2 6 2 2" xfId="17225" xr:uid="{00000000-0005-0000-0000-00000E680000}"/>
    <cellStyle name="Normal 14 2 6 2 2 2" xfId="30584" xr:uid="{00000000-0005-0000-0000-00000F680000}"/>
    <cellStyle name="Normal 14 2 6 2 3" xfId="31244" xr:uid="{00000000-0005-0000-0000-000010680000}"/>
    <cellStyle name="Normal 14 2 6 3" xfId="11864" xr:uid="{00000000-0005-0000-0000-000011680000}"/>
    <cellStyle name="Normal 14 2 6 3 2" xfId="25579" xr:uid="{00000000-0005-0000-0000-000012680000}"/>
    <cellStyle name="Normal 14 2 6 4" xfId="31243" xr:uid="{00000000-0005-0000-0000-000013680000}"/>
    <cellStyle name="Normal 14 2 7" xfId="6923" xr:uid="{00000000-0005-0000-0000-000014680000}"/>
    <cellStyle name="Normal 14 2 7 2" xfId="6924" xr:uid="{00000000-0005-0000-0000-000015680000}"/>
    <cellStyle name="Normal 14 2 7 2 2" xfId="16500" xr:uid="{00000000-0005-0000-0000-000016680000}"/>
    <cellStyle name="Normal 14 2 7 2 2 2" xfId="29907" xr:uid="{00000000-0005-0000-0000-000017680000}"/>
    <cellStyle name="Normal 14 2 7 2 3" xfId="31246" xr:uid="{00000000-0005-0000-0000-000018680000}"/>
    <cellStyle name="Normal 14 2 7 3" xfId="13452" xr:uid="{00000000-0005-0000-0000-000019680000}"/>
    <cellStyle name="Normal 14 2 7 3 2" xfId="27001" xr:uid="{00000000-0005-0000-0000-00001A680000}"/>
    <cellStyle name="Normal 14 2 7 4" xfId="31245" xr:uid="{00000000-0005-0000-0000-00001B680000}"/>
    <cellStyle name="Normal 14 2 8" xfId="6925" xr:uid="{00000000-0005-0000-0000-00001C680000}"/>
    <cellStyle name="Normal 14 2 8 2" xfId="14033" xr:uid="{00000000-0005-0000-0000-00001D680000}"/>
    <cellStyle name="Normal 14 2 8 2 2" xfId="27582" xr:uid="{00000000-0005-0000-0000-00001E680000}"/>
    <cellStyle name="Normal 14 2 8 3" xfId="31247" xr:uid="{00000000-0005-0000-0000-00001F680000}"/>
    <cellStyle name="Normal 14 2 9" xfId="6926" xr:uid="{00000000-0005-0000-0000-000020680000}"/>
    <cellStyle name="Normal 14 2 9 2" xfId="15919" xr:uid="{00000000-0005-0000-0000-000021680000}"/>
    <cellStyle name="Normal 14 2 9 2 2" xfId="29326" xr:uid="{00000000-0005-0000-0000-000022680000}"/>
    <cellStyle name="Normal 14 2 9 3" xfId="31248" xr:uid="{00000000-0005-0000-0000-000023680000}"/>
    <cellStyle name="Normal 14 3" xfId="6927" xr:uid="{00000000-0005-0000-0000-000024680000}"/>
    <cellStyle name="Normal 14 3 10" xfId="31249" xr:uid="{00000000-0005-0000-0000-000025680000}"/>
    <cellStyle name="Normal 14 3 2" xfId="6928" xr:uid="{00000000-0005-0000-0000-000026680000}"/>
    <cellStyle name="Normal 14 3 2 2" xfId="6929" xr:uid="{00000000-0005-0000-0000-000027680000}"/>
    <cellStyle name="Normal 14 3 2 2 2" xfId="6930" xr:uid="{00000000-0005-0000-0000-000028680000}"/>
    <cellStyle name="Normal 14 3 2 2 2 2" xfId="6931" xr:uid="{00000000-0005-0000-0000-000029680000}"/>
    <cellStyle name="Normal 14 3 2 2 2 2 2" xfId="16955" xr:uid="{00000000-0005-0000-0000-00002A680000}"/>
    <cellStyle name="Normal 14 3 2 2 2 2 2 2" xfId="30362" xr:uid="{00000000-0005-0000-0000-00002B680000}"/>
    <cellStyle name="Normal 14 3 2 2 2 2 3" xfId="31253" xr:uid="{00000000-0005-0000-0000-00002C680000}"/>
    <cellStyle name="Normal 14 3 2 2 2 3" xfId="11506" xr:uid="{00000000-0005-0000-0000-00002D680000}"/>
    <cellStyle name="Normal 14 3 2 2 2 3 2" xfId="25338" xr:uid="{00000000-0005-0000-0000-00002E680000}"/>
    <cellStyle name="Normal 14 3 2 2 2 4" xfId="31252" xr:uid="{00000000-0005-0000-0000-00002F680000}"/>
    <cellStyle name="Normal 14 3 2 2 3" xfId="6932" xr:uid="{00000000-0005-0000-0000-000030680000}"/>
    <cellStyle name="Normal 14 3 2 2 3 2" xfId="12343" xr:uid="{00000000-0005-0000-0000-000031680000}"/>
    <cellStyle name="Normal 14 3 2 2 3 2 2" xfId="26055" xr:uid="{00000000-0005-0000-0000-000032680000}"/>
    <cellStyle name="Normal 14 3 2 2 3 3" xfId="31254" xr:uid="{00000000-0005-0000-0000-000033680000}"/>
    <cellStyle name="Normal 14 3 2 2 4" xfId="6933" xr:uid="{00000000-0005-0000-0000-000034680000}"/>
    <cellStyle name="Normal 14 3 2 2 4 2" xfId="13907" xr:uid="{00000000-0005-0000-0000-000035680000}"/>
    <cellStyle name="Normal 14 3 2 2 4 2 2" xfId="27456" xr:uid="{00000000-0005-0000-0000-000036680000}"/>
    <cellStyle name="Normal 14 3 2 2 4 3" xfId="31255" xr:uid="{00000000-0005-0000-0000-000037680000}"/>
    <cellStyle name="Normal 14 3 2 2 5" xfId="6934" xr:uid="{00000000-0005-0000-0000-000038680000}"/>
    <cellStyle name="Normal 14 3 2 2 5 2" xfId="14488" xr:uid="{00000000-0005-0000-0000-000039680000}"/>
    <cellStyle name="Normal 14 3 2 2 5 2 2" xfId="28037" xr:uid="{00000000-0005-0000-0000-00003A680000}"/>
    <cellStyle name="Normal 14 3 2 2 5 3" xfId="31256" xr:uid="{00000000-0005-0000-0000-00003B680000}"/>
    <cellStyle name="Normal 14 3 2 2 6" xfId="6935" xr:uid="{00000000-0005-0000-0000-00003C680000}"/>
    <cellStyle name="Normal 14 3 2 2 6 2" xfId="16374" xr:uid="{00000000-0005-0000-0000-00003D680000}"/>
    <cellStyle name="Normal 14 3 2 2 6 2 2" xfId="29781" xr:uid="{00000000-0005-0000-0000-00003E680000}"/>
    <cellStyle name="Normal 14 3 2 2 6 3" xfId="31257" xr:uid="{00000000-0005-0000-0000-00003F680000}"/>
    <cellStyle name="Normal 14 3 2 2 7" xfId="10127" xr:uid="{00000000-0005-0000-0000-000040680000}"/>
    <cellStyle name="Normal 14 3 2 2 7 2" xfId="24355" xr:uid="{00000000-0005-0000-0000-000041680000}"/>
    <cellStyle name="Normal 14 3 2 2 8" xfId="31251" xr:uid="{00000000-0005-0000-0000-000042680000}"/>
    <cellStyle name="Normal 14 3 2 3" xfId="6936" xr:uid="{00000000-0005-0000-0000-000043680000}"/>
    <cellStyle name="Normal 14 3 2 3 2" xfId="6937" xr:uid="{00000000-0005-0000-0000-000044680000}"/>
    <cellStyle name="Normal 14 3 2 3 2 2" xfId="16666" xr:uid="{00000000-0005-0000-0000-000045680000}"/>
    <cellStyle name="Normal 14 3 2 3 2 2 2" xfId="30073" xr:uid="{00000000-0005-0000-0000-000046680000}"/>
    <cellStyle name="Normal 14 3 2 3 2 3" xfId="31259" xr:uid="{00000000-0005-0000-0000-000047680000}"/>
    <cellStyle name="Normal 14 3 2 3 3" xfId="11505" xr:uid="{00000000-0005-0000-0000-000048680000}"/>
    <cellStyle name="Normal 14 3 2 3 3 2" xfId="25337" xr:uid="{00000000-0005-0000-0000-000049680000}"/>
    <cellStyle name="Normal 14 3 2 3 4" xfId="31258" xr:uid="{00000000-0005-0000-0000-00004A680000}"/>
    <cellStyle name="Normal 14 3 2 4" xfId="6938" xr:uid="{00000000-0005-0000-0000-00004B680000}"/>
    <cellStyle name="Normal 14 3 2 4 2" xfId="12043" xr:uid="{00000000-0005-0000-0000-00004C680000}"/>
    <cellStyle name="Normal 14 3 2 4 2 2" xfId="25758" xr:uid="{00000000-0005-0000-0000-00004D680000}"/>
    <cellStyle name="Normal 14 3 2 4 3" xfId="31260" xr:uid="{00000000-0005-0000-0000-00004E680000}"/>
    <cellStyle name="Normal 14 3 2 5" xfId="6939" xr:uid="{00000000-0005-0000-0000-00004F680000}"/>
    <cellStyle name="Normal 14 3 2 5 2" xfId="13618" xr:uid="{00000000-0005-0000-0000-000050680000}"/>
    <cellStyle name="Normal 14 3 2 5 2 2" xfId="27167" xr:uid="{00000000-0005-0000-0000-000051680000}"/>
    <cellStyle name="Normal 14 3 2 5 3" xfId="31261" xr:uid="{00000000-0005-0000-0000-000052680000}"/>
    <cellStyle name="Normal 14 3 2 6" xfId="6940" xr:uid="{00000000-0005-0000-0000-000053680000}"/>
    <cellStyle name="Normal 14 3 2 6 2" xfId="14199" xr:uid="{00000000-0005-0000-0000-000054680000}"/>
    <cellStyle name="Normal 14 3 2 6 2 2" xfId="27748" xr:uid="{00000000-0005-0000-0000-000055680000}"/>
    <cellStyle name="Normal 14 3 2 6 3" xfId="31262" xr:uid="{00000000-0005-0000-0000-000056680000}"/>
    <cellStyle name="Normal 14 3 2 7" xfId="6941" xr:uid="{00000000-0005-0000-0000-000057680000}"/>
    <cellStyle name="Normal 14 3 2 7 2" xfId="16085" xr:uid="{00000000-0005-0000-0000-000058680000}"/>
    <cellStyle name="Normal 14 3 2 7 2 2" xfId="29492" xr:uid="{00000000-0005-0000-0000-000059680000}"/>
    <cellStyle name="Normal 14 3 2 7 3" xfId="31263" xr:uid="{00000000-0005-0000-0000-00005A680000}"/>
    <cellStyle name="Normal 14 3 2 8" xfId="10126" xr:uid="{00000000-0005-0000-0000-00005B680000}"/>
    <cellStyle name="Normal 14 3 2 8 2" xfId="24354" xr:uid="{00000000-0005-0000-0000-00005C680000}"/>
    <cellStyle name="Normal 14 3 2 9" xfId="31250" xr:uid="{00000000-0005-0000-0000-00005D680000}"/>
    <cellStyle name="Normal 14 3 3" xfId="6942" xr:uid="{00000000-0005-0000-0000-00005E680000}"/>
    <cellStyle name="Normal 14 3 3 2" xfId="6943" xr:uid="{00000000-0005-0000-0000-00005F680000}"/>
    <cellStyle name="Normal 14 3 3 2 2" xfId="6944" xr:uid="{00000000-0005-0000-0000-000060680000}"/>
    <cellStyle name="Normal 14 3 3 2 2 2" xfId="16812" xr:uid="{00000000-0005-0000-0000-000061680000}"/>
    <cellStyle name="Normal 14 3 3 2 2 2 2" xfId="30219" xr:uid="{00000000-0005-0000-0000-000062680000}"/>
    <cellStyle name="Normal 14 3 3 2 2 3" xfId="31266" xr:uid="{00000000-0005-0000-0000-000063680000}"/>
    <cellStyle name="Normal 14 3 3 2 3" xfId="11507" xr:uid="{00000000-0005-0000-0000-000064680000}"/>
    <cellStyle name="Normal 14 3 3 2 3 2" xfId="25339" xr:uid="{00000000-0005-0000-0000-000065680000}"/>
    <cellStyle name="Normal 14 3 3 2 4" xfId="31265" xr:uid="{00000000-0005-0000-0000-000066680000}"/>
    <cellStyle name="Normal 14 3 3 3" xfId="6945" xr:uid="{00000000-0005-0000-0000-000067680000}"/>
    <cellStyle name="Normal 14 3 3 3 2" xfId="12200" xr:uid="{00000000-0005-0000-0000-000068680000}"/>
    <cellStyle name="Normal 14 3 3 3 2 2" xfId="25912" xr:uid="{00000000-0005-0000-0000-000069680000}"/>
    <cellStyle name="Normal 14 3 3 3 3" xfId="31267" xr:uid="{00000000-0005-0000-0000-00006A680000}"/>
    <cellStyle name="Normal 14 3 3 4" xfId="6946" xr:uid="{00000000-0005-0000-0000-00006B680000}"/>
    <cellStyle name="Normal 14 3 3 4 2" xfId="13764" xr:uid="{00000000-0005-0000-0000-00006C680000}"/>
    <cellStyle name="Normal 14 3 3 4 2 2" xfId="27313" xr:uid="{00000000-0005-0000-0000-00006D680000}"/>
    <cellStyle name="Normal 14 3 3 4 3" xfId="31268" xr:uid="{00000000-0005-0000-0000-00006E680000}"/>
    <cellStyle name="Normal 14 3 3 5" xfId="6947" xr:uid="{00000000-0005-0000-0000-00006F680000}"/>
    <cellStyle name="Normal 14 3 3 5 2" xfId="14345" xr:uid="{00000000-0005-0000-0000-000070680000}"/>
    <cellStyle name="Normal 14 3 3 5 2 2" xfId="27894" xr:uid="{00000000-0005-0000-0000-000071680000}"/>
    <cellStyle name="Normal 14 3 3 5 3" xfId="31269" xr:uid="{00000000-0005-0000-0000-000072680000}"/>
    <cellStyle name="Normal 14 3 3 6" xfId="6948" xr:uid="{00000000-0005-0000-0000-000073680000}"/>
    <cellStyle name="Normal 14 3 3 6 2" xfId="16231" xr:uid="{00000000-0005-0000-0000-000074680000}"/>
    <cellStyle name="Normal 14 3 3 6 2 2" xfId="29638" xr:uid="{00000000-0005-0000-0000-000075680000}"/>
    <cellStyle name="Normal 14 3 3 6 3" xfId="31270" xr:uid="{00000000-0005-0000-0000-000076680000}"/>
    <cellStyle name="Normal 14 3 3 7" xfId="10128" xr:uid="{00000000-0005-0000-0000-000077680000}"/>
    <cellStyle name="Normal 14 3 3 7 2" xfId="24356" xr:uid="{00000000-0005-0000-0000-000078680000}"/>
    <cellStyle name="Normal 14 3 3 8" xfId="31264" xr:uid="{00000000-0005-0000-0000-000079680000}"/>
    <cellStyle name="Normal 14 3 4" xfId="6949" xr:uid="{00000000-0005-0000-0000-00007A680000}"/>
    <cellStyle name="Normal 14 3 4 2" xfId="6950" xr:uid="{00000000-0005-0000-0000-00007B680000}"/>
    <cellStyle name="Normal 14 3 4 2 2" xfId="17159" xr:uid="{00000000-0005-0000-0000-00007C680000}"/>
    <cellStyle name="Normal 14 3 4 2 2 2" xfId="30518" xr:uid="{00000000-0005-0000-0000-00007D680000}"/>
    <cellStyle name="Normal 14 3 4 2 3" xfId="31272" xr:uid="{00000000-0005-0000-0000-00007E680000}"/>
    <cellStyle name="Normal 14 3 4 3" xfId="11504" xr:uid="{00000000-0005-0000-0000-00007F680000}"/>
    <cellStyle name="Normal 14 3 4 3 2" xfId="25336" xr:uid="{00000000-0005-0000-0000-000080680000}"/>
    <cellStyle name="Normal 14 3 4 4" xfId="31271" xr:uid="{00000000-0005-0000-0000-000081680000}"/>
    <cellStyle name="Normal 14 3 5" xfId="6951" xr:uid="{00000000-0005-0000-0000-000082680000}"/>
    <cellStyle name="Normal 14 3 5 2" xfId="6952" xr:uid="{00000000-0005-0000-0000-000083680000}"/>
    <cellStyle name="Normal 14 3 5 2 2" xfId="17248" xr:uid="{00000000-0005-0000-0000-000084680000}"/>
    <cellStyle name="Normal 14 3 5 2 2 2" xfId="30607" xr:uid="{00000000-0005-0000-0000-000085680000}"/>
    <cellStyle name="Normal 14 3 5 2 3" xfId="31274" xr:uid="{00000000-0005-0000-0000-000086680000}"/>
    <cellStyle name="Normal 14 3 5 3" xfId="11898" xr:uid="{00000000-0005-0000-0000-000087680000}"/>
    <cellStyle name="Normal 14 3 5 3 2" xfId="25613" xr:uid="{00000000-0005-0000-0000-000088680000}"/>
    <cellStyle name="Normal 14 3 5 4" xfId="31273" xr:uid="{00000000-0005-0000-0000-000089680000}"/>
    <cellStyle name="Normal 14 3 6" xfId="6953" xr:uid="{00000000-0005-0000-0000-00008A680000}"/>
    <cellStyle name="Normal 14 3 6 2" xfId="6954" xr:uid="{00000000-0005-0000-0000-00008B680000}"/>
    <cellStyle name="Normal 14 3 6 2 2" xfId="16523" xr:uid="{00000000-0005-0000-0000-00008C680000}"/>
    <cellStyle name="Normal 14 3 6 2 2 2" xfId="29930" xr:uid="{00000000-0005-0000-0000-00008D680000}"/>
    <cellStyle name="Normal 14 3 6 2 3" xfId="31276" xr:uid="{00000000-0005-0000-0000-00008E680000}"/>
    <cellStyle name="Normal 14 3 6 3" xfId="13475" xr:uid="{00000000-0005-0000-0000-00008F680000}"/>
    <cellStyle name="Normal 14 3 6 3 2" xfId="27024" xr:uid="{00000000-0005-0000-0000-000090680000}"/>
    <cellStyle name="Normal 14 3 6 4" xfId="31275" xr:uid="{00000000-0005-0000-0000-000091680000}"/>
    <cellStyle name="Normal 14 3 7" xfId="6955" xr:uid="{00000000-0005-0000-0000-000092680000}"/>
    <cellStyle name="Normal 14 3 7 2" xfId="14056" xr:uid="{00000000-0005-0000-0000-000093680000}"/>
    <cellStyle name="Normal 14 3 7 2 2" xfId="27605" xr:uid="{00000000-0005-0000-0000-000094680000}"/>
    <cellStyle name="Normal 14 3 7 3" xfId="31277" xr:uid="{00000000-0005-0000-0000-000095680000}"/>
    <cellStyle name="Normal 14 3 8" xfId="6956" xr:uid="{00000000-0005-0000-0000-000096680000}"/>
    <cellStyle name="Normal 14 3 8 2" xfId="15942" xr:uid="{00000000-0005-0000-0000-000097680000}"/>
    <cellStyle name="Normal 14 3 8 2 2" xfId="29349" xr:uid="{00000000-0005-0000-0000-000098680000}"/>
    <cellStyle name="Normal 14 3 8 3" xfId="31278" xr:uid="{00000000-0005-0000-0000-000099680000}"/>
    <cellStyle name="Normal 14 3 9" xfId="10125" xr:uid="{00000000-0005-0000-0000-00009A680000}"/>
    <cellStyle name="Normal 14 3 9 2" xfId="24353" xr:uid="{00000000-0005-0000-0000-00009B680000}"/>
    <cellStyle name="Normal 14 4" xfId="6957" xr:uid="{00000000-0005-0000-0000-00009C680000}"/>
    <cellStyle name="Normal 14 4 10" xfId="31279" xr:uid="{00000000-0005-0000-0000-00009D680000}"/>
    <cellStyle name="Normal 14 4 2" xfId="6958" xr:uid="{00000000-0005-0000-0000-00009E680000}"/>
    <cellStyle name="Normal 14 4 2 2" xfId="6959" xr:uid="{00000000-0005-0000-0000-00009F680000}"/>
    <cellStyle name="Normal 14 4 2 2 2" xfId="6960" xr:uid="{00000000-0005-0000-0000-0000A0680000}"/>
    <cellStyle name="Normal 14 4 2 2 2 2" xfId="6961" xr:uid="{00000000-0005-0000-0000-0000A1680000}"/>
    <cellStyle name="Normal 14 4 2 2 2 2 2" xfId="16998" xr:uid="{00000000-0005-0000-0000-0000A2680000}"/>
    <cellStyle name="Normal 14 4 2 2 2 2 2 2" xfId="30405" xr:uid="{00000000-0005-0000-0000-0000A3680000}"/>
    <cellStyle name="Normal 14 4 2 2 2 2 3" xfId="31283" xr:uid="{00000000-0005-0000-0000-0000A4680000}"/>
    <cellStyle name="Normal 14 4 2 2 2 3" xfId="11510" xr:uid="{00000000-0005-0000-0000-0000A5680000}"/>
    <cellStyle name="Normal 14 4 2 2 2 3 2" xfId="25342" xr:uid="{00000000-0005-0000-0000-0000A6680000}"/>
    <cellStyle name="Normal 14 4 2 2 2 4" xfId="31282" xr:uid="{00000000-0005-0000-0000-0000A7680000}"/>
    <cellStyle name="Normal 14 4 2 2 3" xfId="6962" xr:uid="{00000000-0005-0000-0000-0000A8680000}"/>
    <cellStyle name="Normal 14 4 2 2 3 2" xfId="12386" xr:uid="{00000000-0005-0000-0000-0000A9680000}"/>
    <cellStyle name="Normal 14 4 2 2 3 2 2" xfId="26098" xr:uid="{00000000-0005-0000-0000-0000AA680000}"/>
    <cellStyle name="Normal 14 4 2 2 3 3" xfId="31284" xr:uid="{00000000-0005-0000-0000-0000AB680000}"/>
    <cellStyle name="Normal 14 4 2 2 4" xfId="6963" xr:uid="{00000000-0005-0000-0000-0000AC680000}"/>
    <cellStyle name="Normal 14 4 2 2 4 2" xfId="13950" xr:uid="{00000000-0005-0000-0000-0000AD680000}"/>
    <cellStyle name="Normal 14 4 2 2 4 2 2" xfId="27499" xr:uid="{00000000-0005-0000-0000-0000AE680000}"/>
    <cellStyle name="Normal 14 4 2 2 4 3" xfId="31285" xr:uid="{00000000-0005-0000-0000-0000AF680000}"/>
    <cellStyle name="Normal 14 4 2 2 5" xfId="6964" xr:uid="{00000000-0005-0000-0000-0000B0680000}"/>
    <cellStyle name="Normal 14 4 2 2 5 2" xfId="14531" xr:uid="{00000000-0005-0000-0000-0000B1680000}"/>
    <cellStyle name="Normal 14 4 2 2 5 2 2" xfId="28080" xr:uid="{00000000-0005-0000-0000-0000B2680000}"/>
    <cellStyle name="Normal 14 4 2 2 5 3" xfId="31286" xr:uid="{00000000-0005-0000-0000-0000B3680000}"/>
    <cellStyle name="Normal 14 4 2 2 6" xfId="6965" xr:uid="{00000000-0005-0000-0000-0000B4680000}"/>
    <cellStyle name="Normal 14 4 2 2 6 2" xfId="16417" xr:uid="{00000000-0005-0000-0000-0000B5680000}"/>
    <cellStyle name="Normal 14 4 2 2 6 2 2" xfId="29824" xr:uid="{00000000-0005-0000-0000-0000B6680000}"/>
    <cellStyle name="Normal 14 4 2 2 6 3" xfId="31287" xr:uid="{00000000-0005-0000-0000-0000B7680000}"/>
    <cellStyle name="Normal 14 4 2 2 7" xfId="10131" xr:uid="{00000000-0005-0000-0000-0000B8680000}"/>
    <cellStyle name="Normal 14 4 2 2 7 2" xfId="24359" xr:uid="{00000000-0005-0000-0000-0000B9680000}"/>
    <cellStyle name="Normal 14 4 2 2 8" xfId="31281" xr:uid="{00000000-0005-0000-0000-0000BA680000}"/>
    <cellStyle name="Normal 14 4 2 3" xfId="6966" xr:uid="{00000000-0005-0000-0000-0000BB680000}"/>
    <cellStyle name="Normal 14 4 2 3 2" xfId="6967" xr:uid="{00000000-0005-0000-0000-0000BC680000}"/>
    <cellStyle name="Normal 14 4 2 3 2 2" xfId="16709" xr:uid="{00000000-0005-0000-0000-0000BD680000}"/>
    <cellStyle name="Normal 14 4 2 3 2 2 2" xfId="30116" xr:uid="{00000000-0005-0000-0000-0000BE680000}"/>
    <cellStyle name="Normal 14 4 2 3 2 3" xfId="31289" xr:uid="{00000000-0005-0000-0000-0000BF680000}"/>
    <cellStyle name="Normal 14 4 2 3 3" xfId="11509" xr:uid="{00000000-0005-0000-0000-0000C0680000}"/>
    <cellStyle name="Normal 14 4 2 3 3 2" xfId="25341" xr:uid="{00000000-0005-0000-0000-0000C1680000}"/>
    <cellStyle name="Normal 14 4 2 3 4" xfId="31288" xr:uid="{00000000-0005-0000-0000-0000C2680000}"/>
    <cellStyle name="Normal 14 4 2 4" xfId="6968" xr:uid="{00000000-0005-0000-0000-0000C3680000}"/>
    <cellStyle name="Normal 14 4 2 4 2" xfId="12086" xr:uid="{00000000-0005-0000-0000-0000C4680000}"/>
    <cellStyle name="Normal 14 4 2 4 2 2" xfId="25801" xr:uid="{00000000-0005-0000-0000-0000C5680000}"/>
    <cellStyle name="Normal 14 4 2 4 3" xfId="31290" xr:uid="{00000000-0005-0000-0000-0000C6680000}"/>
    <cellStyle name="Normal 14 4 2 5" xfId="6969" xr:uid="{00000000-0005-0000-0000-0000C7680000}"/>
    <cellStyle name="Normal 14 4 2 5 2" xfId="13661" xr:uid="{00000000-0005-0000-0000-0000C8680000}"/>
    <cellStyle name="Normal 14 4 2 5 2 2" xfId="27210" xr:uid="{00000000-0005-0000-0000-0000C9680000}"/>
    <cellStyle name="Normal 14 4 2 5 3" xfId="31291" xr:uid="{00000000-0005-0000-0000-0000CA680000}"/>
    <cellStyle name="Normal 14 4 2 6" xfId="6970" xr:uid="{00000000-0005-0000-0000-0000CB680000}"/>
    <cellStyle name="Normal 14 4 2 6 2" xfId="14242" xr:uid="{00000000-0005-0000-0000-0000CC680000}"/>
    <cellStyle name="Normal 14 4 2 6 2 2" xfId="27791" xr:uid="{00000000-0005-0000-0000-0000CD680000}"/>
    <cellStyle name="Normal 14 4 2 6 3" xfId="31292" xr:uid="{00000000-0005-0000-0000-0000CE680000}"/>
    <cellStyle name="Normal 14 4 2 7" xfId="6971" xr:uid="{00000000-0005-0000-0000-0000CF680000}"/>
    <cellStyle name="Normal 14 4 2 7 2" xfId="16128" xr:uid="{00000000-0005-0000-0000-0000D0680000}"/>
    <cellStyle name="Normal 14 4 2 7 2 2" xfId="29535" xr:uid="{00000000-0005-0000-0000-0000D1680000}"/>
    <cellStyle name="Normal 14 4 2 7 3" xfId="31293" xr:uid="{00000000-0005-0000-0000-0000D2680000}"/>
    <cellStyle name="Normal 14 4 2 8" xfId="10130" xr:uid="{00000000-0005-0000-0000-0000D3680000}"/>
    <cellStyle name="Normal 14 4 2 8 2" xfId="24358" xr:uid="{00000000-0005-0000-0000-0000D4680000}"/>
    <cellStyle name="Normal 14 4 2 9" xfId="31280" xr:uid="{00000000-0005-0000-0000-0000D5680000}"/>
    <cellStyle name="Normal 14 4 3" xfId="6972" xr:uid="{00000000-0005-0000-0000-0000D6680000}"/>
    <cellStyle name="Normal 14 4 3 2" xfId="6973" xr:uid="{00000000-0005-0000-0000-0000D7680000}"/>
    <cellStyle name="Normal 14 4 3 2 2" xfId="6974" xr:uid="{00000000-0005-0000-0000-0000D8680000}"/>
    <cellStyle name="Normal 14 4 3 2 2 2" xfId="16855" xr:uid="{00000000-0005-0000-0000-0000D9680000}"/>
    <cellStyle name="Normal 14 4 3 2 2 2 2" xfId="30262" xr:uid="{00000000-0005-0000-0000-0000DA680000}"/>
    <cellStyle name="Normal 14 4 3 2 2 3" xfId="31296" xr:uid="{00000000-0005-0000-0000-0000DB680000}"/>
    <cellStyle name="Normal 14 4 3 2 3" xfId="11511" xr:uid="{00000000-0005-0000-0000-0000DC680000}"/>
    <cellStyle name="Normal 14 4 3 2 3 2" xfId="25343" xr:uid="{00000000-0005-0000-0000-0000DD680000}"/>
    <cellStyle name="Normal 14 4 3 2 4" xfId="31295" xr:uid="{00000000-0005-0000-0000-0000DE680000}"/>
    <cellStyle name="Normal 14 4 3 3" xfId="6975" xr:uid="{00000000-0005-0000-0000-0000DF680000}"/>
    <cellStyle name="Normal 14 4 3 3 2" xfId="12243" xr:uid="{00000000-0005-0000-0000-0000E0680000}"/>
    <cellStyle name="Normal 14 4 3 3 2 2" xfId="25955" xr:uid="{00000000-0005-0000-0000-0000E1680000}"/>
    <cellStyle name="Normal 14 4 3 3 3" xfId="31297" xr:uid="{00000000-0005-0000-0000-0000E2680000}"/>
    <cellStyle name="Normal 14 4 3 4" xfId="6976" xr:uid="{00000000-0005-0000-0000-0000E3680000}"/>
    <cellStyle name="Normal 14 4 3 4 2" xfId="13807" xr:uid="{00000000-0005-0000-0000-0000E4680000}"/>
    <cellStyle name="Normal 14 4 3 4 2 2" xfId="27356" xr:uid="{00000000-0005-0000-0000-0000E5680000}"/>
    <cellStyle name="Normal 14 4 3 4 3" xfId="31298" xr:uid="{00000000-0005-0000-0000-0000E6680000}"/>
    <cellStyle name="Normal 14 4 3 5" xfId="6977" xr:uid="{00000000-0005-0000-0000-0000E7680000}"/>
    <cellStyle name="Normal 14 4 3 5 2" xfId="14388" xr:uid="{00000000-0005-0000-0000-0000E8680000}"/>
    <cellStyle name="Normal 14 4 3 5 2 2" xfId="27937" xr:uid="{00000000-0005-0000-0000-0000E9680000}"/>
    <cellStyle name="Normal 14 4 3 5 3" xfId="31299" xr:uid="{00000000-0005-0000-0000-0000EA680000}"/>
    <cellStyle name="Normal 14 4 3 6" xfId="6978" xr:uid="{00000000-0005-0000-0000-0000EB680000}"/>
    <cellStyle name="Normal 14 4 3 6 2" xfId="16274" xr:uid="{00000000-0005-0000-0000-0000EC680000}"/>
    <cellStyle name="Normal 14 4 3 6 2 2" xfId="29681" xr:uid="{00000000-0005-0000-0000-0000ED680000}"/>
    <cellStyle name="Normal 14 4 3 6 3" xfId="31300" xr:uid="{00000000-0005-0000-0000-0000EE680000}"/>
    <cellStyle name="Normal 14 4 3 7" xfId="10132" xr:uid="{00000000-0005-0000-0000-0000EF680000}"/>
    <cellStyle name="Normal 14 4 3 7 2" xfId="24360" xr:uid="{00000000-0005-0000-0000-0000F0680000}"/>
    <cellStyle name="Normal 14 4 3 8" xfId="31294" xr:uid="{00000000-0005-0000-0000-0000F1680000}"/>
    <cellStyle name="Normal 14 4 4" xfId="6979" xr:uid="{00000000-0005-0000-0000-0000F2680000}"/>
    <cellStyle name="Normal 14 4 4 2" xfId="6980" xr:uid="{00000000-0005-0000-0000-0000F3680000}"/>
    <cellStyle name="Normal 14 4 4 2 2" xfId="16566" xr:uid="{00000000-0005-0000-0000-0000F4680000}"/>
    <cellStyle name="Normal 14 4 4 2 2 2" xfId="29973" xr:uid="{00000000-0005-0000-0000-0000F5680000}"/>
    <cellStyle name="Normal 14 4 4 2 3" xfId="31302" xr:uid="{00000000-0005-0000-0000-0000F6680000}"/>
    <cellStyle name="Normal 14 4 4 3" xfId="11508" xr:uid="{00000000-0005-0000-0000-0000F7680000}"/>
    <cellStyle name="Normal 14 4 4 3 2" xfId="25340" xr:uid="{00000000-0005-0000-0000-0000F8680000}"/>
    <cellStyle name="Normal 14 4 4 4" xfId="31301" xr:uid="{00000000-0005-0000-0000-0000F9680000}"/>
    <cellStyle name="Normal 14 4 5" xfId="6981" xr:uid="{00000000-0005-0000-0000-0000FA680000}"/>
    <cellStyle name="Normal 14 4 5 2" xfId="11941" xr:uid="{00000000-0005-0000-0000-0000FB680000}"/>
    <cellStyle name="Normal 14 4 5 2 2" xfId="25656" xr:uid="{00000000-0005-0000-0000-0000FC680000}"/>
    <cellStyle name="Normal 14 4 5 3" xfId="31303" xr:uid="{00000000-0005-0000-0000-0000FD680000}"/>
    <cellStyle name="Normal 14 4 6" xfId="6982" xr:uid="{00000000-0005-0000-0000-0000FE680000}"/>
    <cellStyle name="Normal 14 4 6 2" xfId="13518" xr:uid="{00000000-0005-0000-0000-0000FF680000}"/>
    <cellStyle name="Normal 14 4 6 2 2" xfId="27067" xr:uid="{00000000-0005-0000-0000-000000690000}"/>
    <cellStyle name="Normal 14 4 6 3" xfId="31304" xr:uid="{00000000-0005-0000-0000-000001690000}"/>
    <cellStyle name="Normal 14 4 7" xfId="6983" xr:uid="{00000000-0005-0000-0000-000002690000}"/>
    <cellStyle name="Normal 14 4 7 2" xfId="14099" xr:uid="{00000000-0005-0000-0000-000003690000}"/>
    <cellStyle name="Normal 14 4 7 2 2" xfId="27648" xr:uid="{00000000-0005-0000-0000-000004690000}"/>
    <cellStyle name="Normal 14 4 7 3" xfId="31305" xr:uid="{00000000-0005-0000-0000-000005690000}"/>
    <cellStyle name="Normal 14 4 8" xfId="6984" xr:uid="{00000000-0005-0000-0000-000006690000}"/>
    <cellStyle name="Normal 14 4 8 2" xfId="15985" xr:uid="{00000000-0005-0000-0000-000007690000}"/>
    <cellStyle name="Normal 14 4 8 2 2" xfId="29392" xr:uid="{00000000-0005-0000-0000-000008690000}"/>
    <cellStyle name="Normal 14 4 8 3" xfId="31306" xr:uid="{00000000-0005-0000-0000-000009690000}"/>
    <cellStyle name="Normal 14 4 9" xfId="10129" xr:uid="{00000000-0005-0000-0000-00000A690000}"/>
    <cellStyle name="Normal 14 4 9 2" xfId="24357" xr:uid="{00000000-0005-0000-0000-00000B690000}"/>
    <cellStyle name="Normal 14 5" xfId="6985" xr:uid="{00000000-0005-0000-0000-00000C690000}"/>
    <cellStyle name="Normal 14 5 2" xfId="6986" xr:uid="{00000000-0005-0000-0000-00000D690000}"/>
    <cellStyle name="Normal 14 5 2 2" xfId="6987" xr:uid="{00000000-0005-0000-0000-00000E690000}"/>
    <cellStyle name="Normal 14 5 2 2 2" xfId="6988" xr:uid="{00000000-0005-0000-0000-00000F690000}"/>
    <cellStyle name="Normal 14 5 2 2 2 2" xfId="16909" xr:uid="{00000000-0005-0000-0000-000010690000}"/>
    <cellStyle name="Normal 14 5 2 2 2 2 2" xfId="30316" xr:uid="{00000000-0005-0000-0000-000011690000}"/>
    <cellStyle name="Normal 14 5 2 2 2 3" xfId="31310" xr:uid="{00000000-0005-0000-0000-000012690000}"/>
    <cellStyle name="Normal 14 5 2 2 3" xfId="11513" xr:uid="{00000000-0005-0000-0000-000013690000}"/>
    <cellStyle name="Normal 14 5 2 2 3 2" xfId="25345" xr:uid="{00000000-0005-0000-0000-000014690000}"/>
    <cellStyle name="Normal 14 5 2 2 4" xfId="31309" xr:uid="{00000000-0005-0000-0000-000015690000}"/>
    <cellStyle name="Normal 14 5 2 3" xfId="6989" xr:uid="{00000000-0005-0000-0000-000016690000}"/>
    <cellStyle name="Normal 14 5 2 3 2" xfId="12297" xr:uid="{00000000-0005-0000-0000-000017690000}"/>
    <cellStyle name="Normal 14 5 2 3 2 2" xfId="26009" xr:uid="{00000000-0005-0000-0000-000018690000}"/>
    <cellStyle name="Normal 14 5 2 3 3" xfId="31311" xr:uid="{00000000-0005-0000-0000-000019690000}"/>
    <cellStyle name="Normal 14 5 2 4" xfId="6990" xr:uid="{00000000-0005-0000-0000-00001A690000}"/>
    <cellStyle name="Normal 14 5 2 4 2" xfId="13861" xr:uid="{00000000-0005-0000-0000-00001B690000}"/>
    <cellStyle name="Normal 14 5 2 4 2 2" xfId="27410" xr:uid="{00000000-0005-0000-0000-00001C690000}"/>
    <cellStyle name="Normal 14 5 2 4 3" xfId="31312" xr:uid="{00000000-0005-0000-0000-00001D690000}"/>
    <cellStyle name="Normal 14 5 2 5" xfId="6991" xr:uid="{00000000-0005-0000-0000-00001E690000}"/>
    <cellStyle name="Normal 14 5 2 5 2" xfId="14442" xr:uid="{00000000-0005-0000-0000-00001F690000}"/>
    <cellStyle name="Normal 14 5 2 5 2 2" xfId="27991" xr:uid="{00000000-0005-0000-0000-000020690000}"/>
    <cellStyle name="Normal 14 5 2 5 3" xfId="31313" xr:uid="{00000000-0005-0000-0000-000021690000}"/>
    <cellStyle name="Normal 14 5 2 6" xfId="6992" xr:uid="{00000000-0005-0000-0000-000022690000}"/>
    <cellStyle name="Normal 14 5 2 6 2" xfId="16328" xr:uid="{00000000-0005-0000-0000-000023690000}"/>
    <cellStyle name="Normal 14 5 2 6 2 2" xfId="29735" xr:uid="{00000000-0005-0000-0000-000024690000}"/>
    <cellStyle name="Normal 14 5 2 6 3" xfId="31314" xr:uid="{00000000-0005-0000-0000-000025690000}"/>
    <cellStyle name="Normal 14 5 2 7" xfId="10134" xr:uid="{00000000-0005-0000-0000-000026690000}"/>
    <cellStyle name="Normal 14 5 2 7 2" xfId="24362" xr:uid="{00000000-0005-0000-0000-000027690000}"/>
    <cellStyle name="Normal 14 5 2 8" xfId="31308" xr:uid="{00000000-0005-0000-0000-000028690000}"/>
    <cellStyle name="Normal 14 5 3" xfId="6993" xr:uid="{00000000-0005-0000-0000-000029690000}"/>
    <cellStyle name="Normal 14 5 3 2" xfId="6994" xr:uid="{00000000-0005-0000-0000-00002A690000}"/>
    <cellStyle name="Normal 14 5 3 2 2" xfId="16620" xr:uid="{00000000-0005-0000-0000-00002B690000}"/>
    <cellStyle name="Normal 14 5 3 2 2 2" xfId="30027" xr:uid="{00000000-0005-0000-0000-00002C690000}"/>
    <cellStyle name="Normal 14 5 3 2 3" xfId="31316" xr:uid="{00000000-0005-0000-0000-00002D690000}"/>
    <cellStyle name="Normal 14 5 3 3" xfId="11512" xr:uid="{00000000-0005-0000-0000-00002E690000}"/>
    <cellStyle name="Normal 14 5 3 3 2" xfId="25344" xr:uid="{00000000-0005-0000-0000-00002F690000}"/>
    <cellStyle name="Normal 14 5 3 4" xfId="31315" xr:uid="{00000000-0005-0000-0000-000030690000}"/>
    <cellStyle name="Normal 14 5 4" xfId="6995" xr:uid="{00000000-0005-0000-0000-000031690000}"/>
    <cellStyle name="Normal 14 5 4 2" xfId="11997" xr:uid="{00000000-0005-0000-0000-000032690000}"/>
    <cellStyle name="Normal 14 5 4 2 2" xfId="25712" xr:uid="{00000000-0005-0000-0000-000033690000}"/>
    <cellStyle name="Normal 14 5 4 3" xfId="31317" xr:uid="{00000000-0005-0000-0000-000034690000}"/>
    <cellStyle name="Normal 14 5 5" xfId="6996" xr:uid="{00000000-0005-0000-0000-000035690000}"/>
    <cellStyle name="Normal 14 5 5 2" xfId="13572" xr:uid="{00000000-0005-0000-0000-000036690000}"/>
    <cellStyle name="Normal 14 5 5 2 2" xfId="27121" xr:uid="{00000000-0005-0000-0000-000037690000}"/>
    <cellStyle name="Normal 14 5 5 3" xfId="31318" xr:uid="{00000000-0005-0000-0000-000038690000}"/>
    <cellStyle name="Normal 14 5 6" xfId="6997" xr:uid="{00000000-0005-0000-0000-000039690000}"/>
    <cellStyle name="Normal 14 5 6 2" xfId="14153" xr:uid="{00000000-0005-0000-0000-00003A690000}"/>
    <cellStyle name="Normal 14 5 6 2 2" xfId="27702" xr:uid="{00000000-0005-0000-0000-00003B690000}"/>
    <cellStyle name="Normal 14 5 6 3" xfId="31319" xr:uid="{00000000-0005-0000-0000-00003C690000}"/>
    <cellStyle name="Normal 14 5 7" xfId="6998" xr:uid="{00000000-0005-0000-0000-00003D690000}"/>
    <cellStyle name="Normal 14 5 7 2" xfId="16039" xr:uid="{00000000-0005-0000-0000-00003E690000}"/>
    <cellStyle name="Normal 14 5 7 2 2" xfId="29446" xr:uid="{00000000-0005-0000-0000-00003F690000}"/>
    <cellStyle name="Normal 14 5 7 3" xfId="31320" xr:uid="{00000000-0005-0000-0000-000040690000}"/>
    <cellStyle name="Normal 14 5 8" xfId="10133" xr:uid="{00000000-0005-0000-0000-000041690000}"/>
    <cellStyle name="Normal 14 5 8 2" xfId="24361" xr:uid="{00000000-0005-0000-0000-000042690000}"/>
    <cellStyle name="Normal 14 5 9" xfId="31307" xr:uid="{00000000-0005-0000-0000-000043690000}"/>
    <cellStyle name="Normal 14 6" xfId="6999" xr:uid="{00000000-0005-0000-0000-000044690000}"/>
    <cellStyle name="Normal 14 6 2" xfId="7000" xr:uid="{00000000-0005-0000-0000-000045690000}"/>
    <cellStyle name="Normal 14 6 2 2" xfId="7001" xr:uid="{00000000-0005-0000-0000-000046690000}"/>
    <cellStyle name="Normal 14 6 2 2 2" xfId="16732" xr:uid="{00000000-0005-0000-0000-000047690000}"/>
    <cellStyle name="Normal 14 6 2 2 2 2" xfId="30139" xr:uid="{00000000-0005-0000-0000-000048690000}"/>
    <cellStyle name="Normal 14 6 2 2 3" xfId="31323" xr:uid="{00000000-0005-0000-0000-000049690000}"/>
    <cellStyle name="Normal 14 6 2 3" xfId="11514" xr:uid="{00000000-0005-0000-0000-00004A690000}"/>
    <cellStyle name="Normal 14 6 2 3 2" xfId="25346" xr:uid="{00000000-0005-0000-0000-00004B690000}"/>
    <cellStyle name="Normal 14 6 2 4" xfId="31322" xr:uid="{00000000-0005-0000-0000-00004C690000}"/>
    <cellStyle name="Normal 14 6 3" xfId="7002" xr:uid="{00000000-0005-0000-0000-00004D690000}"/>
    <cellStyle name="Normal 14 6 3 2" xfId="12120" xr:uid="{00000000-0005-0000-0000-00004E690000}"/>
    <cellStyle name="Normal 14 6 3 2 2" xfId="25832" xr:uid="{00000000-0005-0000-0000-00004F690000}"/>
    <cellStyle name="Normal 14 6 3 3" xfId="31324" xr:uid="{00000000-0005-0000-0000-000050690000}"/>
    <cellStyle name="Normal 14 6 4" xfId="7003" xr:uid="{00000000-0005-0000-0000-000051690000}"/>
    <cellStyle name="Normal 14 6 4 2" xfId="13684" xr:uid="{00000000-0005-0000-0000-000052690000}"/>
    <cellStyle name="Normal 14 6 4 2 2" xfId="27233" xr:uid="{00000000-0005-0000-0000-000053690000}"/>
    <cellStyle name="Normal 14 6 4 3" xfId="31325" xr:uid="{00000000-0005-0000-0000-000054690000}"/>
    <cellStyle name="Normal 14 6 5" xfId="7004" xr:uid="{00000000-0005-0000-0000-000055690000}"/>
    <cellStyle name="Normal 14 6 5 2" xfId="14265" xr:uid="{00000000-0005-0000-0000-000056690000}"/>
    <cellStyle name="Normal 14 6 5 2 2" xfId="27814" xr:uid="{00000000-0005-0000-0000-000057690000}"/>
    <cellStyle name="Normal 14 6 5 3" xfId="31326" xr:uid="{00000000-0005-0000-0000-000058690000}"/>
    <cellStyle name="Normal 14 6 6" xfId="7005" xr:uid="{00000000-0005-0000-0000-000059690000}"/>
    <cellStyle name="Normal 14 6 6 2" xfId="16151" xr:uid="{00000000-0005-0000-0000-00005A690000}"/>
    <cellStyle name="Normal 14 6 6 2 2" xfId="29558" xr:uid="{00000000-0005-0000-0000-00005B690000}"/>
    <cellStyle name="Normal 14 6 6 3" xfId="31327" xr:uid="{00000000-0005-0000-0000-00005C690000}"/>
    <cellStyle name="Normal 14 6 7" xfId="10135" xr:uid="{00000000-0005-0000-0000-00005D690000}"/>
    <cellStyle name="Normal 14 6 7 2" xfId="24363" xr:uid="{00000000-0005-0000-0000-00005E690000}"/>
    <cellStyle name="Normal 14 6 8" xfId="31321" xr:uid="{00000000-0005-0000-0000-00005F690000}"/>
    <cellStyle name="Normal 14 7" xfId="7006" xr:uid="{00000000-0005-0000-0000-000060690000}"/>
    <cellStyle name="Normal 14 7 2" xfId="7007" xr:uid="{00000000-0005-0000-0000-000061690000}"/>
    <cellStyle name="Normal 14 7 2 2" xfId="17038" xr:uid="{00000000-0005-0000-0000-000062690000}"/>
    <cellStyle name="Normal 14 7 2 2 2" xfId="30441" xr:uid="{00000000-0005-0000-0000-000063690000}"/>
    <cellStyle name="Normal 14 7 2 3" xfId="31329" xr:uid="{00000000-0005-0000-0000-000064690000}"/>
    <cellStyle name="Normal 14 7 3" xfId="10136" xr:uid="{00000000-0005-0000-0000-000065690000}"/>
    <cellStyle name="Normal 14 7 4" xfId="31328" xr:uid="{00000000-0005-0000-0000-000066690000}"/>
    <cellStyle name="Normal 14 8" xfId="7008" xr:uid="{00000000-0005-0000-0000-000067690000}"/>
    <cellStyle name="Normal 14 8 2" xfId="7009" xr:uid="{00000000-0005-0000-0000-000068690000}"/>
    <cellStyle name="Normal 14 8 2 2" xfId="13243" xr:uid="{00000000-0005-0000-0000-000069690000}"/>
    <cellStyle name="Normal 14 8 2 3" xfId="31331" xr:uid="{00000000-0005-0000-0000-00006A690000}"/>
    <cellStyle name="Normal 14 8 3" xfId="7010" xr:uid="{00000000-0005-0000-0000-00006B690000}"/>
    <cellStyle name="Normal 14 8 3 2" xfId="17113" xr:uid="{00000000-0005-0000-0000-00006C690000}"/>
    <cellStyle name="Normal 14 8 3 2 2" xfId="30472" xr:uid="{00000000-0005-0000-0000-00006D690000}"/>
    <cellStyle name="Normal 14 8 3 3" xfId="31332" xr:uid="{00000000-0005-0000-0000-00006E690000}"/>
    <cellStyle name="Normal 14 8 4" xfId="11828" xr:uid="{00000000-0005-0000-0000-00006F690000}"/>
    <cellStyle name="Normal 14 8 4 2" xfId="25543" xr:uid="{00000000-0005-0000-0000-000070690000}"/>
    <cellStyle name="Normal 14 8 5" xfId="31330" xr:uid="{00000000-0005-0000-0000-000071690000}"/>
    <cellStyle name="Normal 14 9" xfId="7011" xr:uid="{00000000-0005-0000-0000-000072690000}"/>
    <cellStyle name="Normal 14 9 2" xfId="7012" xr:uid="{00000000-0005-0000-0000-000073690000}"/>
    <cellStyle name="Normal 14 9 2 2" xfId="17202" xr:uid="{00000000-0005-0000-0000-000074690000}"/>
    <cellStyle name="Normal 14 9 2 2 2" xfId="30561" xr:uid="{00000000-0005-0000-0000-000075690000}"/>
    <cellStyle name="Normal 14 9 2 3" xfId="31334" xr:uid="{00000000-0005-0000-0000-000076690000}"/>
    <cellStyle name="Normal 14 9 3" xfId="13429" xr:uid="{00000000-0005-0000-0000-000077690000}"/>
    <cellStyle name="Normal 14 9 3 2" xfId="26978" xr:uid="{00000000-0005-0000-0000-000078690000}"/>
    <cellStyle name="Normal 14 9 4" xfId="31333" xr:uid="{00000000-0005-0000-0000-000079690000}"/>
    <cellStyle name="Normal 15" xfId="7013" xr:uid="{00000000-0005-0000-0000-00007A690000}"/>
    <cellStyle name="Normal 15 10" xfId="7014" xr:uid="{00000000-0005-0000-0000-00007B690000}"/>
    <cellStyle name="Normal 15 10 2" xfId="7015" xr:uid="{00000000-0005-0000-0000-00007C690000}"/>
    <cellStyle name="Normal 15 10 2 2" xfId="17293" xr:uid="{00000000-0005-0000-0000-00007D690000}"/>
    <cellStyle name="Normal 15 10 2 2 2" xfId="30652" xr:uid="{00000000-0005-0000-0000-00007E690000}"/>
    <cellStyle name="Normal 15 10 2 3" xfId="31336" xr:uid="{00000000-0005-0000-0000-00007F690000}"/>
    <cellStyle name="Normal 15 10 3" xfId="13431" xr:uid="{00000000-0005-0000-0000-000080690000}"/>
    <cellStyle name="Normal 15 10 3 2" xfId="26980" xr:uid="{00000000-0005-0000-0000-000081690000}"/>
    <cellStyle name="Normal 15 10 4" xfId="31335" xr:uid="{00000000-0005-0000-0000-000082690000}"/>
    <cellStyle name="Normal 15 11" xfId="7016" xr:uid="{00000000-0005-0000-0000-000083690000}"/>
    <cellStyle name="Normal 15 11 2" xfId="7017" xr:uid="{00000000-0005-0000-0000-000084690000}"/>
    <cellStyle name="Normal 15 11 2 2" xfId="16479" xr:uid="{00000000-0005-0000-0000-000085690000}"/>
    <cellStyle name="Normal 15 11 2 2 2" xfId="29886" xr:uid="{00000000-0005-0000-0000-000086690000}"/>
    <cellStyle name="Normal 15 11 2 3" xfId="31338" xr:uid="{00000000-0005-0000-0000-000087690000}"/>
    <cellStyle name="Normal 15 11 3" xfId="14012" xr:uid="{00000000-0005-0000-0000-000088690000}"/>
    <cellStyle name="Normal 15 11 3 2" xfId="27561" xr:uid="{00000000-0005-0000-0000-000089690000}"/>
    <cellStyle name="Normal 15 11 4" xfId="31337" xr:uid="{00000000-0005-0000-0000-00008A690000}"/>
    <cellStyle name="Normal 15 12" xfId="7018" xr:uid="{00000000-0005-0000-0000-00008B690000}"/>
    <cellStyle name="Normal 15 12 2" xfId="15898" xr:uid="{00000000-0005-0000-0000-00008C690000}"/>
    <cellStyle name="Normal 15 12 2 2" xfId="29305" xr:uid="{00000000-0005-0000-0000-00008D690000}"/>
    <cellStyle name="Normal 15 12 3" xfId="31339" xr:uid="{00000000-0005-0000-0000-00008E690000}"/>
    <cellStyle name="Normal 15 13" xfId="10137" xr:uid="{00000000-0005-0000-0000-00008F690000}"/>
    <cellStyle name="Normal 15 14" xfId="33043" xr:uid="{00000000-0005-0000-0000-000090690000}"/>
    <cellStyle name="Normal 15 2" xfId="7019" xr:uid="{00000000-0005-0000-0000-000091690000}"/>
    <cellStyle name="Normal 15 2 10" xfId="10138" xr:uid="{00000000-0005-0000-0000-000092690000}"/>
    <cellStyle name="Normal 15 2 10 2" xfId="24364" xr:uid="{00000000-0005-0000-0000-000093690000}"/>
    <cellStyle name="Normal 15 2 2" xfId="7020" xr:uid="{00000000-0005-0000-0000-000094690000}"/>
    <cellStyle name="Normal 15 2 2 10" xfId="31340" xr:uid="{00000000-0005-0000-0000-000095690000}"/>
    <cellStyle name="Normal 15 2 2 2" xfId="7021" xr:uid="{00000000-0005-0000-0000-000096690000}"/>
    <cellStyle name="Normal 15 2 2 2 2" xfId="7022" xr:uid="{00000000-0005-0000-0000-000097690000}"/>
    <cellStyle name="Normal 15 2 2 2 2 2" xfId="7023" xr:uid="{00000000-0005-0000-0000-000098690000}"/>
    <cellStyle name="Normal 15 2 2 2 2 2 2" xfId="7024" xr:uid="{00000000-0005-0000-0000-000099690000}"/>
    <cellStyle name="Normal 15 2 2 2 2 2 2 2" xfId="16980" xr:uid="{00000000-0005-0000-0000-00009A690000}"/>
    <cellStyle name="Normal 15 2 2 2 2 2 2 2 2" xfId="30387" xr:uid="{00000000-0005-0000-0000-00009B690000}"/>
    <cellStyle name="Normal 15 2 2 2 2 2 2 3" xfId="31344" xr:uid="{00000000-0005-0000-0000-00009C690000}"/>
    <cellStyle name="Normal 15 2 2 2 2 2 3" xfId="11518" xr:uid="{00000000-0005-0000-0000-00009D690000}"/>
    <cellStyle name="Normal 15 2 2 2 2 2 3 2" xfId="25350" xr:uid="{00000000-0005-0000-0000-00009E690000}"/>
    <cellStyle name="Normal 15 2 2 2 2 2 4" xfId="31343" xr:uid="{00000000-0005-0000-0000-00009F690000}"/>
    <cellStyle name="Normal 15 2 2 2 2 3" xfId="7025" xr:uid="{00000000-0005-0000-0000-0000A0690000}"/>
    <cellStyle name="Normal 15 2 2 2 2 3 2" xfId="12368" xr:uid="{00000000-0005-0000-0000-0000A1690000}"/>
    <cellStyle name="Normal 15 2 2 2 2 3 2 2" xfId="26080" xr:uid="{00000000-0005-0000-0000-0000A2690000}"/>
    <cellStyle name="Normal 15 2 2 2 2 3 3" xfId="31345" xr:uid="{00000000-0005-0000-0000-0000A3690000}"/>
    <cellStyle name="Normal 15 2 2 2 2 4" xfId="7026" xr:uid="{00000000-0005-0000-0000-0000A4690000}"/>
    <cellStyle name="Normal 15 2 2 2 2 4 2" xfId="13932" xr:uid="{00000000-0005-0000-0000-0000A5690000}"/>
    <cellStyle name="Normal 15 2 2 2 2 4 2 2" xfId="27481" xr:uid="{00000000-0005-0000-0000-0000A6690000}"/>
    <cellStyle name="Normal 15 2 2 2 2 4 3" xfId="31346" xr:uid="{00000000-0005-0000-0000-0000A7690000}"/>
    <cellStyle name="Normal 15 2 2 2 2 5" xfId="7027" xr:uid="{00000000-0005-0000-0000-0000A8690000}"/>
    <cellStyle name="Normal 15 2 2 2 2 5 2" xfId="14513" xr:uid="{00000000-0005-0000-0000-0000A9690000}"/>
    <cellStyle name="Normal 15 2 2 2 2 5 2 2" xfId="28062" xr:uid="{00000000-0005-0000-0000-0000AA690000}"/>
    <cellStyle name="Normal 15 2 2 2 2 5 3" xfId="31347" xr:uid="{00000000-0005-0000-0000-0000AB690000}"/>
    <cellStyle name="Normal 15 2 2 2 2 6" xfId="7028" xr:uid="{00000000-0005-0000-0000-0000AC690000}"/>
    <cellStyle name="Normal 15 2 2 2 2 6 2" xfId="16399" xr:uid="{00000000-0005-0000-0000-0000AD690000}"/>
    <cellStyle name="Normal 15 2 2 2 2 6 2 2" xfId="29806" xr:uid="{00000000-0005-0000-0000-0000AE690000}"/>
    <cellStyle name="Normal 15 2 2 2 2 6 3" xfId="31348" xr:uid="{00000000-0005-0000-0000-0000AF690000}"/>
    <cellStyle name="Normal 15 2 2 2 2 7" xfId="10141" xr:uid="{00000000-0005-0000-0000-0000B0690000}"/>
    <cellStyle name="Normal 15 2 2 2 2 7 2" xfId="24367" xr:uid="{00000000-0005-0000-0000-0000B1690000}"/>
    <cellStyle name="Normal 15 2 2 2 2 8" xfId="31342" xr:uid="{00000000-0005-0000-0000-0000B2690000}"/>
    <cellStyle name="Normal 15 2 2 2 3" xfId="7029" xr:uid="{00000000-0005-0000-0000-0000B3690000}"/>
    <cellStyle name="Normal 15 2 2 2 3 2" xfId="7030" xr:uid="{00000000-0005-0000-0000-0000B4690000}"/>
    <cellStyle name="Normal 15 2 2 2 3 2 2" xfId="16691" xr:uid="{00000000-0005-0000-0000-0000B5690000}"/>
    <cellStyle name="Normal 15 2 2 2 3 2 2 2" xfId="30098" xr:uid="{00000000-0005-0000-0000-0000B6690000}"/>
    <cellStyle name="Normal 15 2 2 2 3 2 3" xfId="31350" xr:uid="{00000000-0005-0000-0000-0000B7690000}"/>
    <cellStyle name="Normal 15 2 2 2 3 3" xfId="11517" xr:uid="{00000000-0005-0000-0000-0000B8690000}"/>
    <cellStyle name="Normal 15 2 2 2 3 3 2" xfId="25349" xr:uid="{00000000-0005-0000-0000-0000B9690000}"/>
    <cellStyle name="Normal 15 2 2 2 3 4" xfId="31349" xr:uid="{00000000-0005-0000-0000-0000BA690000}"/>
    <cellStyle name="Normal 15 2 2 2 4" xfId="7031" xr:uid="{00000000-0005-0000-0000-0000BB690000}"/>
    <cellStyle name="Normal 15 2 2 2 4 2" xfId="12068" xr:uid="{00000000-0005-0000-0000-0000BC690000}"/>
    <cellStyle name="Normal 15 2 2 2 4 2 2" xfId="25783" xr:uid="{00000000-0005-0000-0000-0000BD690000}"/>
    <cellStyle name="Normal 15 2 2 2 4 3" xfId="31351" xr:uid="{00000000-0005-0000-0000-0000BE690000}"/>
    <cellStyle name="Normal 15 2 2 2 5" xfId="7032" xr:uid="{00000000-0005-0000-0000-0000BF690000}"/>
    <cellStyle name="Normal 15 2 2 2 5 2" xfId="13643" xr:uid="{00000000-0005-0000-0000-0000C0690000}"/>
    <cellStyle name="Normal 15 2 2 2 5 2 2" xfId="27192" xr:uid="{00000000-0005-0000-0000-0000C1690000}"/>
    <cellStyle name="Normal 15 2 2 2 5 3" xfId="31352" xr:uid="{00000000-0005-0000-0000-0000C2690000}"/>
    <cellStyle name="Normal 15 2 2 2 6" xfId="7033" xr:uid="{00000000-0005-0000-0000-0000C3690000}"/>
    <cellStyle name="Normal 15 2 2 2 6 2" xfId="14224" xr:uid="{00000000-0005-0000-0000-0000C4690000}"/>
    <cellStyle name="Normal 15 2 2 2 6 2 2" xfId="27773" xr:uid="{00000000-0005-0000-0000-0000C5690000}"/>
    <cellStyle name="Normal 15 2 2 2 6 3" xfId="31353" xr:uid="{00000000-0005-0000-0000-0000C6690000}"/>
    <cellStyle name="Normal 15 2 2 2 7" xfId="7034" xr:uid="{00000000-0005-0000-0000-0000C7690000}"/>
    <cellStyle name="Normal 15 2 2 2 7 2" xfId="16110" xr:uid="{00000000-0005-0000-0000-0000C8690000}"/>
    <cellStyle name="Normal 15 2 2 2 7 2 2" xfId="29517" xr:uid="{00000000-0005-0000-0000-0000C9690000}"/>
    <cellStyle name="Normal 15 2 2 2 7 3" xfId="31354" xr:uid="{00000000-0005-0000-0000-0000CA690000}"/>
    <cellStyle name="Normal 15 2 2 2 8" xfId="10140" xr:uid="{00000000-0005-0000-0000-0000CB690000}"/>
    <cellStyle name="Normal 15 2 2 2 8 2" xfId="24366" xr:uid="{00000000-0005-0000-0000-0000CC690000}"/>
    <cellStyle name="Normal 15 2 2 2 9" xfId="31341" xr:uid="{00000000-0005-0000-0000-0000CD690000}"/>
    <cellStyle name="Normal 15 2 2 3" xfId="7035" xr:uid="{00000000-0005-0000-0000-0000CE690000}"/>
    <cellStyle name="Normal 15 2 2 3 2" xfId="7036" xr:uid="{00000000-0005-0000-0000-0000CF690000}"/>
    <cellStyle name="Normal 15 2 2 3 2 2" xfId="7037" xr:uid="{00000000-0005-0000-0000-0000D0690000}"/>
    <cellStyle name="Normal 15 2 2 3 2 2 2" xfId="16837" xr:uid="{00000000-0005-0000-0000-0000D1690000}"/>
    <cellStyle name="Normal 15 2 2 3 2 2 2 2" xfId="30244" xr:uid="{00000000-0005-0000-0000-0000D2690000}"/>
    <cellStyle name="Normal 15 2 2 3 2 2 3" xfId="31357" xr:uid="{00000000-0005-0000-0000-0000D3690000}"/>
    <cellStyle name="Normal 15 2 2 3 2 3" xfId="11519" xr:uid="{00000000-0005-0000-0000-0000D4690000}"/>
    <cellStyle name="Normal 15 2 2 3 2 3 2" xfId="25351" xr:uid="{00000000-0005-0000-0000-0000D5690000}"/>
    <cellStyle name="Normal 15 2 2 3 2 4" xfId="31356" xr:uid="{00000000-0005-0000-0000-0000D6690000}"/>
    <cellStyle name="Normal 15 2 2 3 3" xfId="7038" xr:uid="{00000000-0005-0000-0000-0000D7690000}"/>
    <cellStyle name="Normal 15 2 2 3 3 2" xfId="12225" xr:uid="{00000000-0005-0000-0000-0000D8690000}"/>
    <cellStyle name="Normal 15 2 2 3 3 2 2" xfId="25937" xr:uid="{00000000-0005-0000-0000-0000D9690000}"/>
    <cellStyle name="Normal 15 2 2 3 3 3" xfId="31358" xr:uid="{00000000-0005-0000-0000-0000DA690000}"/>
    <cellStyle name="Normal 15 2 2 3 4" xfId="7039" xr:uid="{00000000-0005-0000-0000-0000DB690000}"/>
    <cellStyle name="Normal 15 2 2 3 4 2" xfId="13789" xr:uid="{00000000-0005-0000-0000-0000DC690000}"/>
    <cellStyle name="Normal 15 2 2 3 4 2 2" xfId="27338" xr:uid="{00000000-0005-0000-0000-0000DD690000}"/>
    <cellStyle name="Normal 15 2 2 3 4 3" xfId="31359" xr:uid="{00000000-0005-0000-0000-0000DE690000}"/>
    <cellStyle name="Normal 15 2 2 3 5" xfId="7040" xr:uid="{00000000-0005-0000-0000-0000DF690000}"/>
    <cellStyle name="Normal 15 2 2 3 5 2" xfId="14370" xr:uid="{00000000-0005-0000-0000-0000E0690000}"/>
    <cellStyle name="Normal 15 2 2 3 5 2 2" xfId="27919" xr:uid="{00000000-0005-0000-0000-0000E1690000}"/>
    <cellStyle name="Normal 15 2 2 3 5 3" xfId="31360" xr:uid="{00000000-0005-0000-0000-0000E2690000}"/>
    <cellStyle name="Normal 15 2 2 3 6" xfId="7041" xr:uid="{00000000-0005-0000-0000-0000E3690000}"/>
    <cellStyle name="Normal 15 2 2 3 6 2" xfId="16256" xr:uid="{00000000-0005-0000-0000-0000E4690000}"/>
    <cellStyle name="Normal 15 2 2 3 6 2 2" xfId="29663" xr:uid="{00000000-0005-0000-0000-0000E5690000}"/>
    <cellStyle name="Normal 15 2 2 3 6 3" xfId="31361" xr:uid="{00000000-0005-0000-0000-0000E6690000}"/>
    <cellStyle name="Normal 15 2 2 3 7" xfId="10142" xr:uid="{00000000-0005-0000-0000-0000E7690000}"/>
    <cellStyle name="Normal 15 2 2 3 7 2" xfId="24368" xr:uid="{00000000-0005-0000-0000-0000E8690000}"/>
    <cellStyle name="Normal 15 2 2 3 8" xfId="31355" xr:uid="{00000000-0005-0000-0000-0000E9690000}"/>
    <cellStyle name="Normal 15 2 2 4" xfId="7042" xr:uid="{00000000-0005-0000-0000-0000EA690000}"/>
    <cellStyle name="Normal 15 2 2 4 2" xfId="7043" xr:uid="{00000000-0005-0000-0000-0000EB690000}"/>
    <cellStyle name="Normal 15 2 2 4 2 2" xfId="17184" xr:uid="{00000000-0005-0000-0000-0000EC690000}"/>
    <cellStyle name="Normal 15 2 2 4 2 2 2" xfId="30543" xr:uid="{00000000-0005-0000-0000-0000ED690000}"/>
    <cellStyle name="Normal 15 2 2 4 2 3" xfId="31363" xr:uid="{00000000-0005-0000-0000-0000EE690000}"/>
    <cellStyle name="Normal 15 2 2 4 3" xfId="11516" xr:uid="{00000000-0005-0000-0000-0000EF690000}"/>
    <cellStyle name="Normal 15 2 2 4 3 2" xfId="25348" xr:uid="{00000000-0005-0000-0000-0000F0690000}"/>
    <cellStyle name="Normal 15 2 2 4 4" xfId="31362" xr:uid="{00000000-0005-0000-0000-0000F1690000}"/>
    <cellStyle name="Normal 15 2 2 5" xfId="7044" xr:uid="{00000000-0005-0000-0000-0000F2690000}"/>
    <cellStyle name="Normal 15 2 2 5 2" xfId="7045" xr:uid="{00000000-0005-0000-0000-0000F3690000}"/>
    <cellStyle name="Normal 15 2 2 5 2 2" xfId="17273" xr:uid="{00000000-0005-0000-0000-0000F4690000}"/>
    <cellStyle name="Normal 15 2 2 5 2 2 2" xfId="30632" xr:uid="{00000000-0005-0000-0000-0000F5690000}"/>
    <cellStyle name="Normal 15 2 2 5 2 3" xfId="31365" xr:uid="{00000000-0005-0000-0000-0000F6690000}"/>
    <cellStyle name="Normal 15 2 2 5 3" xfId="11923" xr:uid="{00000000-0005-0000-0000-0000F7690000}"/>
    <cellStyle name="Normal 15 2 2 5 3 2" xfId="25638" xr:uid="{00000000-0005-0000-0000-0000F8690000}"/>
    <cellStyle name="Normal 15 2 2 5 4" xfId="31364" xr:uid="{00000000-0005-0000-0000-0000F9690000}"/>
    <cellStyle name="Normal 15 2 2 6" xfId="7046" xr:uid="{00000000-0005-0000-0000-0000FA690000}"/>
    <cellStyle name="Normal 15 2 2 6 2" xfId="7047" xr:uid="{00000000-0005-0000-0000-0000FB690000}"/>
    <cellStyle name="Normal 15 2 2 6 2 2" xfId="16548" xr:uid="{00000000-0005-0000-0000-0000FC690000}"/>
    <cellStyle name="Normal 15 2 2 6 2 2 2" xfId="29955" xr:uid="{00000000-0005-0000-0000-0000FD690000}"/>
    <cellStyle name="Normal 15 2 2 6 2 3" xfId="31367" xr:uid="{00000000-0005-0000-0000-0000FE690000}"/>
    <cellStyle name="Normal 15 2 2 6 3" xfId="13500" xr:uid="{00000000-0005-0000-0000-0000FF690000}"/>
    <cellStyle name="Normal 15 2 2 6 3 2" xfId="27049" xr:uid="{00000000-0005-0000-0000-0000006A0000}"/>
    <cellStyle name="Normal 15 2 2 6 4" xfId="31366" xr:uid="{00000000-0005-0000-0000-0000016A0000}"/>
    <cellStyle name="Normal 15 2 2 7" xfId="7048" xr:uid="{00000000-0005-0000-0000-0000026A0000}"/>
    <cellStyle name="Normal 15 2 2 7 2" xfId="14081" xr:uid="{00000000-0005-0000-0000-0000036A0000}"/>
    <cellStyle name="Normal 15 2 2 7 2 2" xfId="27630" xr:uid="{00000000-0005-0000-0000-0000046A0000}"/>
    <cellStyle name="Normal 15 2 2 7 3" xfId="31368" xr:uid="{00000000-0005-0000-0000-0000056A0000}"/>
    <cellStyle name="Normal 15 2 2 8" xfId="7049" xr:uid="{00000000-0005-0000-0000-0000066A0000}"/>
    <cellStyle name="Normal 15 2 2 8 2" xfId="15967" xr:uid="{00000000-0005-0000-0000-0000076A0000}"/>
    <cellStyle name="Normal 15 2 2 8 2 2" xfId="29374" xr:uid="{00000000-0005-0000-0000-0000086A0000}"/>
    <cellStyle name="Normal 15 2 2 8 3" xfId="31369" xr:uid="{00000000-0005-0000-0000-0000096A0000}"/>
    <cellStyle name="Normal 15 2 2 9" xfId="10139" xr:uid="{00000000-0005-0000-0000-00000A6A0000}"/>
    <cellStyle name="Normal 15 2 2 9 2" xfId="24365" xr:uid="{00000000-0005-0000-0000-00000B6A0000}"/>
    <cellStyle name="Normal 15 2 3" xfId="7050" xr:uid="{00000000-0005-0000-0000-00000C6A0000}"/>
    <cellStyle name="Normal 15 2 3 2" xfId="7051" xr:uid="{00000000-0005-0000-0000-00000D6A0000}"/>
    <cellStyle name="Normal 15 2 3 2 2" xfId="7052" xr:uid="{00000000-0005-0000-0000-00000E6A0000}"/>
    <cellStyle name="Normal 15 2 3 2 2 2" xfId="7053" xr:uid="{00000000-0005-0000-0000-00000F6A0000}"/>
    <cellStyle name="Normal 15 2 3 2 2 2 2" xfId="16934" xr:uid="{00000000-0005-0000-0000-0000106A0000}"/>
    <cellStyle name="Normal 15 2 3 2 2 2 2 2" xfId="30341" xr:uid="{00000000-0005-0000-0000-0000116A0000}"/>
    <cellStyle name="Normal 15 2 3 2 2 2 3" xfId="31373" xr:uid="{00000000-0005-0000-0000-0000126A0000}"/>
    <cellStyle name="Normal 15 2 3 2 2 3" xfId="11521" xr:uid="{00000000-0005-0000-0000-0000136A0000}"/>
    <cellStyle name="Normal 15 2 3 2 2 3 2" xfId="25353" xr:uid="{00000000-0005-0000-0000-0000146A0000}"/>
    <cellStyle name="Normal 15 2 3 2 2 4" xfId="31372" xr:uid="{00000000-0005-0000-0000-0000156A0000}"/>
    <cellStyle name="Normal 15 2 3 2 3" xfId="7054" xr:uid="{00000000-0005-0000-0000-0000166A0000}"/>
    <cellStyle name="Normal 15 2 3 2 3 2" xfId="12322" xr:uid="{00000000-0005-0000-0000-0000176A0000}"/>
    <cellStyle name="Normal 15 2 3 2 3 2 2" xfId="26034" xr:uid="{00000000-0005-0000-0000-0000186A0000}"/>
    <cellStyle name="Normal 15 2 3 2 3 3" xfId="31374" xr:uid="{00000000-0005-0000-0000-0000196A0000}"/>
    <cellStyle name="Normal 15 2 3 2 4" xfId="7055" xr:uid="{00000000-0005-0000-0000-00001A6A0000}"/>
    <cellStyle name="Normal 15 2 3 2 4 2" xfId="13886" xr:uid="{00000000-0005-0000-0000-00001B6A0000}"/>
    <cellStyle name="Normal 15 2 3 2 4 2 2" xfId="27435" xr:uid="{00000000-0005-0000-0000-00001C6A0000}"/>
    <cellStyle name="Normal 15 2 3 2 4 3" xfId="31375" xr:uid="{00000000-0005-0000-0000-00001D6A0000}"/>
    <cellStyle name="Normal 15 2 3 2 5" xfId="7056" xr:uid="{00000000-0005-0000-0000-00001E6A0000}"/>
    <cellStyle name="Normal 15 2 3 2 5 2" xfId="14467" xr:uid="{00000000-0005-0000-0000-00001F6A0000}"/>
    <cellStyle name="Normal 15 2 3 2 5 2 2" xfId="28016" xr:uid="{00000000-0005-0000-0000-0000206A0000}"/>
    <cellStyle name="Normal 15 2 3 2 5 3" xfId="31376" xr:uid="{00000000-0005-0000-0000-0000216A0000}"/>
    <cellStyle name="Normal 15 2 3 2 6" xfId="7057" xr:uid="{00000000-0005-0000-0000-0000226A0000}"/>
    <cellStyle name="Normal 15 2 3 2 6 2" xfId="16353" xr:uid="{00000000-0005-0000-0000-0000236A0000}"/>
    <cellStyle name="Normal 15 2 3 2 6 2 2" xfId="29760" xr:uid="{00000000-0005-0000-0000-0000246A0000}"/>
    <cellStyle name="Normal 15 2 3 2 6 3" xfId="31377" xr:uid="{00000000-0005-0000-0000-0000256A0000}"/>
    <cellStyle name="Normal 15 2 3 2 7" xfId="10144" xr:uid="{00000000-0005-0000-0000-0000266A0000}"/>
    <cellStyle name="Normal 15 2 3 2 7 2" xfId="24370" xr:uid="{00000000-0005-0000-0000-0000276A0000}"/>
    <cellStyle name="Normal 15 2 3 2 8" xfId="31371" xr:uid="{00000000-0005-0000-0000-0000286A0000}"/>
    <cellStyle name="Normal 15 2 3 3" xfId="7058" xr:uid="{00000000-0005-0000-0000-0000296A0000}"/>
    <cellStyle name="Normal 15 2 3 3 2" xfId="7059" xr:uid="{00000000-0005-0000-0000-00002A6A0000}"/>
    <cellStyle name="Normal 15 2 3 3 2 2" xfId="16645" xr:uid="{00000000-0005-0000-0000-00002B6A0000}"/>
    <cellStyle name="Normal 15 2 3 3 2 2 2" xfId="30052" xr:uid="{00000000-0005-0000-0000-00002C6A0000}"/>
    <cellStyle name="Normal 15 2 3 3 2 3" xfId="31379" xr:uid="{00000000-0005-0000-0000-00002D6A0000}"/>
    <cellStyle name="Normal 15 2 3 3 3" xfId="11520" xr:uid="{00000000-0005-0000-0000-00002E6A0000}"/>
    <cellStyle name="Normal 15 2 3 3 3 2" xfId="25352" xr:uid="{00000000-0005-0000-0000-00002F6A0000}"/>
    <cellStyle name="Normal 15 2 3 3 4" xfId="31378" xr:uid="{00000000-0005-0000-0000-0000306A0000}"/>
    <cellStyle name="Normal 15 2 3 4" xfId="7060" xr:uid="{00000000-0005-0000-0000-0000316A0000}"/>
    <cellStyle name="Normal 15 2 3 4 2" xfId="12022" xr:uid="{00000000-0005-0000-0000-0000326A0000}"/>
    <cellStyle name="Normal 15 2 3 4 2 2" xfId="25737" xr:uid="{00000000-0005-0000-0000-0000336A0000}"/>
    <cellStyle name="Normal 15 2 3 4 3" xfId="31380" xr:uid="{00000000-0005-0000-0000-0000346A0000}"/>
    <cellStyle name="Normal 15 2 3 5" xfId="7061" xr:uid="{00000000-0005-0000-0000-0000356A0000}"/>
    <cellStyle name="Normal 15 2 3 5 2" xfId="13597" xr:uid="{00000000-0005-0000-0000-0000366A0000}"/>
    <cellStyle name="Normal 15 2 3 5 2 2" xfId="27146" xr:uid="{00000000-0005-0000-0000-0000376A0000}"/>
    <cellStyle name="Normal 15 2 3 5 3" xfId="31381" xr:uid="{00000000-0005-0000-0000-0000386A0000}"/>
    <cellStyle name="Normal 15 2 3 6" xfId="7062" xr:uid="{00000000-0005-0000-0000-0000396A0000}"/>
    <cellStyle name="Normal 15 2 3 6 2" xfId="14178" xr:uid="{00000000-0005-0000-0000-00003A6A0000}"/>
    <cellStyle name="Normal 15 2 3 6 2 2" xfId="27727" xr:uid="{00000000-0005-0000-0000-00003B6A0000}"/>
    <cellStyle name="Normal 15 2 3 6 3" xfId="31382" xr:uid="{00000000-0005-0000-0000-00003C6A0000}"/>
    <cellStyle name="Normal 15 2 3 7" xfId="7063" xr:uid="{00000000-0005-0000-0000-00003D6A0000}"/>
    <cellStyle name="Normal 15 2 3 7 2" xfId="16064" xr:uid="{00000000-0005-0000-0000-00003E6A0000}"/>
    <cellStyle name="Normal 15 2 3 7 2 2" xfId="29471" xr:uid="{00000000-0005-0000-0000-00003F6A0000}"/>
    <cellStyle name="Normal 15 2 3 7 3" xfId="31383" xr:uid="{00000000-0005-0000-0000-0000406A0000}"/>
    <cellStyle name="Normal 15 2 3 8" xfId="10143" xr:uid="{00000000-0005-0000-0000-0000416A0000}"/>
    <cellStyle name="Normal 15 2 3 8 2" xfId="24369" xr:uid="{00000000-0005-0000-0000-0000426A0000}"/>
    <cellStyle name="Normal 15 2 3 9" xfId="31370" xr:uid="{00000000-0005-0000-0000-0000436A0000}"/>
    <cellStyle name="Normal 15 2 4" xfId="7064" xr:uid="{00000000-0005-0000-0000-0000446A0000}"/>
    <cellStyle name="Normal 15 2 4 2" xfId="7065" xr:uid="{00000000-0005-0000-0000-0000456A0000}"/>
    <cellStyle name="Normal 15 2 4 2 2" xfId="7066" xr:uid="{00000000-0005-0000-0000-0000466A0000}"/>
    <cellStyle name="Normal 15 2 4 2 2 2" xfId="16791" xr:uid="{00000000-0005-0000-0000-0000476A0000}"/>
    <cellStyle name="Normal 15 2 4 2 2 2 2" xfId="30198" xr:uid="{00000000-0005-0000-0000-0000486A0000}"/>
    <cellStyle name="Normal 15 2 4 2 2 3" xfId="31386" xr:uid="{00000000-0005-0000-0000-0000496A0000}"/>
    <cellStyle name="Normal 15 2 4 2 3" xfId="11522" xr:uid="{00000000-0005-0000-0000-00004A6A0000}"/>
    <cellStyle name="Normal 15 2 4 2 3 2" xfId="25354" xr:uid="{00000000-0005-0000-0000-00004B6A0000}"/>
    <cellStyle name="Normal 15 2 4 2 4" xfId="31385" xr:uid="{00000000-0005-0000-0000-00004C6A0000}"/>
    <cellStyle name="Normal 15 2 4 3" xfId="7067" xr:uid="{00000000-0005-0000-0000-00004D6A0000}"/>
    <cellStyle name="Normal 15 2 4 3 2" xfId="12179" xr:uid="{00000000-0005-0000-0000-00004E6A0000}"/>
    <cellStyle name="Normal 15 2 4 3 2 2" xfId="25891" xr:uid="{00000000-0005-0000-0000-00004F6A0000}"/>
    <cellStyle name="Normal 15 2 4 3 3" xfId="31387" xr:uid="{00000000-0005-0000-0000-0000506A0000}"/>
    <cellStyle name="Normal 15 2 4 4" xfId="7068" xr:uid="{00000000-0005-0000-0000-0000516A0000}"/>
    <cellStyle name="Normal 15 2 4 4 2" xfId="13743" xr:uid="{00000000-0005-0000-0000-0000526A0000}"/>
    <cellStyle name="Normal 15 2 4 4 2 2" xfId="27292" xr:uid="{00000000-0005-0000-0000-0000536A0000}"/>
    <cellStyle name="Normal 15 2 4 4 3" xfId="31388" xr:uid="{00000000-0005-0000-0000-0000546A0000}"/>
    <cellStyle name="Normal 15 2 4 5" xfId="7069" xr:uid="{00000000-0005-0000-0000-0000556A0000}"/>
    <cellStyle name="Normal 15 2 4 5 2" xfId="14324" xr:uid="{00000000-0005-0000-0000-0000566A0000}"/>
    <cellStyle name="Normal 15 2 4 5 2 2" xfId="27873" xr:uid="{00000000-0005-0000-0000-0000576A0000}"/>
    <cellStyle name="Normal 15 2 4 5 3" xfId="31389" xr:uid="{00000000-0005-0000-0000-0000586A0000}"/>
    <cellStyle name="Normal 15 2 4 6" xfId="7070" xr:uid="{00000000-0005-0000-0000-0000596A0000}"/>
    <cellStyle name="Normal 15 2 4 6 2" xfId="16210" xr:uid="{00000000-0005-0000-0000-00005A6A0000}"/>
    <cellStyle name="Normal 15 2 4 6 2 2" xfId="29617" xr:uid="{00000000-0005-0000-0000-00005B6A0000}"/>
    <cellStyle name="Normal 15 2 4 6 3" xfId="31390" xr:uid="{00000000-0005-0000-0000-00005C6A0000}"/>
    <cellStyle name="Normal 15 2 4 7" xfId="10145" xr:uid="{00000000-0005-0000-0000-00005D6A0000}"/>
    <cellStyle name="Normal 15 2 4 7 2" xfId="24371" xr:uid="{00000000-0005-0000-0000-00005E6A0000}"/>
    <cellStyle name="Normal 15 2 4 8" xfId="31384" xr:uid="{00000000-0005-0000-0000-00005F6A0000}"/>
    <cellStyle name="Normal 15 2 5" xfId="7071" xr:uid="{00000000-0005-0000-0000-0000606A0000}"/>
    <cellStyle name="Normal 15 2 5 2" xfId="7072" xr:uid="{00000000-0005-0000-0000-0000616A0000}"/>
    <cellStyle name="Normal 15 2 5 2 2" xfId="17039" xr:uid="{00000000-0005-0000-0000-0000626A0000}"/>
    <cellStyle name="Normal 15 2 5 3" xfId="11515" xr:uid="{00000000-0005-0000-0000-0000636A0000}"/>
    <cellStyle name="Normal 15 2 5 3 2" xfId="25347" xr:uid="{00000000-0005-0000-0000-0000646A0000}"/>
    <cellStyle name="Normal 15 2 6" xfId="7073" xr:uid="{00000000-0005-0000-0000-0000656A0000}"/>
    <cellStyle name="Normal 15 2 6 2" xfId="7074" xr:uid="{00000000-0005-0000-0000-0000666A0000}"/>
    <cellStyle name="Normal 15 2 6 2 2" xfId="17138" xr:uid="{00000000-0005-0000-0000-0000676A0000}"/>
    <cellStyle name="Normal 15 2 6 2 2 2" xfId="30497" xr:uid="{00000000-0005-0000-0000-0000686A0000}"/>
    <cellStyle name="Normal 15 2 6 2 3" xfId="31392" xr:uid="{00000000-0005-0000-0000-0000696A0000}"/>
    <cellStyle name="Normal 15 2 6 3" xfId="11867" xr:uid="{00000000-0005-0000-0000-00006A6A0000}"/>
    <cellStyle name="Normal 15 2 6 3 2" xfId="25582" xr:uid="{00000000-0005-0000-0000-00006B6A0000}"/>
    <cellStyle name="Normal 15 2 6 4" xfId="31391" xr:uid="{00000000-0005-0000-0000-00006C6A0000}"/>
    <cellStyle name="Normal 15 2 7" xfId="7075" xr:uid="{00000000-0005-0000-0000-00006D6A0000}"/>
    <cellStyle name="Normal 15 2 7 2" xfId="7076" xr:uid="{00000000-0005-0000-0000-00006E6A0000}"/>
    <cellStyle name="Normal 15 2 7 2 2" xfId="17227" xr:uid="{00000000-0005-0000-0000-00006F6A0000}"/>
    <cellStyle name="Normal 15 2 7 2 2 2" xfId="30586" xr:uid="{00000000-0005-0000-0000-0000706A0000}"/>
    <cellStyle name="Normal 15 2 7 2 3" xfId="31394" xr:uid="{00000000-0005-0000-0000-0000716A0000}"/>
    <cellStyle name="Normal 15 2 7 3" xfId="13454" xr:uid="{00000000-0005-0000-0000-0000726A0000}"/>
    <cellStyle name="Normal 15 2 7 3 2" xfId="27003" xr:uid="{00000000-0005-0000-0000-0000736A0000}"/>
    <cellStyle name="Normal 15 2 7 4" xfId="31393" xr:uid="{00000000-0005-0000-0000-0000746A0000}"/>
    <cellStyle name="Normal 15 2 8" xfId="7077" xr:uid="{00000000-0005-0000-0000-0000756A0000}"/>
    <cellStyle name="Normal 15 2 8 2" xfId="7078" xr:uid="{00000000-0005-0000-0000-0000766A0000}"/>
    <cellStyle name="Normal 15 2 8 2 2" xfId="16502" xr:uid="{00000000-0005-0000-0000-0000776A0000}"/>
    <cellStyle name="Normal 15 2 8 2 2 2" xfId="29909" xr:uid="{00000000-0005-0000-0000-0000786A0000}"/>
    <cellStyle name="Normal 15 2 8 2 3" xfId="31396" xr:uid="{00000000-0005-0000-0000-0000796A0000}"/>
    <cellStyle name="Normal 15 2 8 3" xfId="14035" xr:uid="{00000000-0005-0000-0000-00007A6A0000}"/>
    <cellStyle name="Normal 15 2 8 3 2" xfId="27584" xr:uid="{00000000-0005-0000-0000-00007B6A0000}"/>
    <cellStyle name="Normal 15 2 8 4" xfId="31395" xr:uid="{00000000-0005-0000-0000-00007C6A0000}"/>
    <cellStyle name="Normal 15 2 9" xfId="7079" xr:uid="{00000000-0005-0000-0000-00007D6A0000}"/>
    <cellStyle name="Normal 15 2 9 2" xfId="15921" xr:uid="{00000000-0005-0000-0000-00007E6A0000}"/>
    <cellStyle name="Normal 15 2 9 2 2" xfId="29328" xr:uid="{00000000-0005-0000-0000-00007F6A0000}"/>
    <cellStyle name="Normal 15 2 9 3" xfId="31397" xr:uid="{00000000-0005-0000-0000-0000806A0000}"/>
    <cellStyle name="Normal 15 3" xfId="7080" xr:uid="{00000000-0005-0000-0000-0000816A0000}"/>
    <cellStyle name="Normal 15 3 2" xfId="7081" xr:uid="{00000000-0005-0000-0000-0000826A0000}"/>
    <cellStyle name="Normal 15 3 2 2" xfId="10147" xr:uid="{00000000-0005-0000-0000-0000836A0000}"/>
    <cellStyle name="Normal 15 3 3" xfId="10146" xr:uid="{00000000-0005-0000-0000-0000846A0000}"/>
    <cellStyle name="Normal 15 4" xfId="7082" xr:uid="{00000000-0005-0000-0000-0000856A0000}"/>
    <cellStyle name="Normal 15 4 10" xfId="31398" xr:uid="{00000000-0005-0000-0000-0000866A0000}"/>
    <cellStyle name="Normal 15 4 2" xfId="7083" xr:uid="{00000000-0005-0000-0000-0000876A0000}"/>
    <cellStyle name="Normal 15 4 2 2" xfId="7084" xr:uid="{00000000-0005-0000-0000-0000886A0000}"/>
    <cellStyle name="Normal 15 4 2 2 2" xfId="7085" xr:uid="{00000000-0005-0000-0000-0000896A0000}"/>
    <cellStyle name="Normal 15 4 2 2 2 2" xfId="7086" xr:uid="{00000000-0005-0000-0000-00008A6A0000}"/>
    <cellStyle name="Normal 15 4 2 2 2 2 2" xfId="16957" xr:uid="{00000000-0005-0000-0000-00008B6A0000}"/>
    <cellStyle name="Normal 15 4 2 2 2 2 2 2" xfId="30364" xr:uid="{00000000-0005-0000-0000-00008C6A0000}"/>
    <cellStyle name="Normal 15 4 2 2 2 2 3" xfId="31402" xr:uid="{00000000-0005-0000-0000-00008D6A0000}"/>
    <cellStyle name="Normal 15 4 2 2 2 3" xfId="11525" xr:uid="{00000000-0005-0000-0000-00008E6A0000}"/>
    <cellStyle name="Normal 15 4 2 2 2 3 2" xfId="25357" xr:uid="{00000000-0005-0000-0000-00008F6A0000}"/>
    <cellStyle name="Normal 15 4 2 2 2 4" xfId="31401" xr:uid="{00000000-0005-0000-0000-0000906A0000}"/>
    <cellStyle name="Normal 15 4 2 2 3" xfId="7087" xr:uid="{00000000-0005-0000-0000-0000916A0000}"/>
    <cellStyle name="Normal 15 4 2 2 3 2" xfId="12345" xr:uid="{00000000-0005-0000-0000-0000926A0000}"/>
    <cellStyle name="Normal 15 4 2 2 3 2 2" xfId="26057" xr:uid="{00000000-0005-0000-0000-0000936A0000}"/>
    <cellStyle name="Normal 15 4 2 2 3 3" xfId="31403" xr:uid="{00000000-0005-0000-0000-0000946A0000}"/>
    <cellStyle name="Normal 15 4 2 2 4" xfId="7088" xr:uid="{00000000-0005-0000-0000-0000956A0000}"/>
    <cellStyle name="Normal 15 4 2 2 4 2" xfId="13909" xr:uid="{00000000-0005-0000-0000-0000966A0000}"/>
    <cellStyle name="Normal 15 4 2 2 4 2 2" xfId="27458" xr:uid="{00000000-0005-0000-0000-0000976A0000}"/>
    <cellStyle name="Normal 15 4 2 2 4 3" xfId="31404" xr:uid="{00000000-0005-0000-0000-0000986A0000}"/>
    <cellStyle name="Normal 15 4 2 2 5" xfId="7089" xr:uid="{00000000-0005-0000-0000-0000996A0000}"/>
    <cellStyle name="Normal 15 4 2 2 5 2" xfId="14490" xr:uid="{00000000-0005-0000-0000-00009A6A0000}"/>
    <cellStyle name="Normal 15 4 2 2 5 2 2" xfId="28039" xr:uid="{00000000-0005-0000-0000-00009B6A0000}"/>
    <cellStyle name="Normal 15 4 2 2 5 3" xfId="31405" xr:uid="{00000000-0005-0000-0000-00009C6A0000}"/>
    <cellStyle name="Normal 15 4 2 2 6" xfId="7090" xr:uid="{00000000-0005-0000-0000-00009D6A0000}"/>
    <cellStyle name="Normal 15 4 2 2 6 2" xfId="16376" xr:uid="{00000000-0005-0000-0000-00009E6A0000}"/>
    <cellStyle name="Normal 15 4 2 2 6 2 2" xfId="29783" xr:uid="{00000000-0005-0000-0000-00009F6A0000}"/>
    <cellStyle name="Normal 15 4 2 2 6 3" xfId="31406" xr:uid="{00000000-0005-0000-0000-0000A06A0000}"/>
    <cellStyle name="Normal 15 4 2 2 7" xfId="10150" xr:uid="{00000000-0005-0000-0000-0000A16A0000}"/>
    <cellStyle name="Normal 15 4 2 2 7 2" xfId="24374" xr:uid="{00000000-0005-0000-0000-0000A26A0000}"/>
    <cellStyle name="Normal 15 4 2 2 8" xfId="31400" xr:uid="{00000000-0005-0000-0000-0000A36A0000}"/>
    <cellStyle name="Normal 15 4 2 3" xfId="7091" xr:uid="{00000000-0005-0000-0000-0000A46A0000}"/>
    <cellStyle name="Normal 15 4 2 3 2" xfId="7092" xr:uid="{00000000-0005-0000-0000-0000A56A0000}"/>
    <cellStyle name="Normal 15 4 2 3 2 2" xfId="16668" xr:uid="{00000000-0005-0000-0000-0000A66A0000}"/>
    <cellStyle name="Normal 15 4 2 3 2 2 2" xfId="30075" xr:uid="{00000000-0005-0000-0000-0000A76A0000}"/>
    <cellStyle name="Normal 15 4 2 3 2 3" xfId="31408" xr:uid="{00000000-0005-0000-0000-0000A86A0000}"/>
    <cellStyle name="Normal 15 4 2 3 3" xfId="11524" xr:uid="{00000000-0005-0000-0000-0000A96A0000}"/>
    <cellStyle name="Normal 15 4 2 3 3 2" xfId="25356" xr:uid="{00000000-0005-0000-0000-0000AA6A0000}"/>
    <cellStyle name="Normal 15 4 2 3 4" xfId="31407" xr:uid="{00000000-0005-0000-0000-0000AB6A0000}"/>
    <cellStyle name="Normal 15 4 2 4" xfId="7093" xr:uid="{00000000-0005-0000-0000-0000AC6A0000}"/>
    <cellStyle name="Normal 15 4 2 4 2" xfId="12045" xr:uid="{00000000-0005-0000-0000-0000AD6A0000}"/>
    <cellStyle name="Normal 15 4 2 4 2 2" xfId="25760" xr:uid="{00000000-0005-0000-0000-0000AE6A0000}"/>
    <cellStyle name="Normal 15 4 2 4 3" xfId="31409" xr:uid="{00000000-0005-0000-0000-0000AF6A0000}"/>
    <cellStyle name="Normal 15 4 2 5" xfId="7094" xr:uid="{00000000-0005-0000-0000-0000B06A0000}"/>
    <cellStyle name="Normal 15 4 2 5 2" xfId="13620" xr:uid="{00000000-0005-0000-0000-0000B16A0000}"/>
    <cellStyle name="Normal 15 4 2 5 2 2" xfId="27169" xr:uid="{00000000-0005-0000-0000-0000B26A0000}"/>
    <cellStyle name="Normal 15 4 2 5 3" xfId="31410" xr:uid="{00000000-0005-0000-0000-0000B36A0000}"/>
    <cellStyle name="Normal 15 4 2 6" xfId="7095" xr:uid="{00000000-0005-0000-0000-0000B46A0000}"/>
    <cellStyle name="Normal 15 4 2 6 2" xfId="14201" xr:uid="{00000000-0005-0000-0000-0000B56A0000}"/>
    <cellStyle name="Normal 15 4 2 6 2 2" xfId="27750" xr:uid="{00000000-0005-0000-0000-0000B66A0000}"/>
    <cellStyle name="Normal 15 4 2 6 3" xfId="31411" xr:uid="{00000000-0005-0000-0000-0000B76A0000}"/>
    <cellStyle name="Normal 15 4 2 7" xfId="7096" xr:uid="{00000000-0005-0000-0000-0000B86A0000}"/>
    <cellStyle name="Normal 15 4 2 7 2" xfId="16087" xr:uid="{00000000-0005-0000-0000-0000B96A0000}"/>
    <cellStyle name="Normal 15 4 2 7 2 2" xfId="29494" xr:uid="{00000000-0005-0000-0000-0000BA6A0000}"/>
    <cellStyle name="Normal 15 4 2 7 3" xfId="31412" xr:uid="{00000000-0005-0000-0000-0000BB6A0000}"/>
    <cellStyle name="Normal 15 4 2 8" xfId="10149" xr:uid="{00000000-0005-0000-0000-0000BC6A0000}"/>
    <cellStyle name="Normal 15 4 2 8 2" xfId="24373" xr:uid="{00000000-0005-0000-0000-0000BD6A0000}"/>
    <cellStyle name="Normal 15 4 2 9" xfId="31399" xr:uid="{00000000-0005-0000-0000-0000BE6A0000}"/>
    <cellStyle name="Normal 15 4 3" xfId="7097" xr:uid="{00000000-0005-0000-0000-0000BF6A0000}"/>
    <cellStyle name="Normal 15 4 3 2" xfId="7098" xr:uid="{00000000-0005-0000-0000-0000C06A0000}"/>
    <cellStyle name="Normal 15 4 3 2 2" xfId="7099" xr:uid="{00000000-0005-0000-0000-0000C16A0000}"/>
    <cellStyle name="Normal 15 4 3 2 2 2" xfId="16814" xr:uid="{00000000-0005-0000-0000-0000C26A0000}"/>
    <cellStyle name="Normal 15 4 3 2 2 2 2" xfId="30221" xr:uid="{00000000-0005-0000-0000-0000C36A0000}"/>
    <cellStyle name="Normal 15 4 3 2 2 3" xfId="31415" xr:uid="{00000000-0005-0000-0000-0000C46A0000}"/>
    <cellStyle name="Normal 15 4 3 2 3" xfId="11526" xr:uid="{00000000-0005-0000-0000-0000C56A0000}"/>
    <cellStyle name="Normal 15 4 3 2 3 2" xfId="25358" xr:uid="{00000000-0005-0000-0000-0000C66A0000}"/>
    <cellStyle name="Normal 15 4 3 2 4" xfId="31414" xr:uid="{00000000-0005-0000-0000-0000C76A0000}"/>
    <cellStyle name="Normal 15 4 3 3" xfId="7100" xr:uid="{00000000-0005-0000-0000-0000C86A0000}"/>
    <cellStyle name="Normal 15 4 3 3 2" xfId="12202" xr:uid="{00000000-0005-0000-0000-0000C96A0000}"/>
    <cellStyle name="Normal 15 4 3 3 2 2" xfId="25914" xr:uid="{00000000-0005-0000-0000-0000CA6A0000}"/>
    <cellStyle name="Normal 15 4 3 3 3" xfId="31416" xr:uid="{00000000-0005-0000-0000-0000CB6A0000}"/>
    <cellStyle name="Normal 15 4 3 4" xfId="7101" xr:uid="{00000000-0005-0000-0000-0000CC6A0000}"/>
    <cellStyle name="Normal 15 4 3 4 2" xfId="13766" xr:uid="{00000000-0005-0000-0000-0000CD6A0000}"/>
    <cellStyle name="Normal 15 4 3 4 2 2" xfId="27315" xr:uid="{00000000-0005-0000-0000-0000CE6A0000}"/>
    <cellStyle name="Normal 15 4 3 4 3" xfId="31417" xr:uid="{00000000-0005-0000-0000-0000CF6A0000}"/>
    <cellStyle name="Normal 15 4 3 5" xfId="7102" xr:uid="{00000000-0005-0000-0000-0000D06A0000}"/>
    <cellStyle name="Normal 15 4 3 5 2" xfId="14347" xr:uid="{00000000-0005-0000-0000-0000D16A0000}"/>
    <cellStyle name="Normal 15 4 3 5 2 2" xfId="27896" xr:uid="{00000000-0005-0000-0000-0000D26A0000}"/>
    <cellStyle name="Normal 15 4 3 5 3" xfId="31418" xr:uid="{00000000-0005-0000-0000-0000D36A0000}"/>
    <cellStyle name="Normal 15 4 3 6" xfId="7103" xr:uid="{00000000-0005-0000-0000-0000D46A0000}"/>
    <cellStyle name="Normal 15 4 3 6 2" xfId="16233" xr:uid="{00000000-0005-0000-0000-0000D56A0000}"/>
    <cellStyle name="Normal 15 4 3 6 2 2" xfId="29640" xr:uid="{00000000-0005-0000-0000-0000D66A0000}"/>
    <cellStyle name="Normal 15 4 3 6 3" xfId="31419" xr:uid="{00000000-0005-0000-0000-0000D76A0000}"/>
    <cellStyle name="Normal 15 4 3 7" xfId="10151" xr:uid="{00000000-0005-0000-0000-0000D86A0000}"/>
    <cellStyle name="Normal 15 4 3 7 2" xfId="24375" xr:uid="{00000000-0005-0000-0000-0000D96A0000}"/>
    <cellStyle name="Normal 15 4 3 8" xfId="31413" xr:uid="{00000000-0005-0000-0000-0000DA6A0000}"/>
    <cellStyle name="Normal 15 4 4" xfId="7104" xr:uid="{00000000-0005-0000-0000-0000DB6A0000}"/>
    <cellStyle name="Normal 15 4 4 2" xfId="7105" xr:uid="{00000000-0005-0000-0000-0000DC6A0000}"/>
    <cellStyle name="Normal 15 4 4 2 2" xfId="17161" xr:uid="{00000000-0005-0000-0000-0000DD6A0000}"/>
    <cellStyle name="Normal 15 4 4 2 2 2" xfId="30520" xr:uid="{00000000-0005-0000-0000-0000DE6A0000}"/>
    <cellStyle name="Normal 15 4 4 2 3" xfId="31421" xr:uid="{00000000-0005-0000-0000-0000DF6A0000}"/>
    <cellStyle name="Normal 15 4 4 3" xfId="11523" xr:uid="{00000000-0005-0000-0000-0000E06A0000}"/>
    <cellStyle name="Normal 15 4 4 3 2" xfId="25355" xr:uid="{00000000-0005-0000-0000-0000E16A0000}"/>
    <cellStyle name="Normal 15 4 4 4" xfId="31420" xr:uid="{00000000-0005-0000-0000-0000E26A0000}"/>
    <cellStyle name="Normal 15 4 5" xfId="7106" xr:uid="{00000000-0005-0000-0000-0000E36A0000}"/>
    <cellStyle name="Normal 15 4 5 2" xfId="7107" xr:uid="{00000000-0005-0000-0000-0000E46A0000}"/>
    <cellStyle name="Normal 15 4 5 2 2" xfId="17250" xr:uid="{00000000-0005-0000-0000-0000E56A0000}"/>
    <cellStyle name="Normal 15 4 5 2 2 2" xfId="30609" xr:uid="{00000000-0005-0000-0000-0000E66A0000}"/>
    <cellStyle name="Normal 15 4 5 2 3" xfId="31423" xr:uid="{00000000-0005-0000-0000-0000E76A0000}"/>
    <cellStyle name="Normal 15 4 5 3" xfId="11900" xr:uid="{00000000-0005-0000-0000-0000E86A0000}"/>
    <cellStyle name="Normal 15 4 5 3 2" xfId="25615" xr:uid="{00000000-0005-0000-0000-0000E96A0000}"/>
    <cellStyle name="Normal 15 4 5 4" xfId="31422" xr:uid="{00000000-0005-0000-0000-0000EA6A0000}"/>
    <cellStyle name="Normal 15 4 6" xfId="7108" xr:uid="{00000000-0005-0000-0000-0000EB6A0000}"/>
    <cellStyle name="Normal 15 4 6 2" xfId="7109" xr:uid="{00000000-0005-0000-0000-0000EC6A0000}"/>
    <cellStyle name="Normal 15 4 6 2 2" xfId="16525" xr:uid="{00000000-0005-0000-0000-0000ED6A0000}"/>
    <cellStyle name="Normal 15 4 6 2 2 2" xfId="29932" xr:uid="{00000000-0005-0000-0000-0000EE6A0000}"/>
    <cellStyle name="Normal 15 4 6 2 3" xfId="31425" xr:uid="{00000000-0005-0000-0000-0000EF6A0000}"/>
    <cellStyle name="Normal 15 4 6 3" xfId="13477" xr:uid="{00000000-0005-0000-0000-0000F06A0000}"/>
    <cellStyle name="Normal 15 4 6 3 2" xfId="27026" xr:uid="{00000000-0005-0000-0000-0000F16A0000}"/>
    <cellStyle name="Normal 15 4 6 4" xfId="31424" xr:uid="{00000000-0005-0000-0000-0000F26A0000}"/>
    <cellStyle name="Normal 15 4 7" xfId="7110" xr:uid="{00000000-0005-0000-0000-0000F36A0000}"/>
    <cellStyle name="Normal 15 4 7 2" xfId="14058" xr:uid="{00000000-0005-0000-0000-0000F46A0000}"/>
    <cellStyle name="Normal 15 4 7 2 2" xfId="27607" xr:uid="{00000000-0005-0000-0000-0000F56A0000}"/>
    <cellStyle name="Normal 15 4 7 3" xfId="31426" xr:uid="{00000000-0005-0000-0000-0000F66A0000}"/>
    <cellStyle name="Normal 15 4 8" xfId="7111" xr:uid="{00000000-0005-0000-0000-0000F76A0000}"/>
    <cellStyle name="Normal 15 4 8 2" xfId="15944" xr:uid="{00000000-0005-0000-0000-0000F86A0000}"/>
    <cellStyle name="Normal 15 4 8 2 2" xfId="29351" xr:uid="{00000000-0005-0000-0000-0000F96A0000}"/>
    <cellStyle name="Normal 15 4 8 3" xfId="31427" xr:uid="{00000000-0005-0000-0000-0000FA6A0000}"/>
    <cellStyle name="Normal 15 4 9" xfId="10148" xr:uid="{00000000-0005-0000-0000-0000FB6A0000}"/>
    <cellStyle name="Normal 15 4 9 2" xfId="24372" xr:uid="{00000000-0005-0000-0000-0000FC6A0000}"/>
    <cellStyle name="Normal 15 5" xfId="7112" xr:uid="{00000000-0005-0000-0000-0000FD6A0000}"/>
    <cellStyle name="Normal 15 5 10" xfId="31428" xr:uid="{00000000-0005-0000-0000-0000FE6A0000}"/>
    <cellStyle name="Normal 15 5 2" xfId="7113" xr:uid="{00000000-0005-0000-0000-0000FF6A0000}"/>
    <cellStyle name="Normal 15 5 2 2" xfId="7114" xr:uid="{00000000-0005-0000-0000-0000006B0000}"/>
    <cellStyle name="Normal 15 5 2 2 2" xfId="7115" xr:uid="{00000000-0005-0000-0000-0000016B0000}"/>
    <cellStyle name="Normal 15 5 2 2 2 2" xfId="7116" xr:uid="{00000000-0005-0000-0000-0000026B0000}"/>
    <cellStyle name="Normal 15 5 2 2 2 2 2" xfId="17000" xr:uid="{00000000-0005-0000-0000-0000036B0000}"/>
    <cellStyle name="Normal 15 5 2 2 2 2 2 2" xfId="30407" xr:uid="{00000000-0005-0000-0000-0000046B0000}"/>
    <cellStyle name="Normal 15 5 2 2 2 2 3" xfId="31432" xr:uid="{00000000-0005-0000-0000-0000056B0000}"/>
    <cellStyle name="Normal 15 5 2 2 2 3" xfId="11529" xr:uid="{00000000-0005-0000-0000-0000066B0000}"/>
    <cellStyle name="Normal 15 5 2 2 2 3 2" xfId="25361" xr:uid="{00000000-0005-0000-0000-0000076B0000}"/>
    <cellStyle name="Normal 15 5 2 2 2 4" xfId="31431" xr:uid="{00000000-0005-0000-0000-0000086B0000}"/>
    <cellStyle name="Normal 15 5 2 2 3" xfId="7117" xr:uid="{00000000-0005-0000-0000-0000096B0000}"/>
    <cellStyle name="Normal 15 5 2 2 3 2" xfId="12388" xr:uid="{00000000-0005-0000-0000-00000A6B0000}"/>
    <cellStyle name="Normal 15 5 2 2 3 2 2" xfId="26100" xr:uid="{00000000-0005-0000-0000-00000B6B0000}"/>
    <cellStyle name="Normal 15 5 2 2 3 3" xfId="31433" xr:uid="{00000000-0005-0000-0000-00000C6B0000}"/>
    <cellStyle name="Normal 15 5 2 2 4" xfId="7118" xr:uid="{00000000-0005-0000-0000-00000D6B0000}"/>
    <cellStyle name="Normal 15 5 2 2 4 2" xfId="13952" xr:uid="{00000000-0005-0000-0000-00000E6B0000}"/>
    <cellStyle name="Normal 15 5 2 2 4 2 2" xfId="27501" xr:uid="{00000000-0005-0000-0000-00000F6B0000}"/>
    <cellStyle name="Normal 15 5 2 2 4 3" xfId="31434" xr:uid="{00000000-0005-0000-0000-0000106B0000}"/>
    <cellStyle name="Normal 15 5 2 2 5" xfId="7119" xr:uid="{00000000-0005-0000-0000-0000116B0000}"/>
    <cellStyle name="Normal 15 5 2 2 5 2" xfId="14533" xr:uid="{00000000-0005-0000-0000-0000126B0000}"/>
    <cellStyle name="Normal 15 5 2 2 5 2 2" xfId="28082" xr:uid="{00000000-0005-0000-0000-0000136B0000}"/>
    <cellStyle name="Normal 15 5 2 2 5 3" xfId="31435" xr:uid="{00000000-0005-0000-0000-0000146B0000}"/>
    <cellStyle name="Normal 15 5 2 2 6" xfId="7120" xr:uid="{00000000-0005-0000-0000-0000156B0000}"/>
    <cellStyle name="Normal 15 5 2 2 6 2" xfId="16419" xr:uid="{00000000-0005-0000-0000-0000166B0000}"/>
    <cellStyle name="Normal 15 5 2 2 6 2 2" xfId="29826" xr:uid="{00000000-0005-0000-0000-0000176B0000}"/>
    <cellStyle name="Normal 15 5 2 2 6 3" xfId="31436" xr:uid="{00000000-0005-0000-0000-0000186B0000}"/>
    <cellStyle name="Normal 15 5 2 2 7" xfId="10154" xr:uid="{00000000-0005-0000-0000-0000196B0000}"/>
    <cellStyle name="Normal 15 5 2 2 7 2" xfId="24378" xr:uid="{00000000-0005-0000-0000-00001A6B0000}"/>
    <cellStyle name="Normal 15 5 2 2 8" xfId="31430" xr:uid="{00000000-0005-0000-0000-00001B6B0000}"/>
    <cellStyle name="Normal 15 5 2 3" xfId="7121" xr:uid="{00000000-0005-0000-0000-00001C6B0000}"/>
    <cellStyle name="Normal 15 5 2 3 2" xfId="7122" xr:uid="{00000000-0005-0000-0000-00001D6B0000}"/>
    <cellStyle name="Normal 15 5 2 3 2 2" xfId="16711" xr:uid="{00000000-0005-0000-0000-00001E6B0000}"/>
    <cellStyle name="Normal 15 5 2 3 2 2 2" xfId="30118" xr:uid="{00000000-0005-0000-0000-00001F6B0000}"/>
    <cellStyle name="Normal 15 5 2 3 2 3" xfId="31438" xr:uid="{00000000-0005-0000-0000-0000206B0000}"/>
    <cellStyle name="Normal 15 5 2 3 3" xfId="11528" xr:uid="{00000000-0005-0000-0000-0000216B0000}"/>
    <cellStyle name="Normal 15 5 2 3 3 2" xfId="25360" xr:uid="{00000000-0005-0000-0000-0000226B0000}"/>
    <cellStyle name="Normal 15 5 2 3 4" xfId="31437" xr:uid="{00000000-0005-0000-0000-0000236B0000}"/>
    <cellStyle name="Normal 15 5 2 4" xfId="7123" xr:uid="{00000000-0005-0000-0000-0000246B0000}"/>
    <cellStyle name="Normal 15 5 2 4 2" xfId="12088" xr:uid="{00000000-0005-0000-0000-0000256B0000}"/>
    <cellStyle name="Normal 15 5 2 4 2 2" xfId="25803" xr:uid="{00000000-0005-0000-0000-0000266B0000}"/>
    <cellStyle name="Normal 15 5 2 4 3" xfId="31439" xr:uid="{00000000-0005-0000-0000-0000276B0000}"/>
    <cellStyle name="Normal 15 5 2 5" xfId="7124" xr:uid="{00000000-0005-0000-0000-0000286B0000}"/>
    <cellStyle name="Normal 15 5 2 5 2" xfId="13663" xr:uid="{00000000-0005-0000-0000-0000296B0000}"/>
    <cellStyle name="Normal 15 5 2 5 2 2" xfId="27212" xr:uid="{00000000-0005-0000-0000-00002A6B0000}"/>
    <cellStyle name="Normal 15 5 2 5 3" xfId="31440" xr:uid="{00000000-0005-0000-0000-00002B6B0000}"/>
    <cellStyle name="Normal 15 5 2 6" xfId="7125" xr:uid="{00000000-0005-0000-0000-00002C6B0000}"/>
    <cellStyle name="Normal 15 5 2 6 2" xfId="14244" xr:uid="{00000000-0005-0000-0000-00002D6B0000}"/>
    <cellStyle name="Normal 15 5 2 6 2 2" xfId="27793" xr:uid="{00000000-0005-0000-0000-00002E6B0000}"/>
    <cellStyle name="Normal 15 5 2 6 3" xfId="31441" xr:uid="{00000000-0005-0000-0000-00002F6B0000}"/>
    <cellStyle name="Normal 15 5 2 7" xfId="7126" xr:uid="{00000000-0005-0000-0000-0000306B0000}"/>
    <cellStyle name="Normal 15 5 2 7 2" xfId="16130" xr:uid="{00000000-0005-0000-0000-0000316B0000}"/>
    <cellStyle name="Normal 15 5 2 7 2 2" xfId="29537" xr:uid="{00000000-0005-0000-0000-0000326B0000}"/>
    <cellStyle name="Normal 15 5 2 7 3" xfId="31442" xr:uid="{00000000-0005-0000-0000-0000336B0000}"/>
    <cellStyle name="Normal 15 5 2 8" xfId="10153" xr:uid="{00000000-0005-0000-0000-0000346B0000}"/>
    <cellStyle name="Normal 15 5 2 8 2" xfId="24377" xr:uid="{00000000-0005-0000-0000-0000356B0000}"/>
    <cellStyle name="Normal 15 5 2 9" xfId="31429" xr:uid="{00000000-0005-0000-0000-0000366B0000}"/>
    <cellStyle name="Normal 15 5 3" xfId="7127" xr:uid="{00000000-0005-0000-0000-0000376B0000}"/>
    <cellStyle name="Normal 15 5 3 2" xfId="7128" xr:uid="{00000000-0005-0000-0000-0000386B0000}"/>
    <cellStyle name="Normal 15 5 3 2 2" xfId="7129" xr:uid="{00000000-0005-0000-0000-0000396B0000}"/>
    <cellStyle name="Normal 15 5 3 2 2 2" xfId="16857" xr:uid="{00000000-0005-0000-0000-00003A6B0000}"/>
    <cellStyle name="Normal 15 5 3 2 2 2 2" xfId="30264" xr:uid="{00000000-0005-0000-0000-00003B6B0000}"/>
    <cellStyle name="Normal 15 5 3 2 2 3" xfId="31445" xr:uid="{00000000-0005-0000-0000-00003C6B0000}"/>
    <cellStyle name="Normal 15 5 3 2 3" xfId="11530" xr:uid="{00000000-0005-0000-0000-00003D6B0000}"/>
    <cellStyle name="Normal 15 5 3 2 3 2" xfId="25362" xr:uid="{00000000-0005-0000-0000-00003E6B0000}"/>
    <cellStyle name="Normal 15 5 3 2 4" xfId="31444" xr:uid="{00000000-0005-0000-0000-00003F6B0000}"/>
    <cellStyle name="Normal 15 5 3 3" xfId="7130" xr:uid="{00000000-0005-0000-0000-0000406B0000}"/>
    <cellStyle name="Normal 15 5 3 3 2" xfId="12245" xr:uid="{00000000-0005-0000-0000-0000416B0000}"/>
    <cellStyle name="Normal 15 5 3 3 2 2" xfId="25957" xr:uid="{00000000-0005-0000-0000-0000426B0000}"/>
    <cellStyle name="Normal 15 5 3 3 3" xfId="31446" xr:uid="{00000000-0005-0000-0000-0000436B0000}"/>
    <cellStyle name="Normal 15 5 3 4" xfId="7131" xr:uid="{00000000-0005-0000-0000-0000446B0000}"/>
    <cellStyle name="Normal 15 5 3 4 2" xfId="13809" xr:uid="{00000000-0005-0000-0000-0000456B0000}"/>
    <cellStyle name="Normal 15 5 3 4 2 2" xfId="27358" xr:uid="{00000000-0005-0000-0000-0000466B0000}"/>
    <cellStyle name="Normal 15 5 3 4 3" xfId="31447" xr:uid="{00000000-0005-0000-0000-0000476B0000}"/>
    <cellStyle name="Normal 15 5 3 5" xfId="7132" xr:uid="{00000000-0005-0000-0000-0000486B0000}"/>
    <cellStyle name="Normal 15 5 3 5 2" xfId="14390" xr:uid="{00000000-0005-0000-0000-0000496B0000}"/>
    <cellStyle name="Normal 15 5 3 5 2 2" xfId="27939" xr:uid="{00000000-0005-0000-0000-00004A6B0000}"/>
    <cellStyle name="Normal 15 5 3 5 3" xfId="31448" xr:uid="{00000000-0005-0000-0000-00004B6B0000}"/>
    <cellStyle name="Normal 15 5 3 6" xfId="7133" xr:uid="{00000000-0005-0000-0000-00004C6B0000}"/>
    <cellStyle name="Normal 15 5 3 6 2" xfId="16276" xr:uid="{00000000-0005-0000-0000-00004D6B0000}"/>
    <cellStyle name="Normal 15 5 3 6 2 2" xfId="29683" xr:uid="{00000000-0005-0000-0000-00004E6B0000}"/>
    <cellStyle name="Normal 15 5 3 6 3" xfId="31449" xr:uid="{00000000-0005-0000-0000-00004F6B0000}"/>
    <cellStyle name="Normal 15 5 3 7" xfId="10155" xr:uid="{00000000-0005-0000-0000-0000506B0000}"/>
    <cellStyle name="Normal 15 5 3 7 2" xfId="24379" xr:uid="{00000000-0005-0000-0000-0000516B0000}"/>
    <cellStyle name="Normal 15 5 3 8" xfId="31443" xr:uid="{00000000-0005-0000-0000-0000526B0000}"/>
    <cellStyle name="Normal 15 5 4" xfId="7134" xr:uid="{00000000-0005-0000-0000-0000536B0000}"/>
    <cellStyle name="Normal 15 5 4 2" xfId="7135" xr:uid="{00000000-0005-0000-0000-0000546B0000}"/>
    <cellStyle name="Normal 15 5 4 2 2" xfId="16568" xr:uid="{00000000-0005-0000-0000-0000556B0000}"/>
    <cellStyle name="Normal 15 5 4 2 2 2" xfId="29975" xr:uid="{00000000-0005-0000-0000-0000566B0000}"/>
    <cellStyle name="Normal 15 5 4 2 3" xfId="31451" xr:uid="{00000000-0005-0000-0000-0000576B0000}"/>
    <cellStyle name="Normal 15 5 4 3" xfId="11527" xr:uid="{00000000-0005-0000-0000-0000586B0000}"/>
    <cellStyle name="Normal 15 5 4 3 2" xfId="25359" xr:uid="{00000000-0005-0000-0000-0000596B0000}"/>
    <cellStyle name="Normal 15 5 4 4" xfId="31450" xr:uid="{00000000-0005-0000-0000-00005A6B0000}"/>
    <cellStyle name="Normal 15 5 5" xfId="7136" xr:uid="{00000000-0005-0000-0000-00005B6B0000}"/>
    <cellStyle name="Normal 15 5 5 2" xfId="11943" xr:uid="{00000000-0005-0000-0000-00005C6B0000}"/>
    <cellStyle name="Normal 15 5 5 2 2" xfId="25658" xr:uid="{00000000-0005-0000-0000-00005D6B0000}"/>
    <cellStyle name="Normal 15 5 5 3" xfId="31452" xr:uid="{00000000-0005-0000-0000-00005E6B0000}"/>
    <cellStyle name="Normal 15 5 6" xfId="7137" xr:uid="{00000000-0005-0000-0000-00005F6B0000}"/>
    <cellStyle name="Normal 15 5 6 2" xfId="13520" xr:uid="{00000000-0005-0000-0000-0000606B0000}"/>
    <cellStyle name="Normal 15 5 6 2 2" xfId="27069" xr:uid="{00000000-0005-0000-0000-0000616B0000}"/>
    <cellStyle name="Normal 15 5 6 3" xfId="31453" xr:uid="{00000000-0005-0000-0000-0000626B0000}"/>
    <cellStyle name="Normal 15 5 7" xfId="7138" xr:uid="{00000000-0005-0000-0000-0000636B0000}"/>
    <cellStyle name="Normal 15 5 7 2" xfId="14101" xr:uid="{00000000-0005-0000-0000-0000646B0000}"/>
    <cellStyle name="Normal 15 5 7 2 2" xfId="27650" xr:uid="{00000000-0005-0000-0000-0000656B0000}"/>
    <cellStyle name="Normal 15 5 7 3" xfId="31454" xr:uid="{00000000-0005-0000-0000-0000666B0000}"/>
    <cellStyle name="Normal 15 5 8" xfId="7139" xr:uid="{00000000-0005-0000-0000-0000676B0000}"/>
    <cellStyle name="Normal 15 5 8 2" xfId="15987" xr:uid="{00000000-0005-0000-0000-0000686B0000}"/>
    <cellStyle name="Normal 15 5 8 2 2" xfId="29394" xr:uid="{00000000-0005-0000-0000-0000696B0000}"/>
    <cellStyle name="Normal 15 5 8 3" xfId="31455" xr:uid="{00000000-0005-0000-0000-00006A6B0000}"/>
    <cellStyle name="Normal 15 5 9" xfId="10152" xr:uid="{00000000-0005-0000-0000-00006B6B0000}"/>
    <cellStyle name="Normal 15 5 9 2" xfId="24376" xr:uid="{00000000-0005-0000-0000-00006C6B0000}"/>
    <cellStyle name="Normal 15 6" xfId="7140" xr:uid="{00000000-0005-0000-0000-00006D6B0000}"/>
    <cellStyle name="Normal 15 6 2" xfId="7141" xr:uid="{00000000-0005-0000-0000-00006E6B0000}"/>
    <cellStyle name="Normal 15 6 2 2" xfId="7142" xr:uid="{00000000-0005-0000-0000-00006F6B0000}"/>
    <cellStyle name="Normal 15 6 2 2 2" xfId="7143" xr:uid="{00000000-0005-0000-0000-0000706B0000}"/>
    <cellStyle name="Normal 15 6 2 2 2 2" xfId="16911" xr:uid="{00000000-0005-0000-0000-0000716B0000}"/>
    <cellStyle name="Normal 15 6 2 2 2 2 2" xfId="30318" xr:uid="{00000000-0005-0000-0000-0000726B0000}"/>
    <cellStyle name="Normal 15 6 2 2 2 3" xfId="31459" xr:uid="{00000000-0005-0000-0000-0000736B0000}"/>
    <cellStyle name="Normal 15 6 2 2 3" xfId="11532" xr:uid="{00000000-0005-0000-0000-0000746B0000}"/>
    <cellStyle name="Normal 15 6 2 2 3 2" xfId="25364" xr:uid="{00000000-0005-0000-0000-0000756B0000}"/>
    <cellStyle name="Normal 15 6 2 2 4" xfId="31458" xr:uid="{00000000-0005-0000-0000-0000766B0000}"/>
    <cellStyle name="Normal 15 6 2 3" xfId="7144" xr:uid="{00000000-0005-0000-0000-0000776B0000}"/>
    <cellStyle name="Normal 15 6 2 3 2" xfId="12299" xr:uid="{00000000-0005-0000-0000-0000786B0000}"/>
    <cellStyle name="Normal 15 6 2 3 2 2" xfId="26011" xr:uid="{00000000-0005-0000-0000-0000796B0000}"/>
    <cellStyle name="Normal 15 6 2 3 3" xfId="31460" xr:uid="{00000000-0005-0000-0000-00007A6B0000}"/>
    <cellStyle name="Normal 15 6 2 4" xfId="7145" xr:uid="{00000000-0005-0000-0000-00007B6B0000}"/>
    <cellStyle name="Normal 15 6 2 4 2" xfId="13863" xr:uid="{00000000-0005-0000-0000-00007C6B0000}"/>
    <cellStyle name="Normal 15 6 2 4 2 2" xfId="27412" xr:uid="{00000000-0005-0000-0000-00007D6B0000}"/>
    <cellStyle name="Normal 15 6 2 4 3" xfId="31461" xr:uid="{00000000-0005-0000-0000-00007E6B0000}"/>
    <cellStyle name="Normal 15 6 2 5" xfId="7146" xr:uid="{00000000-0005-0000-0000-00007F6B0000}"/>
    <cellStyle name="Normal 15 6 2 5 2" xfId="14444" xr:uid="{00000000-0005-0000-0000-0000806B0000}"/>
    <cellStyle name="Normal 15 6 2 5 2 2" xfId="27993" xr:uid="{00000000-0005-0000-0000-0000816B0000}"/>
    <cellStyle name="Normal 15 6 2 5 3" xfId="31462" xr:uid="{00000000-0005-0000-0000-0000826B0000}"/>
    <cellStyle name="Normal 15 6 2 6" xfId="7147" xr:uid="{00000000-0005-0000-0000-0000836B0000}"/>
    <cellStyle name="Normal 15 6 2 6 2" xfId="16330" xr:uid="{00000000-0005-0000-0000-0000846B0000}"/>
    <cellStyle name="Normal 15 6 2 6 2 2" xfId="29737" xr:uid="{00000000-0005-0000-0000-0000856B0000}"/>
    <cellStyle name="Normal 15 6 2 6 3" xfId="31463" xr:uid="{00000000-0005-0000-0000-0000866B0000}"/>
    <cellStyle name="Normal 15 6 2 7" xfId="10157" xr:uid="{00000000-0005-0000-0000-0000876B0000}"/>
    <cellStyle name="Normal 15 6 2 7 2" xfId="24381" xr:uid="{00000000-0005-0000-0000-0000886B0000}"/>
    <cellStyle name="Normal 15 6 2 8" xfId="31457" xr:uid="{00000000-0005-0000-0000-0000896B0000}"/>
    <cellStyle name="Normal 15 6 3" xfId="7148" xr:uid="{00000000-0005-0000-0000-00008A6B0000}"/>
    <cellStyle name="Normal 15 6 3 2" xfId="7149" xr:uid="{00000000-0005-0000-0000-00008B6B0000}"/>
    <cellStyle name="Normal 15 6 3 2 2" xfId="16622" xr:uid="{00000000-0005-0000-0000-00008C6B0000}"/>
    <cellStyle name="Normal 15 6 3 2 2 2" xfId="30029" xr:uid="{00000000-0005-0000-0000-00008D6B0000}"/>
    <cellStyle name="Normal 15 6 3 2 3" xfId="31465" xr:uid="{00000000-0005-0000-0000-00008E6B0000}"/>
    <cellStyle name="Normal 15 6 3 3" xfId="11531" xr:uid="{00000000-0005-0000-0000-00008F6B0000}"/>
    <cellStyle name="Normal 15 6 3 3 2" xfId="25363" xr:uid="{00000000-0005-0000-0000-0000906B0000}"/>
    <cellStyle name="Normal 15 6 3 4" xfId="31464" xr:uid="{00000000-0005-0000-0000-0000916B0000}"/>
    <cellStyle name="Normal 15 6 4" xfId="7150" xr:uid="{00000000-0005-0000-0000-0000926B0000}"/>
    <cellStyle name="Normal 15 6 4 2" xfId="11999" xr:uid="{00000000-0005-0000-0000-0000936B0000}"/>
    <cellStyle name="Normal 15 6 4 2 2" xfId="25714" xr:uid="{00000000-0005-0000-0000-0000946B0000}"/>
    <cellStyle name="Normal 15 6 4 3" xfId="31466" xr:uid="{00000000-0005-0000-0000-0000956B0000}"/>
    <cellStyle name="Normal 15 6 5" xfId="7151" xr:uid="{00000000-0005-0000-0000-0000966B0000}"/>
    <cellStyle name="Normal 15 6 5 2" xfId="13574" xr:uid="{00000000-0005-0000-0000-0000976B0000}"/>
    <cellStyle name="Normal 15 6 5 2 2" xfId="27123" xr:uid="{00000000-0005-0000-0000-0000986B0000}"/>
    <cellStyle name="Normal 15 6 5 3" xfId="31467" xr:uid="{00000000-0005-0000-0000-0000996B0000}"/>
    <cellStyle name="Normal 15 6 6" xfId="7152" xr:uid="{00000000-0005-0000-0000-00009A6B0000}"/>
    <cellStyle name="Normal 15 6 6 2" xfId="14155" xr:uid="{00000000-0005-0000-0000-00009B6B0000}"/>
    <cellStyle name="Normal 15 6 6 2 2" xfId="27704" xr:uid="{00000000-0005-0000-0000-00009C6B0000}"/>
    <cellStyle name="Normal 15 6 6 3" xfId="31468" xr:uid="{00000000-0005-0000-0000-00009D6B0000}"/>
    <cellStyle name="Normal 15 6 7" xfId="7153" xr:uid="{00000000-0005-0000-0000-00009E6B0000}"/>
    <cellStyle name="Normal 15 6 7 2" xfId="16041" xr:uid="{00000000-0005-0000-0000-00009F6B0000}"/>
    <cellStyle name="Normal 15 6 7 2 2" xfId="29448" xr:uid="{00000000-0005-0000-0000-0000A06B0000}"/>
    <cellStyle name="Normal 15 6 7 3" xfId="31469" xr:uid="{00000000-0005-0000-0000-0000A16B0000}"/>
    <cellStyle name="Normal 15 6 8" xfId="10156" xr:uid="{00000000-0005-0000-0000-0000A26B0000}"/>
    <cellStyle name="Normal 15 6 8 2" xfId="24380" xr:uid="{00000000-0005-0000-0000-0000A36B0000}"/>
    <cellStyle name="Normal 15 6 9" xfId="31456" xr:uid="{00000000-0005-0000-0000-0000A46B0000}"/>
    <cellStyle name="Normal 15 7" xfId="7154" xr:uid="{00000000-0005-0000-0000-0000A56B0000}"/>
    <cellStyle name="Normal 15 7 2" xfId="7155" xr:uid="{00000000-0005-0000-0000-0000A66B0000}"/>
    <cellStyle name="Normal 15 7 2 2" xfId="7156" xr:uid="{00000000-0005-0000-0000-0000A76B0000}"/>
    <cellStyle name="Normal 15 7 2 2 2" xfId="16734" xr:uid="{00000000-0005-0000-0000-0000A86B0000}"/>
    <cellStyle name="Normal 15 7 2 2 2 2" xfId="30141" xr:uid="{00000000-0005-0000-0000-0000A96B0000}"/>
    <cellStyle name="Normal 15 7 2 2 3" xfId="31472" xr:uid="{00000000-0005-0000-0000-0000AA6B0000}"/>
    <cellStyle name="Normal 15 7 2 3" xfId="11533" xr:uid="{00000000-0005-0000-0000-0000AB6B0000}"/>
    <cellStyle name="Normal 15 7 2 3 2" xfId="25365" xr:uid="{00000000-0005-0000-0000-0000AC6B0000}"/>
    <cellStyle name="Normal 15 7 2 4" xfId="31471" xr:uid="{00000000-0005-0000-0000-0000AD6B0000}"/>
    <cellStyle name="Normal 15 7 3" xfId="7157" xr:uid="{00000000-0005-0000-0000-0000AE6B0000}"/>
    <cellStyle name="Normal 15 7 3 2" xfId="12122" xr:uid="{00000000-0005-0000-0000-0000AF6B0000}"/>
    <cellStyle name="Normal 15 7 3 2 2" xfId="25834" xr:uid="{00000000-0005-0000-0000-0000B06B0000}"/>
    <cellStyle name="Normal 15 7 3 3" xfId="31473" xr:uid="{00000000-0005-0000-0000-0000B16B0000}"/>
    <cellStyle name="Normal 15 7 4" xfId="7158" xr:uid="{00000000-0005-0000-0000-0000B26B0000}"/>
    <cellStyle name="Normal 15 7 4 2" xfId="13686" xr:uid="{00000000-0005-0000-0000-0000B36B0000}"/>
    <cellStyle name="Normal 15 7 4 2 2" xfId="27235" xr:uid="{00000000-0005-0000-0000-0000B46B0000}"/>
    <cellStyle name="Normal 15 7 4 3" xfId="31474" xr:uid="{00000000-0005-0000-0000-0000B56B0000}"/>
    <cellStyle name="Normal 15 7 5" xfId="7159" xr:uid="{00000000-0005-0000-0000-0000B66B0000}"/>
    <cellStyle name="Normal 15 7 5 2" xfId="14267" xr:uid="{00000000-0005-0000-0000-0000B76B0000}"/>
    <cellStyle name="Normal 15 7 5 2 2" xfId="27816" xr:uid="{00000000-0005-0000-0000-0000B86B0000}"/>
    <cellStyle name="Normal 15 7 5 3" xfId="31475" xr:uid="{00000000-0005-0000-0000-0000B96B0000}"/>
    <cellStyle name="Normal 15 7 6" xfId="7160" xr:uid="{00000000-0005-0000-0000-0000BA6B0000}"/>
    <cellStyle name="Normal 15 7 6 2" xfId="16153" xr:uid="{00000000-0005-0000-0000-0000BB6B0000}"/>
    <cellStyle name="Normal 15 7 6 2 2" xfId="29560" xr:uid="{00000000-0005-0000-0000-0000BC6B0000}"/>
    <cellStyle name="Normal 15 7 6 3" xfId="31476" xr:uid="{00000000-0005-0000-0000-0000BD6B0000}"/>
    <cellStyle name="Normal 15 7 7" xfId="10158" xr:uid="{00000000-0005-0000-0000-0000BE6B0000}"/>
    <cellStyle name="Normal 15 7 7 2" xfId="24382" xr:uid="{00000000-0005-0000-0000-0000BF6B0000}"/>
    <cellStyle name="Normal 15 7 8" xfId="31470" xr:uid="{00000000-0005-0000-0000-0000C06B0000}"/>
    <cellStyle name="Normal 15 8" xfId="7161" xr:uid="{00000000-0005-0000-0000-0000C16B0000}"/>
    <cellStyle name="Normal 15 8 2" xfId="7162" xr:uid="{00000000-0005-0000-0000-0000C26B0000}"/>
    <cellStyle name="Normal 15 8 2 2" xfId="11534" xr:uid="{00000000-0005-0000-0000-0000C36B0000}"/>
    <cellStyle name="Normal 15 8 2 2 2" xfId="25366" xr:uid="{00000000-0005-0000-0000-0000C46B0000}"/>
    <cellStyle name="Normal 15 8 2 3" xfId="31478" xr:uid="{00000000-0005-0000-0000-0000C56B0000}"/>
    <cellStyle name="Normal 15 8 3" xfId="7163" xr:uid="{00000000-0005-0000-0000-0000C66B0000}"/>
    <cellStyle name="Normal 15 8 3 2" xfId="13244" xr:uid="{00000000-0005-0000-0000-0000C76B0000}"/>
    <cellStyle name="Normal 15 8 3 2 2" xfId="26888" xr:uid="{00000000-0005-0000-0000-0000C86B0000}"/>
    <cellStyle name="Normal 15 8 3 3" xfId="31479" xr:uid="{00000000-0005-0000-0000-0000C96B0000}"/>
    <cellStyle name="Normal 15 8 4" xfId="7164" xr:uid="{00000000-0005-0000-0000-0000CA6B0000}"/>
    <cellStyle name="Normal 15 8 4 2" xfId="15694" xr:uid="{00000000-0005-0000-0000-0000CB6B0000}"/>
    <cellStyle name="Normal 15 8 4 2 2" xfId="29180" xr:uid="{00000000-0005-0000-0000-0000CC6B0000}"/>
    <cellStyle name="Normal 15 8 4 3" xfId="31480" xr:uid="{00000000-0005-0000-0000-0000CD6B0000}"/>
    <cellStyle name="Normal 15 8 5" xfId="7165" xr:uid="{00000000-0005-0000-0000-0000CE6B0000}"/>
    <cellStyle name="Normal 15 8 5 2" xfId="17115" xr:uid="{00000000-0005-0000-0000-0000CF6B0000}"/>
    <cellStyle name="Normal 15 8 5 2 2" xfId="30474" xr:uid="{00000000-0005-0000-0000-0000D06B0000}"/>
    <cellStyle name="Normal 15 8 5 3" xfId="31481" xr:uid="{00000000-0005-0000-0000-0000D16B0000}"/>
    <cellStyle name="Normal 15 8 6" xfId="10159" xr:uid="{00000000-0005-0000-0000-0000D26B0000}"/>
    <cellStyle name="Normal 15 8 6 2" xfId="24383" xr:uid="{00000000-0005-0000-0000-0000D36B0000}"/>
    <cellStyle name="Normal 15 8 7" xfId="31477" xr:uid="{00000000-0005-0000-0000-0000D46B0000}"/>
    <cellStyle name="Normal 15 9" xfId="7166" xr:uid="{00000000-0005-0000-0000-0000D56B0000}"/>
    <cellStyle name="Normal 15 9 2" xfId="7167" xr:uid="{00000000-0005-0000-0000-0000D66B0000}"/>
    <cellStyle name="Normal 15 9 2 2" xfId="13245" xr:uid="{00000000-0005-0000-0000-0000D76B0000}"/>
    <cellStyle name="Normal 15 9 2 3" xfId="31483" xr:uid="{00000000-0005-0000-0000-0000D86B0000}"/>
    <cellStyle name="Normal 15 9 3" xfId="7168" xr:uid="{00000000-0005-0000-0000-0000D96B0000}"/>
    <cellStyle name="Normal 15 9 3 2" xfId="17204" xr:uid="{00000000-0005-0000-0000-0000DA6B0000}"/>
    <cellStyle name="Normal 15 9 3 2 2" xfId="30563" xr:uid="{00000000-0005-0000-0000-0000DB6B0000}"/>
    <cellStyle name="Normal 15 9 3 3" xfId="31484" xr:uid="{00000000-0005-0000-0000-0000DC6B0000}"/>
    <cellStyle name="Normal 15 9 4" xfId="11830" xr:uid="{00000000-0005-0000-0000-0000DD6B0000}"/>
    <cellStyle name="Normal 15 9 4 2" xfId="25545" xr:uid="{00000000-0005-0000-0000-0000DE6B0000}"/>
    <cellStyle name="Normal 15 9 5" xfId="31482" xr:uid="{00000000-0005-0000-0000-0000DF6B0000}"/>
    <cellStyle name="Normal 16" xfId="7169" xr:uid="{00000000-0005-0000-0000-0000E06B0000}"/>
    <cellStyle name="Normal 16 10" xfId="10160" xr:uid="{00000000-0005-0000-0000-0000E16B0000}"/>
    <cellStyle name="Normal 16 10 2" xfId="24384" xr:uid="{00000000-0005-0000-0000-0000E26B0000}"/>
    <cellStyle name="Normal 16 11" xfId="31485" xr:uid="{00000000-0005-0000-0000-0000E36B0000}"/>
    <cellStyle name="Normal 16 2" xfId="7170" xr:uid="{00000000-0005-0000-0000-0000E46B0000}"/>
    <cellStyle name="Normal 16 2 10" xfId="31486" xr:uid="{00000000-0005-0000-0000-0000E56B0000}"/>
    <cellStyle name="Normal 16 2 2" xfId="7171" xr:uid="{00000000-0005-0000-0000-0000E66B0000}"/>
    <cellStyle name="Normal 16 2 2 2" xfId="7172" xr:uid="{00000000-0005-0000-0000-0000E76B0000}"/>
    <cellStyle name="Normal 16 2 2 2 2" xfId="7173" xr:uid="{00000000-0005-0000-0000-0000E86B0000}"/>
    <cellStyle name="Normal 16 2 2 2 2 2" xfId="7174" xr:uid="{00000000-0005-0000-0000-0000E96B0000}"/>
    <cellStyle name="Normal 16 2 2 2 2 2 2" xfId="16958" xr:uid="{00000000-0005-0000-0000-0000EA6B0000}"/>
    <cellStyle name="Normal 16 2 2 2 2 2 2 2" xfId="30365" xr:uid="{00000000-0005-0000-0000-0000EB6B0000}"/>
    <cellStyle name="Normal 16 2 2 2 2 2 3" xfId="31490" xr:uid="{00000000-0005-0000-0000-0000EC6B0000}"/>
    <cellStyle name="Normal 16 2 2 2 2 3" xfId="11538" xr:uid="{00000000-0005-0000-0000-0000ED6B0000}"/>
    <cellStyle name="Normal 16 2 2 2 2 3 2" xfId="25370" xr:uid="{00000000-0005-0000-0000-0000EE6B0000}"/>
    <cellStyle name="Normal 16 2 2 2 2 4" xfId="31489" xr:uid="{00000000-0005-0000-0000-0000EF6B0000}"/>
    <cellStyle name="Normal 16 2 2 2 3" xfId="7175" xr:uid="{00000000-0005-0000-0000-0000F06B0000}"/>
    <cellStyle name="Normal 16 2 2 2 3 2" xfId="12346" xr:uid="{00000000-0005-0000-0000-0000F16B0000}"/>
    <cellStyle name="Normal 16 2 2 2 3 2 2" xfId="26058" xr:uid="{00000000-0005-0000-0000-0000F26B0000}"/>
    <cellStyle name="Normal 16 2 2 2 3 3" xfId="31491" xr:uid="{00000000-0005-0000-0000-0000F36B0000}"/>
    <cellStyle name="Normal 16 2 2 2 4" xfId="7176" xr:uid="{00000000-0005-0000-0000-0000F46B0000}"/>
    <cellStyle name="Normal 16 2 2 2 4 2" xfId="13910" xr:uid="{00000000-0005-0000-0000-0000F56B0000}"/>
    <cellStyle name="Normal 16 2 2 2 4 2 2" xfId="27459" xr:uid="{00000000-0005-0000-0000-0000F66B0000}"/>
    <cellStyle name="Normal 16 2 2 2 4 3" xfId="31492" xr:uid="{00000000-0005-0000-0000-0000F76B0000}"/>
    <cellStyle name="Normal 16 2 2 2 5" xfId="7177" xr:uid="{00000000-0005-0000-0000-0000F86B0000}"/>
    <cellStyle name="Normal 16 2 2 2 5 2" xfId="14491" xr:uid="{00000000-0005-0000-0000-0000F96B0000}"/>
    <cellStyle name="Normal 16 2 2 2 5 2 2" xfId="28040" xr:uid="{00000000-0005-0000-0000-0000FA6B0000}"/>
    <cellStyle name="Normal 16 2 2 2 5 3" xfId="31493" xr:uid="{00000000-0005-0000-0000-0000FB6B0000}"/>
    <cellStyle name="Normal 16 2 2 2 6" xfId="7178" xr:uid="{00000000-0005-0000-0000-0000FC6B0000}"/>
    <cellStyle name="Normal 16 2 2 2 6 2" xfId="16377" xr:uid="{00000000-0005-0000-0000-0000FD6B0000}"/>
    <cellStyle name="Normal 16 2 2 2 6 2 2" xfId="29784" xr:uid="{00000000-0005-0000-0000-0000FE6B0000}"/>
    <cellStyle name="Normal 16 2 2 2 6 3" xfId="31494" xr:uid="{00000000-0005-0000-0000-0000FF6B0000}"/>
    <cellStyle name="Normal 16 2 2 2 7" xfId="10163" xr:uid="{00000000-0005-0000-0000-0000006C0000}"/>
    <cellStyle name="Normal 16 2 2 2 7 2" xfId="24387" xr:uid="{00000000-0005-0000-0000-0000016C0000}"/>
    <cellStyle name="Normal 16 2 2 2 8" xfId="31488" xr:uid="{00000000-0005-0000-0000-0000026C0000}"/>
    <cellStyle name="Normal 16 2 2 3" xfId="7179" xr:uid="{00000000-0005-0000-0000-0000036C0000}"/>
    <cellStyle name="Normal 16 2 2 3 2" xfId="7180" xr:uid="{00000000-0005-0000-0000-0000046C0000}"/>
    <cellStyle name="Normal 16 2 2 3 2 2" xfId="16669" xr:uid="{00000000-0005-0000-0000-0000056C0000}"/>
    <cellStyle name="Normal 16 2 2 3 2 2 2" xfId="30076" xr:uid="{00000000-0005-0000-0000-0000066C0000}"/>
    <cellStyle name="Normal 16 2 2 3 2 3" xfId="31496" xr:uid="{00000000-0005-0000-0000-0000076C0000}"/>
    <cellStyle name="Normal 16 2 2 3 3" xfId="11537" xr:uid="{00000000-0005-0000-0000-0000086C0000}"/>
    <cellStyle name="Normal 16 2 2 3 3 2" xfId="25369" xr:uid="{00000000-0005-0000-0000-0000096C0000}"/>
    <cellStyle name="Normal 16 2 2 3 4" xfId="31495" xr:uid="{00000000-0005-0000-0000-00000A6C0000}"/>
    <cellStyle name="Normal 16 2 2 4" xfId="7181" xr:uid="{00000000-0005-0000-0000-00000B6C0000}"/>
    <cellStyle name="Normal 16 2 2 4 2" xfId="12046" xr:uid="{00000000-0005-0000-0000-00000C6C0000}"/>
    <cellStyle name="Normal 16 2 2 4 2 2" xfId="25761" xr:uid="{00000000-0005-0000-0000-00000D6C0000}"/>
    <cellStyle name="Normal 16 2 2 4 3" xfId="31497" xr:uid="{00000000-0005-0000-0000-00000E6C0000}"/>
    <cellStyle name="Normal 16 2 2 5" xfId="7182" xr:uid="{00000000-0005-0000-0000-00000F6C0000}"/>
    <cellStyle name="Normal 16 2 2 5 2" xfId="13621" xr:uid="{00000000-0005-0000-0000-0000106C0000}"/>
    <cellStyle name="Normal 16 2 2 5 2 2" xfId="27170" xr:uid="{00000000-0005-0000-0000-0000116C0000}"/>
    <cellStyle name="Normal 16 2 2 5 3" xfId="31498" xr:uid="{00000000-0005-0000-0000-0000126C0000}"/>
    <cellStyle name="Normal 16 2 2 6" xfId="7183" xr:uid="{00000000-0005-0000-0000-0000136C0000}"/>
    <cellStyle name="Normal 16 2 2 6 2" xfId="14202" xr:uid="{00000000-0005-0000-0000-0000146C0000}"/>
    <cellStyle name="Normal 16 2 2 6 2 2" xfId="27751" xr:uid="{00000000-0005-0000-0000-0000156C0000}"/>
    <cellStyle name="Normal 16 2 2 6 3" xfId="31499" xr:uid="{00000000-0005-0000-0000-0000166C0000}"/>
    <cellStyle name="Normal 16 2 2 7" xfId="7184" xr:uid="{00000000-0005-0000-0000-0000176C0000}"/>
    <cellStyle name="Normal 16 2 2 7 2" xfId="16088" xr:uid="{00000000-0005-0000-0000-0000186C0000}"/>
    <cellStyle name="Normal 16 2 2 7 2 2" xfId="29495" xr:uid="{00000000-0005-0000-0000-0000196C0000}"/>
    <cellStyle name="Normal 16 2 2 7 3" xfId="31500" xr:uid="{00000000-0005-0000-0000-00001A6C0000}"/>
    <cellStyle name="Normal 16 2 2 8" xfId="10162" xr:uid="{00000000-0005-0000-0000-00001B6C0000}"/>
    <cellStyle name="Normal 16 2 2 8 2" xfId="24386" xr:uid="{00000000-0005-0000-0000-00001C6C0000}"/>
    <cellStyle name="Normal 16 2 2 9" xfId="31487" xr:uid="{00000000-0005-0000-0000-00001D6C0000}"/>
    <cellStyle name="Normal 16 2 3" xfId="7185" xr:uid="{00000000-0005-0000-0000-00001E6C0000}"/>
    <cellStyle name="Normal 16 2 3 2" xfId="7186" xr:uid="{00000000-0005-0000-0000-00001F6C0000}"/>
    <cellStyle name="Normal 16 2 3 2 2" xfId="7187" xr:uid="{00000000-0005-0000-0000-0000206C0000}"/>
    <cellStyle name="Normal 16 2 3 2 2 2" xfId="16815" xr:uid="{00000000-0005-0000-0000-0000216C0000}"/>
    <cellStyle name="Normal 16 2 3 2 2 2 2" xfId="30222" xr:uid="{00000000-0005-0000-0000-0000226C0000}"/>
    <cellStyle name="Normal 16 2 3 2 2 3" xfId="31503" xr:uid="{00000000-0005-0000-0000-0000236C0000}"/>
    <cellStyle name="Normal 16 2 3 2 3" xfId="11539" xr:uid="{00000000-0005-0000-0000-0000246C0000}"/>
    <cellStyle name="Normal 16 2 3 2 3 2" xfId="25371" xr:uid="{00000000-0005-0000-0000-0000256C0000}"/>
    <cellStyle name="Normal 16 2 3 2 4" xfId="31502" xr:uid="{00000000-0005-0000-0000-0000266C0000}"/>
    <cellStyle name="Normal 16 2 3 3" xfId="7188" xr:uid="{00000000-0005-0000-0000-0000276C0000}"/>
    <cellStyle name="Normal 16 2 3 3 2" xfId="12203" xr:uid="{00000000-0005-0000-0000-0000286C0000}"/>
    <cellStyle name="Normal 16 2 3 3 2 2" xfId="25915" xr:uid="{00000000-0005-0000-0000-0000296C0000}"/>
    <cellStyle name="Normal 16 2 3 3 3" xfId="31504" xr:uid="{00000000-0005-0000-0000-00002A6C0000}"/>
    <cellStyle name="Normal 16 2 3 4" xfId="7189" xr:uid="{00000000-0005-0000-0000-00002B6C0000}"/>
    <cellStyle name="Normal 16 2 3 4 2" xfId="13767" xr:uid="{00000000-0005-0000-0000-00002C6C0000}"/>
    <cellStyle name="Normal 16 2 3 4 2 2" xfId="27316" xr:uid="{00000000-0005-0000-0000-00002D6C0000}"/>
    <cellStyle name="Normal 16 2 3 4 3" xfId="31505" xr:uid="{00000000-0005-0000-0000-00002E6C0000}"/>
    <cellStyle name="Normal 16 2 3 5" xfId="7190" xr:uid="{00000000-0005-0000-0000-00002F6C0000}"/>
    <cellStyle name="Normal 16 2 3 5 2" xfId="14348" xr:uid="{00000000-0005-0000-0000-0000306C0000}"/>
    <cellStyle name="Normal 16 2 3 5 2 2" xfId="27897" xr:uid="{00000000-0005-0000-0000-0000316C0000}"/>
    <cellStyle name="Normal 16 2 3 5 3" xfId="31506" xr:uid="{00000000-0005-0000-0000-0000326C0000}"/>
    <cellStyle name="Normal 16 2 3 6" xfId="7191" xr:uid="{00000000-0005-0000-0000-0000336C0000}"/>
    <cellStyle name="Normal 16 2 3 6 2" xfId="16234" xr:uid="{00000000-0005-0000-0000-0000346C0000}"/>
    <cellStyle name="Normal 16 2 3 6 2 2" xfId="29641" xr:uid="{00000000-0005-0000-0000-0000356C0000}"/>
    <cellStyle name="Normal 16 2 3 6 3" xfId="31507" xr:uid="{00000000-0005-0000-0000-0000366C0000}"/>
    <cellStyle name="Normal 16 2 3 7" xfId="10164" xr:uid="{00000000-0005-0000-0000-0000376C0000}"/>
    <cellStyle name="Normal 16 2 3 7 2" xfId="24388" xr:uid="{00000000-0005-0000-0000-0000386C0000}"/>
    <cellStyle name="Normal 16 2 3 8" xfId="31501" xr:uid="{00000000-0005-0000-0000-0000396C0000}"/>
    <cellStyle name="Normal 16 2 4" xfId="7192" xr:uid="{00000000-0005-0000-0000-00003A6C0000}"/>
    <cellStyle name="Normal 16 2 4 2" xfId="7193" xr:uid="{00000000-0005-0000-0000-00003B6C0000}"/>
    <cellStyle name="Normal 16 2 4 2 2" xfId="17162" xr:uid="{00000000-0005-0000-0000-00003C6C0000}"/>
    <cellStyle name="Normal 16 2 4 2 2 2" xfId="30521" xr:uid="{00000000-0005-0000-0000-00003D6C0000}"/>
    <cellStyle name="Normal 16 2 4 2 3" xfId="31509" xr:uid="{00000000-0005-0000-0000-00003E6C0000}"/>
    <cellStyle name="Normal 16 2 4 3" xfId="11536" xr:uid="{00000000-0005-0000-0000-00003F6C0000}"/>
    <cellStyle name="Normal 16 2 4 3 2" xfId="25368" xr:uid="{00000000-0005-0000-0000-0000406C0000}"/>
    <cellStyle name="Normal 16 2 4 4" xfId="31508" xr:uid="{00000000-0005-0000-0000-0000416C0000}"/>
    <cellStyle name="Normal 16 2 5" xfId="7194" xr:uid="{00000000-0005-0000-0000-0000426C0000}"/>
    <cellStyle name="Normal 16 2 5 2" xfId="7195" xr:uid="{00000000-0005-0000-0000-0000436C0000}"/>
    <cellStyle name="Normal 16 2 5 2 2" xfId="17251" xr:uid="{00000000-0005-0000-0000-0000446C0000}"/>
    <cellStyle name="Normal 16 2 5 2 2 2" xfId="30610" xr:uid="{00000000-0005-0000-0000-0000456C0000}"/>
    <cellStyle name="Normal 16 2 5 2 3" xfId="31511" xr:uid="{00000000-0005-0000-0000-0000466C0000}"/>
    <cellStyle name="Normal 16 2 5 3" xfId="11901" xr:uid="{00000000-0005-0000-0000-0000476C0000}"/>
    <cellStyle name="Normal 16 2 5 3 2" xfId="25616" xr:uid="{00000000-0005-0000-0000-0000486C0000}"/>
    <cellStyle name="Normal 16 2 5 4" xfId="31510" xr:uid="{00000000-0005-0000-0000-0000496C0000}"/>
    <cellStyle name="Normal 16 2 6" xfId="7196" xr:uid="{00000000-0005-0000-0000-00004A6C0000}"/>
    <cellStyle name="Normal 16 2 6 2" xfId="7197" xr:uid="{00000000-0005-0000-0000-00004B6C0000}"/>
    <cellStyle name="Normal 16 2 6 2 2" xfId="16526" xr:uid="{00000000-0005-0000-0000-00004C6C0000}"/>
    <cellStyle name="Normal 16 2 6 2 2 2" xfId="29933" xr:uid="{00000000-0005-0000-0000-00004D6C0000}"/>
    <cellStyle name="Normal 16 2 6 2 3" xfId="31513" xr:uid="{00000000-0005-0000-0000-00004E6C0000}"/>
    <cellStyle name="Normal 16 2 6 3" xfId="13478" xr:uid="{00000000-0005-0000-0000-00004F6C0000}"/>
    <cellStyle name="Normal 16 2 6 3 2" xfId="27027" xr:uid="{00000000-0005-0000-0000-0000506C0000}"/>
    <cellStyle name="Normal 16 2 6 4" xfId="31512" xr:uid="{00000000-0005-0000-0000-0000516C0000}"/>
    <cellStyle name="Normal 16 2 7" xfId="7198" xr:uid="{00000000-0005-0000-0000-0000526C0000}"/>
    <cellStyle name="Normal 16 2 7 2" xfId="14059" xr:uid="{00000000-0005-0000-0000-0000536C0000}"/>
    <cellStyle name="Normal 16 2 7 2 2" xfId="27608" xr:uid="{00000000-0005-0000-0000-0000546C0000}"/>
    <cellStyle name="Normal 16 2 7 3" xfId="31514" xr:uid="{00000000-0005-0000-0000-0000556C0000}"/>
    <cellStyle name="Normal 16 2 8" xfId="7199" xr:uid="{00000000-0005-0000-0000-0000566C0000}"/>
    <cellStyle name="Normal 16 2 8 2" xfId="15945" xr:uid="{00000000-0005-0000-0000-0000576C0000}"/>
    <cellStyle name="Normal 16 2 8 2 2" xfId="29352" xr:uid="{00000000-0005-0000-0000-0000586C0000}"/>
    <cellStyle name="Normal 16 2 8 3" xfId="31515" xr:uid="{00000000-0005-0000-0000-0000596C0000}"/>
    <cellStyle name="Normal 16 2 9" xfId="10161" xr:uid="{00000000-0005-0000-0000-00005A6C0000}"/>
    <cellStyle name="Normal 16 2 9 2" xfId="24385" xr:uid="{00000000-0005-0000-0000-00005B6C0000}"/>
    <cellStyle name="Normal 16 3" xfId="7200" xr:uid="{00000000-0005-0000-0000-00005C6C0000}"/>
    <cellStyle name="Normal 16 3 2" xfId="7201" xr:uid="{00000000-0005-0000-0000-00005D6C0000}"/>
    <cellStyle name="Normal 16 3 2 2" xfId="7202" xr:uid="{00000000-0005-0000-0000-00005E6C0000}"/>
    <cellStyle name="Normal 16 3 2 2 2" xfId="7203" xr:uid="{00000000-0005-0000-0000-00005F6C0000}"/>
    <cellStyle name="Normal 16 3 2 2 2 2" xfId="16912" xr:uid="{00000000-0005-0000-0000-0000606C0000}"/>
    <cellStyle name="Normal 16 3 2 2 2 2 2" xfId="30319" xr:uid="{00000000-0005-0000-0000-0000616C0000}"/>
    <cellStyle name="Normal 16 3 2 2 2 3" xfId="31519" xr:uid="{00000000-0005-0000-0000-0000626C0000}"/>
    <cellStyle name="Normal 16 3 2 2 3" xfId="11541" xr:uid="{00000000-0005-0000-0000-0000636C0000}"/>
    <cellStyle name="Normal 16 3 2 2 3 2" xfId="25373" xr:uid="{00000000-0005-0000-0000-0000646C0000}"/>
    <cellStyle name="Normal 16 3 2 2 4" xfId="31518" xr:uid="{00000000-0005-0000-0000-0000656C0000}"/>
    <cellStyle name="Normal 16 3 2 3" xfId="7204" xr:uid="{00000000-0005-0000-0000-0000666C0000}"/>
    <cellStyle name="Normal 16 3 2 3 2" xfId="12300" xr:uid="{00000000-0005-0000-0000-0000676C0000}"/>
    <cellStyle name="Normal 16 3 2 3 2 2" xfId="26012" xr:uid="{00000000-0005-0000-0000-0000686C0000}"/>
    <cellStyle name="Normal 16 3 2 3 3" xfId="31520" xr:uid="{00000000-0005-0000-0000-0000696C0000}"/>
    <cellStyle name="Normal 16 3 2 4" xfId="7205" xr:uid="{00000000-0005-0000-0000-00006A6C0000}"/>
    <cellStyle name="Normal 16 3 2 4 2" xfId="13864" xr:uid="{00000000-0005-0000-0000-00006B6C0000}"/>
    <cellStyle name="Normal 16 3 2 4 2 2" xfId="27413" xr:uid="{00000000-0005-0000-0000-00006C6C0000}"/>
    <cellStyle name="Normal 16 3 2 4 3" xfId="31521" xr:uid="{00000000-0005-0000-0000-00006D6C0000}"/>
    <cellStyle name="Normal 16 3 2 5" xfId="7206" xr:uid="{00000000-0005-0000-0000-00006E6C0000}"/>
    <cellStyle name="Normal 16 3 2 5 2" xfId="14445" xr:uid="{00000000-0005-0000-0000-00006F6C0000}"/>
    <cellStyle name="Normal 16 3 2 5 2 2" xfId="27994" xr:uid="{00000000-0005-0000-0000-0000706C0000}"/>
    <cellStyle name="Normal 16 3 2 5 3" xfId="31522" xr:uid="{00000000-0005-0000-0000-0000716C0000}"/>
    <cellStyle name="Normal 16 3 2 6" xfId="7207" xr:uid="{00000000-0005-0000-0000-0000726C0000}"/>
    <cellStyle name="Normal 16 3 2 6 2" xfId="16331" xr:uid="{00000000-0005-0000-0000-0000736C0000}"/>
    <cellStyle name="Normal 16 3 2 6 2 2" xfId="29738" xr:uid="{00000000-0005-0000-0000-0000746C0000}"/>
    <cellStyle name="Normal 16 3 2 6 3" xfId="31523" xr:uid="{00000000-0005-0000-0000-0000756C0000}"/>
    <cellStyle name="Normal 16 3 2 7" xfId="10166" xr:uid="{00000000-0005-0000-0000-0000766C0000}"/>
    <cellStyle name="Normal 16 3 2 7 2" xfId="24390" xr:uid="{00000000-0005-0000-0000-0000776C0000}"/>
    <cellStyle name="Normal 16 3 2 8" xfId="31517" xr:uid="{00000000-0005-0000-0000-0000786C0000}"/>
    <cellStyle name="Normal 16 3 3" xfId="7208" xr:uid="{00000000-0005-0000-0000-0000796C0000}"/>
    <cellStyle name="Normal 16 3 3 2" xfId="7209" xr:uid="{00000000-0005-0000-0000-00007A6C0000}"/>
    <cellStyle name="Normal 16 3 3 2 2" xfId="16623" xr:uid="{00000000-0005-0000-0000-00007B6C0000}"/>
    <cellStyle name="Normal 16 3 3 2 2 2" xfId="30030" xr:uid="{00000000-0005-0000-0000-00007C6C0000}"/>
    <cellStyle name="Normal 16 3 3 2 3" xfId="31525" xr:uid="{00000000-0005-0000-0000-00007D6C0000}"/>
    <cellStyle name="Normal 16 3 3 3" xfId="11540" xr:uid="{00000000-0005-0000-0000-00007E6C0000}"/>
    <cellStyle name="Normal 16 3 3 3 2" xfId="25372" xr:uid="{00000000-0005-0000-0000-00007F6C0000}"/>
    <cellStyle name="Normal 16 3 3 4" xfId="31524" xr:uid="{00000000-0005-0000-0000-0000806C0000}"/>
    <cellStyle name="Normal 16 3 4" xfId="7210" xr:uid="{00000000-0005-0000-0000-0000816C0000}"/>
    <cellStyle name="Normal 16 3 4 2" xfId="12000" xr:uid="{00000000-0005-0000-0000-0000826C0000}"/>
    <cellStyle name="Normal 16 3 4 2 2" xfId="25715" xr:uid="{00000000-0005-0000-0000-0000836C0000}"/>
    <cellStyle name="Normal 16 3 4 3" xfId="31526" xr:uid="{00000000-0005-0000-0000-0000846C0000}"/>
    <cellStyle name="Normal 16 3 5" xfId="7211" xr:uid="{00000000-0005-0000-0000-0000856C0000}"/>
    <cellStyle name="Normal 16 3 5 2" xfId="13575" xr:uid="{00000000-0005-0000-0000-0000866C0000}"/>
    <cellStyle name="Normal 16 3 5 2 2" xfId="27124" xr:uid="{00000000-0005-0000-0000-0000876C0000}"/>
    <cellStyle name="Normal 16 3 5 3" xfId="31527" xr:uid="{00000000-0005-0000-0000-0000886C0000}"/>
    <cellStyle name="Normal 16 3 6" xfId="7212" xr:uid="{00000000-0005-0000-0000-0000896C0000}"/>
    <cellStyle name="Normal 16 3 6 2" xfId="14156" xr:uid="{00000000-0005-0000-0000-00008A6C0000}"/>
    <cellStyle name="Normal 16 3 6 2 2" xfId="27705" xr:uid="{00000000-0005-0000-0000-00008B6C0000}"/>
    <cellStyle name="Normal 16 3 6 3" xfId="31528" xr:uid="{00000000-0005-0000-0000-00008C6C0000}"/>
    <cellStyle name="Normal 16 3 7" xfId="7213" xr:uid="{00000000-0005-0000-0000-00008D6C0000}"/>
    <cellStyle name="Normal 16 3 7 2" xfId="16042" xr:uid="{00000000-0005-0000-0000-00008E6C0000}"/>
    <cellStyle name="Normal 16 3 7 2 2" xfId="29449" xr:uid="{00000000-0005-0000-0000-00008F6C0000}"/>
    <cellStyle name="Normal 16 3 7 3" xfId="31529" xr:uid="{00000000-0005-0000-0000-0000906C0000}"/>
    <cellStyle name="Normal 16 3 8" xfId="10165" xr:uid="{00000000-0005-0000-0000-0000916C0000}"/>
    <cellStyle name="Normal 16 3 8 2" xfId="24389" xr:uid="{00000000-0005-0000-0000-0000926C0000}"/>
    <cellStyle name="Normal 16 3 9" xfId="31516" xr:uid="{00000000-0005-0000-0000-0000936C0000}"/>
    <cellStyle name="Normal 16 4" xfId="7214" xr:uid="{00000000-0005-0000-0000-0000946C0000}"/>
    <cellStyle name="Normal 16 4 2" xfId="7215" xr:uid="{00000000-0005-0000-0000-0000956C0000}"/>
    <cellStyle name="Normal 16 4 2 2" xfId="7216" xr:uid="{00000000-0005-0000-0000-0000966C0000}"/>
    <cellStyle name="Normal 16 4 2 2 2" xfId="16769" xr:uid="{00000000-0005-0000-0000-0000976C0000}"/>
    <cellStyle name="Normal 16 4 2 2 2 2" xfId="30176" xr:uid="{00000000-0005-0000-0000-0000986C0000}"/>
    <cellStyle name="Normal 16 4 2 2 3" xfId="31532" xr:uid="{00000000-0005-0000-0000-0000996C0000}"/>
    <cellStyle name="Normal 16 4 2 3" xfId="11542" xr:uid="{00000000-0005-0000-0000-00009A6C0000}"/>
    <cellStyle name="Normal 16 4 2 3 2" xfId="25374" xr:uid="{00000000-0005-0000-0000-00009B6C0000}"/>
    <cellStyle name="Normal 16 4 2 4" xfId="31531" xr:uid="{00000000-0005-0000-0000-00009C6C0000}"/>
    <cellStyle name="Normal 16 4 3" xfId="7217" xr:uid="{00000000-0005-0000-0000-00009D6C0000}"/>
    <cellStyle name="Normal 16 4 3 2" xfId="12157" xr:uid="{00000000-0005-0000-0000-00009E6C0000}"/>
    <cellStyle name="Normal 16 4 3 2 2" xfId="25869" xr:uid="{00000000-0005-0000-0000-00009F6C0000}"/>
    <cellStyle name="Normal 16 4 3 3" xfId="31533" xr:uid="{00000000-0005-0000-0000-0000A06C0000}"/>
    <cellStyle name="Normal 16 4 4" xfId="7218" xr:uid="{00000000-0005-0000-0000-0000A16C0000}"/>
    <cellStyle name="Normal 16 4 4 2" xfId="13721" xr:uid="{00000000-0005-0000-0000-0000A26C0000}"/>
    <cellStyle name="Normal 16 4 4 2 2" xfId="27270" xr:uid="{00000000-0005-0000-0000-0000A36C0000}"/>
    <cellStyle name="Normal 16 4 4 3" xfId="31534" xr:uid="{00000000-0005-0000-0000-0000A46C0000}"/>
    <cellStyle name="Normal 16 4 5" xfId="7219" xr:uid="{00000000-0005-0000-0000-0000A56C0000}"/>
    <cellStyle name="Normal 16 4 5 2" xfId="14302" xr:uid="{00000000-0005-0000-0000-0000A66C0000}"/>
    <cellStyle name="Normal 16 4 5 2 2" xfId="27851" xr:uid="{00000000-0005-0000-0000-0000A76C0000}"/>
    <cellStyle name="Normal 16 4 5 3" xfId="31535" xr:uid="{00000000-0005-0000-0000-0000A86C0000}"/>
    <cellStyle name="Normal 16 4 6" xfId="7220" xr:uid="{00000000-0005-0000-0000-0000A96C0000}"/>
    <cellStyle name="Normal 16 4 6 2" xfId="16188" xr:uid="{00000000-0005-0000-0000-0000AA6C0000}"/>
    <cellStyle name="Normal 16 4 6 2 2" xfId="29595" xr:uid="{00000000-0005-0000-0000-0000AB6C0000}"/>
    <cellStyle name="Normal 16 4 6 3" xfId="31536" xr:uid="{00000000-0005-0000-0000-0000AC6C0000}"/>
    <cellStyle name="Normal 16 4 7" xfId="10167" xr:uid="{00000000-0005-0000-0000-0000AD6C0000}"/>
    <cellStyle name="Normal 16 4 7 2" xfId="24391" xr:uid="{00000000-0005-0000-0000-0000AE6C0000}"/>
    <cellStyle name="Normal 16 4 8" xfId="31530" xr:uid="{00000000-0005-0000-0000-0000AF6C0000}"/>
    <cellStyle name="Normal 16 5" xfId="7221" xr:uid="{00000000-0005-0000-0000-0000B06C0000}"/>
    <cellStyle name="Normal 16 5 2" xfId="7222" xr:uid="{00000000-0005-0000-0000-0000B16C0000}"/>
    <cellStyle name="Normal 16 5 2 2" xfId="17116" xr:uid="{00000000-0005-0000-0000-0000B26C0000}"/>
    <cellStyle name="Normal 16 5 2 2 2" xfId="30475" xr:uid="{00000000-0005-0000-0000-0000B36C0000}"/>
    <cellStyle name="Normal 16 5 2 3" xfId="31538" xr:uid="{00000000-0005-0000-0000-0000B46C0000}"/>
    <cellStyle name="Normal 16 5 3" xfId="11535" xr:uid="{00000000-0005-0000-0000-0000B56C0000}"/>
    <cellStyle name="Normal 16 5 3 2" xfId="25367" xr:uid="{00000000-0005-0000-0000-0000B66C0000}"/>
    <cellStyle name="Normal 16 5 4" xfId="31537" xr:uid="{00000000-0005-0000-0000-0000B76C0000}"/>
    <cellStyle name="Normal 16 6" xfId="7223" xr:uid="{00000000-0005-0000-0000-0000B86C0000}"/>
    <cellStyle name="Normal 16 6 2" xfId="7224" xr:uid="{00000000-0005-0000-0000-0000B96C0000}"/>
    <cellStyle name="Normal 16 6 2 2" xfId="17205" xr:uid="{00000000-0005-0000-0000-0000BA6C0000}"/>
    <cellStyle name="Normal 16 6 2 2 2" xfId="30564" xr:uid="{00000000-0005-0000-0000-0000BB6C0000}"/>
    <cellStyle name="Normal 16 6 2 3" xfId="31540" xr:uid="{00000000-0005-0000-0000-0000BC6C0000}"/>
    <cellStyle name="Normal 16 6 3" xfId="11831" xr:uid="{00000000-0005-0000-0000-0000BD6C0000}"/>
    <cellStyle name="Normal 16 6 3 2" xfId="25546" xr:uid="{00000000-0005-0000-0000-0000BE6C0000}"/>
    <cellStyle name="Normal 16 6 4" xfId="31539" xr:uid="{00000000-0005-0000-0000-0000BF6C0000}"/>
    <cellStyle name="Normal 16 7" xfId="7225" xr:uid="{00000000-0005-0000-0000-0000C06C0000}"/>
    <cellStyle name="Normal 16 7 2" xfId="7226" xr:uid="{00000000-0005-0000-0000-0000C16C0000}"/>
    <cellStyle name="Normal 16 7 2 2" xfId="16480" xr:uid="{00000000-0005-0000-0000-0000C26C0000}"/>
    <cellStyle name="Normal 16 7 2 2 2" xfId="29887" xr:uid="{00000000-0005-0000-0000-0000C36C0000}"/>
    <cellStyle name="Normal 16 7 2 3" xfId="31542" xr:uid="{00000000-0005-0000-0000-0000C46C0000}"/>
    <cellStyle name="Normal 16 7 3" xfId="13432" xr:uid="{00000000-0005-0000-0000-0000C56C0000}"/>
    <cellStyle name="Normal 16 7 3 2" xfId="26981" xr:uid="{00000000-0005-0000-0000-0000C66C0000}"/>
    <cellStyle name="Normal 16 7 4" xfId="31541" xr:uid="{00000000-0005-0000-0000-0000C76C0000}"/>
    <cellStyle name="Normal 16 8" xfId="7227" xr:uid="{00000000-0005-0000-0000-0000C86C0000}"/>
    <cellStyle name="Normal 16 8 2" xfId="14013" xr:uid="{00000000-0005-0000-0000-0000C96C0000}"/>
    <cellStyle name="Normal 16 8 2 2" xfId="27562" xr:uid="{00000000-0005-0000-0000-0000CA6C0000}"/>
    <cellStyle name="Normal 16 8 3" xfId="31543" xr:uid="{00000000-0005-0000-0000-0000CB6C0000}"/>
    <cellStyle name="Normal 16 9" xfId="7228" xr:uid="{00000000-0005-0000-0000-0000CC6C0000}"/>
    <cellStyle name="Normal 16 9 2" xfId="15899" xr:uid="{00000000-0005-0000-0000-0000CD6C0000}"/>
    <cellStyle name="Normal 16 9 2 2" xfId="29306" xr:uid="{00000000-0005-0000-0000-0000CE6C0000}"/>
    <cellStyle name="Normal 16 9 3" xfId="31544" xr:uid="{00000000-0005-0000-0000-0000CF6C0000}"/>
    <cellStyle name="Normal 17" xfId="7229" xr:uid="{00000000-0005-0000-0000-0000D06C0000}"/>
    <cellStyle name="Normal 17 2" xfId="7230" xr:uid="{00000000-0005-0000-0000-0000D16C0000}"/>
    <cellStyle name="Normal 17 2 2" xfId="10169" xr:uid="{00000000-0005-0000-0000-0000D26C0000}"/>
    <cellStyle name="Normal 17 3" xfId="10168" xr:uid="{00000000-0005-0000-0000-0000D36C0000}"/>
    <cellStyle name="Normal 17 4" xfId="33102" xr:uid="{00000000-0005-0000-0000-0000D46C0000}"/>
    <cellStyle name="Normal 18" xfId="7231" xr:uid="{00000000-0005-0000-0000-0000D56C0000}"/>
    <cellStyle name="Normal 18 2" xfId="7232" xr:uid="{00000000-0005-0000-0000-0000D66C0000}"/>
    <cellStyle name="Normal 18 2 2" xfId="10171" xr:uid="{00000000-0005-0000-0000-0000D76C0000}"/>
    <cellStyle name="Normal 18 3" xfId="10170" xr:uid="{00000000-0005-0000-0000-0000D86C0000}"/>
    <cellStyle name="Normal 19" xfId="7233" xr:uid="{00000000-0005-0000-0000-0000D96C0000}"/>
    <cellStyle name="Normal 19 10" xfId="31545" xr:uid="{00000000-0005-0000-0000-0000DA6C0000}"/>
    <cellStyle name="Normal 19 2" xfId="7234" xr:uid="{00000000-0005-0000-0000-0000DB6C0000}"/>
    <cellStyle name="Normal 19 2 2" xfId="7235" xr:uid="{00000000-0005-0000-0000-0000DC6C0000}"/>
    <cellStyle name="Normal 19 2 2 2" xfId="7236" xr:uid="{00000000-0005-0000-0000-0000DD6C0000}"/>
    <cellStyle name="Normal 19 2 2 2 2" xfId="7237" xr:uid="{00000000-0005-0000-0000-0000DE6C0000}"/>
    <cellStyle name="Normal 19 2 2 2 2 2" xfId="16935" xr:uid="{00000000-0005-0000-0000-0000DF6C0000}"/>
    <cellStyle name="Normal 19 2 2 2 2 2 2" xfId="30342" xr:uid="{00000000-0005-0000-0000-0000E06C0000}"/>
    <cellStyle name="Normal 19 2 2 2 2 3" xfId="31549" xr:uid="{00000000-0005-0000-0000-0000E16C0000}"/>
    <cellStyle name="Normal 19 2 2 2 3" xfId="11545" xr:uid="{00000000-0005-0000-0000-0000E26C0000}"/>
    <cellStyle name="Normal 19 2 2 2 3 2" xfId="25377" xr:uid="{00000000-0005-0000-0000-0000E36C0000}"/>
    <cellStyle name="Normal 19 2 2 2 4" xfId="31548" xr:uid="{00000000-0005-0000-0000-0000E46C0000}"/>
    <cellStyle name="Normal 19 2 2 3" xfId="7238" xr:uid="{00000000-0005-0000-0000-0000E56C0000}"/>
    <cellStyle name="Normal 19 2 2 3 2" xfId="12323" xr:uid="{00000000-0005-0000-0000-0000E66C0000}"/>
    <cellStyle name="Normal 19 2 2 3 2 2" xfId="26035" xr:uid="{00000000-0005-0000-0000-0000E76C0000}"/>
    <cellStyle name="Normal 19 2 2 3 3" xfId="31550" xr:uid="{00000000-0005-0000-0000-0000E86C0000}"/>
    <cellStyle name="Normal 19 2 2 4" xfId="7239" xr:uid="{00000000-0005-0000-0000-0000E96C0000}"/>
    <cellStyle name="Normal 19 2 2 4 2" xfId="13887" xr:uid="{00000000-0005-0000-0000-0000EA6C0000}"/>
    <cellStyle name="Normal 19 2 2 4 2 2" xfId="27436" xr:uid="{00000000-0005-0000-0000-0000EB6C0000}"/>
    <cellStyle name="Normal 19 2 2 4 3" xfId="31551" xr:uid="{00000000-0005-0000-0000-0000EC6C0000}"/>
    <cellStyle name="Normal 19 2 2 5" xfId="7240" xr:uid="{00000000-0005-0000-0000-0000ED6C0000}"/>
    <cellStyle name="Normal 19 2 2 5 2" xfId="14468" xr:uid="{00000000-0005-0000-0000-0000EE6C0000}"/>
    <cellStyle name="Normal 19 2 2 5 2 2" xfId="28017" xr:uid="{00000000-0005-0000-0000-0000EF6C0000}"/>
    <cellStyle name="Normal 19 2 2 5 3" xfId="31552" xr:uid="{00000000-0005-0000-0000-0000F06C0000}"/>
    <cellStyle name="Normal 19 2 2 6" xfId="7241" xr:uid="{00000000-0005-0000-0000-0000F16C0000}"/>
    <cellStyle name="Normal 19 2 2 6 2" xfId="16354" xr:uid="{00000000-0005-0000-0000-0000F26C0000}"/>
    <cellStyle name="Normal 19 2 2 6 2 2" xfId="29761" xr:uid="{00000000-0005-0000-0000-0000F36C0000}"/>
    <cellStyle name="Normal 19 2 2 6 3" xfId="31553" xr:uid="{00000000-0005-0000-0000-0000F46C0000}"/>
    <cellStyle name="Normal 19 2 2 7" xfId="10174" xr:uid="{00000000-0005-0000-0000-0000F56C0000}"/>
    <cellStyle name="Normal 19 2 2 7 2" xfId="24394" xr:uid="{00000000-0005-0000-0000-0000F66C0000}"/>
    <cellStyle name="Normal 19 2 2 8" xfId="31547" xr:uid="{00000000-0005-0000-0000-0000F76C0000}"/>
    <cellStyle name="Normal 19 2 3" xfId="7242" xr:uid="{00000000-0005-0000-0000-0000F86C0000}"/>
    <cellStyle name="Normal 19 2 3 2" xfId="7243" xr:uid="{00000000-0005-0000-0000-0000F96C0000}"/>
    <cellStyle name="Normal 19 2 3 2 2" xfId="16646" xr:uid="{00000000-0005-0000-0000-0000FA6C0000}"/>
    <cellStyle name="Normal 19 2 3 2 2 2" xfId="30053" xr:uid="{00000000-0005-0000-0000-0000FB6C0000}"/>
    <cellStyle name="Normal 19 2 3 2 3" xfId="31555" xr:uid="{00000000-0005-0000-0000-0000FC6C0000}"/>
    <cellStyle name="Normal 19 2 3 3" xfId="11544" xr:uid="{00000000-0005-0000-0000-0000FD6C0000}"/>
    <cellStyle name="Normal 19 2 3 3 2" xfId="25376" xr:uid="{00000000-0005-0000-0000-0000FE6C0000}"/>
    <cellStyle name="Normal 19 2 3 4" xfId="31554" xr:uid="{00000000-0005-0000-0000-0000FF6C0000}"/>
    <cellStyle name="Normal 19 2 4" xfId="7244" xr:uid="{00000000-0005-0000-0000-0000006D0000}"/>
    <cellStyle name="Normal 19 2 4 2" xfId="12023" xr:uid="{00000000-0005-0000-0000-0000016D0000}"/>
    <cellStyle name="Normal 19 2 4 2 2" xfId="25738" xr:uid="{00000000-0005-0000-0000-0000026D0000}"/>
    <cellStyle name="Normal 19 2 4 3" xfId="31556" xr:uid="{00000000-0005-0000-0000-0000036D0000}"/>
    <cellStyle name="Normal 19 2 5" xfId="7245" xr:uid="{00000000-0005-0000-0000-0000046D0000}"/>
    <cellStyle name="Normal 19 2 5 2" xfId="13598" xr:uid="{00000000-0005-0000-0000-0000056D0000}"/>
    <cellStyle name="Normal 19 2 5 2 2" xfId="27147" xr:uid="{00000000-0005-0000-0000-0000066D0000}"/>
    <cellStyle name="Normal 19 2 5 3" xfId="31557" xr:uid="{00000000-0005-0000-0000-0000076D0000}"/>
    <cellStyle name="Normal 19 2 6" xfId="7246" xr:uid="{00000000-0005-0000-0000-0000086D0000}"/>
    <cellStyle name="Normal 19 2 6 2" xfId="14179" xr:uid="{00000000-0005-0000-0000-0000096D0000}"/>
    <cellStyle name="Normal 19 2 6 2 2" xfId="27728" xr:uid="{00000000-0005-0000-0000-00000A6D0000}"/>
    <cellStyle name="Normal 19 2 6 3" xfId="31558" xr:uid="{00000000-0005-0000-0000-00000B6D0000}"/>
    <cellStyle name="Normal 19 2 7" xfId="7247" xr:uid="{00000000-0005-0000-0000-00000C6D0000}"/>
    <cellStyle name="Normal 19 2 7 2" xfId="16065" xr:uid="{00000000-0005-0000-0000-00000D6D0000}"/>
    <cellStyle name="Normal 19 2 7 2 2" xfId="29472" xr:uid="{00000000-0005-0000-0000-00000E6D0000}"/>
    <cellStyle name="Normal 19 2 7 3" xfId="31559" xr:uid="{00000000-0005-0000-0000-00000F6D0000}"/>
    <cellStyle name="Normal 19 2 8" xfId="10173" xr:uid="{00000000-0005-0000-0000-0000106D0000}"/>
    <cellStyle name="Normal 19 2 8 2" xfId="24393" xr:uid="{00000000-0005-0000-0000-0000116D0000}"/>
    <cellStyle name="Normal 19 2 9" xfId="31546" xr:uid="{00000000-0005-0000-0000-0000126D0000}"/>
    <cellStyle name="Normal 19 3" xfId="7248" xr:uid="{00000000-0005-0000-0000-0000136D0000}"/>
    <cellStyle name="Normal 19 3 2" xfId="7249" xr:uid="{00000000-0005-0000-0000-0000146D0000}"/>
    <cellStyle name="Normal 19 3 2 2" xfId="7250" xr:uid="{00000000-0005-0000-0000-0000156D0000}"/>
    <cellStyle name="Normal 19 3 2 2 2" xfId="16792" xr:uid="{00000000-0005-0000-0000-0000166D0000}"/>
    <cellStyle name="Normal 19 3 2 2 2 2" xfId="30199" xr:uid="{00000000-0005-0000-0000-0000176D0000}"/>
    <cellStyle name="Normal 19 3 2 2 3" xfId="31562" xr:uid="{00000000-0005-0000-0000-0000186D0000}"/>
    <cellStyle name="Normal 19 3 2 3" xfId="11546" xr:uid="{00000000-0005-0000-0000-0000196D0000}"/>
    <cellStyle name="Normal 19 3 2 3 2" xfId="25378" xr:uid="{00000000-0005-0000-0000-00001A6D0000}"/>
    <cellStyle name="Normal 19 3 2 4" xfId="31561" xr:uid="{00000000-0005-0000-0000-00001B6D0000}"/>
    <cellStyle name="Normal 19 3 3" xfId="7251" xr:uid="{00000000-0005-0000-0000-00001C6D0000}"/>
    <cellStyle name="Normal 19 3 3 2" xfId="12180" xr:uid="{00000000-0005-0000-0000-00001D6D0000}"/>
    <cellStyle name="Normal 19 3 3 2 2" xfId="25892" xr:uid="{00000000-0005-0000-0000-00001E6D0000}"/>
    <cellStyle name="Normal 19 3 3 3" xfId="31563" xr:uid="{00000000-0005-0000-0000-00001F6D0000}"/>
    <cellStyle name="Normal 19 3 4" xfId="7252" xr:uid="{00000000-0005-0000-0000-0000206D0000}"/>
    <cellStyle name="Normal 19 3 4 2" xfId="13744" xr:uid="{00000000-0005-0000-0000-0000216D0000}"/>
    <cellStyle name="Normal 19 3 4 2 2" xfId="27293" xr:uid="{00000000-0005-0000-0000-0000226D0000}"/>
    <cellStyle name="Normal 19 3 4 3" xfId="31564" xr:uid="{00000000-0005-0000-0000-0000236D0000}"/>
    <cellStyle name="Normal 19 3 5" xfId="7253" xr:uid="{00000000-0005-0000-0000-0000246D0000}"/>
    <cellStyle name="Normal 19 3 5 2" xfId="14325" xr:uid="{00000000-0005-0000-0000-0000256D0000}"/>
    <cellStyle name="Normal 19 3 5 2 2" xfId="27874" xr:uid="{00000000-0005-0000-0000-0000266D0000}"/>
    <cellStyle name="Normal 19 3 5 3" xfId="31565" xr:uid="{00000000-0005-0000-0000-0000276D0000}"/>
    <cellStyle name="Normal 19 3 6" xfId="7254" xr:uid="{00000000-0005-0000-0000-0000286D0000}"/>
    <cellStyle name="Normal 19 3 6 2" xfId="16211" xr:uid="{00000000-0005-0000-0000-0000296D0000}"/>
    <cellStyle name="Normal 19 3 6 2 2" xfId="29618" xr:uid="{00000000-0005-0000-0000-00002A6D0000}"/>
    <cellStyle name="Normal 19 3 6 3" xfId="31566" xr:uid="{00000000-0005-0000-0000-00002B6D0000}"/>
    <cellStyle name="Normal 19 3 7" xfId="10175" xr:uid="{00000000-0005-0000-0000-00002C6D0000}"/>
    <cellStyle name="Normal 19 3 7 2" xfId="24395" xr:uid="{00000000-0005-0000-0000-00002D6D0000}"/>
    <cellStyle name="Normal 19 3 8" xfId="31560" xr:uid="{00000000-0005-0000-0000-00002E6D0000}"/>
    <cellStyle name="Normal 19 4" xfId="7255" xr:uid="{00000000-0005-0000-0000-00002F6D0000}"/>
    <cellStyle name="Normal 19 4 2" xfId="7256" xr:uid="{00000000-0005-0000-0000-0000306D0000}"/>
    <cellStyle name="Normal 19 4 2 2" xfId="17139" xr:uid="{00000000-0005-0000-0000-0000316D0000}"/>
    <cellStyle name="Normal 19 4 2 2 2" xfId="30498" xr:uid="{00000000-0005-0000-0000-0000326D0000}"/>
    <cellStyle name="Normal 19 4 2 3" xfId="31568" xr:uid="{00000000-0005-0000-0000-0000336D0000}"/>
    <cellStyle name="Normal 19 4 3" xfId="11543" xr:uid="{00000000-0005-0000-0000-0000346D0000}"/>
    <cellStyle name="Normal 19 4 3 2" xfId="25375" xr:uid="{00000000-0005-0000-0000-0000356D0000}"/>
    <cellStyle name="Normal 19 4 4" xfId="31567" xr:uid="{00000000-0005-0000-0000-0000366D0000}"/>
    <cellStyle name="Normal 19 5" xfId="7257" xr:uid="{00000000-0005-0000-0000-0000376D0000}"/>
    <cellStyle name="Normal 19 5 2" xfId="7258" xr:uid="{00000000-0005-0000-0000-0000386D0000}"/>
    <cellStyle name="Normal 19 5 2 2" xfId="17228" xr:uid="{00000000-0005-0000-0000-0000396D0000}"/>
    <cellStyle name="Normal 19 5 2 2 2" xfId="30587" xr:uid="{00000000-0005-0000-0000-00003A6D0000}"/>
    <cellStyle name="Normal 19 5 2 3" xfId="31570" xr:uid="{00000000-0005-0000-0000-00003B6D0000}"/>
    <cellStyle name="Normal 19 5 3" xfId="11875" xr:uid="{00000000-0005-0000-0000-00003C6D0000}"/>
    <cellStyle name="Normal 19 5 3 2" xfId="25590" xr:uid="{00000000-0005-0000-0000-00003D6D0000}"/>
    <cellStyle name="Normal 19 5 4" xfId="31569" xr:uid="{00000000-0005-0000-0000-00003E6D0000}"/>
    <cellStyle name="Normal 19 6" xfId="7259" xr:uid="{00000000-0005-0000-0000-00003F6D0000}"/>
    <cellStyle name="Normal 19 6 2" xfId="7260" xr:uid="{00000000-0005-0000-0000-0000406D0000}"/>
    <cellStyle name="Normal 19 6 2 2" xfId="16503" xr:uid="{00000000-0005-0000-0000-0000416D0000}"/>
    <cellStyle name="Normal 19 6 2 2 2" xfId="29910" xr:uid="{00000000-0005-0000-0000-0000426D0000}"/>
    <cellStyle name="Normal 19 6 2 3" xfId="31572" xr:uid="{00000000-0005-0000-0000-0000436D0000}"/>
    <cellStyle name="Normal 19 6 3" xfId="13455" xr:uid="{00000000-0005-0000-0000-0000446D0000}"/>
    <cellStyle name="Normal 19 6 3 2" xfId="27004" xr:uid="{00000000-0005-0000-0000-0000456D0000}"/>
    <cellStyle name="Normal 19 6 4" xfId="31571" xr:uid="{00000000-0005-0000-0000-0000466D0000}"/>
    <cellStyle name="Normal 19 7" xfId="7261" xr:uid="{00000000-0005-0000-0000-0000476D0000}"/>
    <cellStyle name="Normal 19 7 2" xfId="14036" xr:uid="{00000000-0005-0000-0000-0000486D0000}"/>
    <cellStyle name="Normal 19 7 2 2" xfId="27585" xr:uid="{00000000-0005-0000-0000-0000496D0000}"/>
    <cellStyle name="Normal 19 7 3" xfId="31573" xr:uid="{00000000-0005-0000-0000-00004A6D0000}"/>
    <cellStyle name="Normal 19 8" xfId="7262" xr:uid="{00000000-0005-0000-0000-00004B6D0000}"/>
    <cellStyle name="Normal 19 8 2" xfId="15922" xr:uid="{00000000-0005-0000-0000-00004C6D0000}"/>
    <cellStyle name="Normal 19 8 2 2" xfId="29329" xr:uid="{00000000-0005-0000-0000-00004D6D0000}"/>
    <cellStyle name="Normal 19 8 3" xfId="31574" xr:uid="{00000000-0005-0000-0000-00004E6D0000}"/>
    <cellStyle name="Normal 19 9" xfId="10172" xr:uid="{00000000-0005-0000-0000-00004F6D0000}"/>
    <cellStyle name="Normal 19 9 2" xfId="24392" xr:uid="{00000000-0005-0000-0000-0000506D0000}"/>
    <cellStyle name="Normal 2" xfId="8" xr:uid="{00000000-0005-0000-0000-0000516D0000}"/>
    <cellStyle name="Normal 2 2" xfId="7263" xr:uid="{00000000-0005-0000-0000-0000526D0000}"/>
    <cellStyle name="Normal 2 2 2" xfId="7264" xr:uid="{00000000-0005-0000-0000-0000536D0000}"/>
    <cellStyle name="Normal 2 2 2 10" xfId="32939" xr:uid="{00000000-0005-0000-0000-0000546D0000}"/>
    <cellStyle name="Normal 2 2 2 11" xfId="32998" xr:uid="{00000000-0005-0000-0000-0000556D0000}"/>
    <cellStyle name="Normal 2 2 2 2" xfId="7265" xr:uid="{00000000-0005-0000-0000-0000566D0000}"/>
    <cellStyle name="Normal 2 2 2 2 2" xfId="11548" xr:uid="{00000000-0005-0000-0000-0000576D0000}"/>
    <cellStyle name="Normal 2 2 2 2 2 2" xfId="25379" xr:uid="{00000000-0005-0000-0000-0000586D0000}"/>
    <cellStyle name="Normal 2 2 2 2 3" xfId="31577" xr:uid="{00000000-0005-0000-0000-0000596D0000}"/>
    <cellStyle name="Normal 2 2 2 2 4" xfId="32947" xr:uid="{00000000-0005-0000-0000-00005A6D0000}"/>
    <cellStyle name="Normal 2 2 2 2 5" xfId="33005" xr:uid="{00000000-0005-0000-0000-00005B6D0000}"/>
    <cellStyle name="Normal 2 2 2 3" xfId="7266" xr:uid="{00000000-0005-0000-0000-00005C6D0000}"/>
    <cellStyle name="Normal 2 2 2 3 2" xfId="13246" xr:uid="{00000000-0005-0000-0000-00005D6D0000}"/>
    <cellStyle name="Normal 2 2 2 3 2 2" xfId="26889" xr:uid="{00000000-0005-0000-0000-00005E6D0000}"/>
    <cellStyle name="Normal 2 2 2 3 3" xfId="31578" xr:uid="{00000000-0005-0000-0000-00005F6D0000}"/>
    <cellStyle name="Normal 2 2 2 4" xfId="7267" xr:uid="{00000000-0005-0000-0000-0000606D0000}"/>
    <cellStyle name="Normal 2 2 2 4 2" xfId="15695" xr:uid="{00000000-0005-0000-0000-0000616D0000}"/>
    <cellStyle name="Normal 2 2 2 4 2 2" xfId="29181" xr:uid="{00000000-0005-0000-0000-0000626D0000}"/>
    <cellStyle name="Normal 2 2 2 4 3" xfId="31579" xr:uid="{00000000-0005-0000-0000-0000636D0000}"/>
    <cellStyle name="Normal 2 2 2 5" xfId="7268" xr:uid="{00000000-0005-0000-0000-0000646D0000}"/>
    <cellStyle name="Normal 2 2 2 5 2" xfId="15804" xr:uid="{00000000-0005-0000-0000-0000656D0000}"/>
    <cellStyle name="Normal 2 2 2 5 2 2" xfId="29211" xr:uid="{00000000-0005-0000-0000-0000666D0000}"/>
    <cellStyle name="Normal 2 2 2 5 3" xfId="31580" xr:uid="{00000000-0005-0000-0000-0000676D0000}"/>
    <cellStyle name="Normal 2 2 2 6" xfId="7269" xr:uid="{00000000-0005-0000-0000-0000686D0000}"/>
    <cellStyle name="Normal 2 2 2 6 2" xfId="17040" xr:uid="{00000000-0005-0000-0000-0000696D0000}"/>
    <cellStyle name="Normal 2 2 2 6 3" xfId="31581" xr:uid="{00000000-0005-0000-0000-00006A6D0000}"/>
    <cellStyle name="Normal 2 2 2 7" xfId="8713" xr:uid="{00000000-0005-0000-0000-00006B6D0000}"/>
    <cellStyle name="Normal 2 2 2 7 2" xfId="17325" xr:uid="{00000000-0005-0000-0000-00006C6D0000}"/>
    <cellStyle name="Normal 2 2 2 7 2 2" xfId="30678" xr:uid="{00000000-0005-0000-0000-00006D6D0000}"/>
    <cellStyle name="Normal 2 2 2 7 3" xfId="23232" xr:uid="{00000000-0005-0000-0000-00006E6D0000}"/>
    <cellStyle name="Normal 2 2 2 8" xfId="8809" xr:uid="{00000000-0005-0000-0000-00006F6D0000}"/>
    <cellStyle name="Normal 2 2 2 8 2" xfId="23287" xr:uid="{00000000-0005-0000-0000-0000706D0000}"/>
    <cellStyle name="Normal 2 2 2 9" xfId="31576" xr:uid="{00000000-0005-0000-0000-0000716D0000}"/>
    <cellStyle name="Normal 2 2 3" xfId="7270" xr:uid="{00000000-0005-0000-0000-0000726D0000}"/>
    <cellStyle name="Normal 2 2 3 2" xfId="7271" xr:uid="{00000000-0005-0000-0000-0000736D0000}"/>
    <cellStyle name="Normal 2 2 3 2 2" xfId="11692" xr:uid="{00000000-0005-0000-0000-0000746D0000}"/>
    <cellStyle name="Normal 2 2 3 2 3" xfId="31583" xr:uid="{00000000-0005-0000-0000-0000756D0000}"/>
    <cellStyle name="Normal 2 2 3 3" xfId="10177" xr:uid="{00000000-0005-0000-0000-0000766D0000}"/>
    <cellStyle name="Normal 2 2 3 4" xfId="31582" xr:uid="{00000000-0005-0000-0000-0000776D0000}"/>
    <cellStyle name="Normal 2 2 4" xfId="7272" xr:uid="{00000000-0005-0000-0000-0000786D0000}"/>
    <cellStyle name="Normal 2 2 4 2" xfId="11547" xr:uid="{00000000-0005-0000-0000-0000796D0000}"/>
    <cellStyle name="Normal 2 2 4 3" xfId="31584" xr:uid="{00000000-0005-0000-0000-00007A6D0000}"/>
    <cellStyle name="Normal 2 2 5" xfId="8702" xr:uid="{00000000-0005-0000-0000-00007B6D0000}"/>
    <cellStyle name="Normal 2 2 6" xfId="31575" xr:uid="{00000000-0005-0000-0000-00007C6D0000}"/>
    <cellStyle name="Normal 2 3" xfId="7273" xr:uid="{00000000-0005-0000-0000-00007D6D0000}"/>
    <cellStyle name="Normal 2 3 2" xfId="7274" xr:uid="{00000000-0005-0000-0000-00007E6D0000}"/>
    <cellStyle name="Normal 2 3 2 2" xfId="10178" xr:uid="{00000000-0005-0000-0000-00007F6D0000}"/>
    <cellStyle name="Normal 2 3 3" xfId="7275" xr:uid="{00000000-0005-0000-0000-0000806D0000}"/>
    <cellStyle name="Normal 2 3 3 2" xfId="7276" xr:uid="{00000000-0005-0000-0000-0000816D0000}"/>
    <cellStyle name="Normal 2 3 3 2 2" xfId="10180" xr:uid="{00000000-0005-0000-0000-0000826D0000}"/>
    <cellStyle name="Normal 2 3 3 3" xfId="7277" xr:uid="{00000000-0005-0000-0000-0000836D0000}"/>
    <cellStyle name="Normal 2 3 3 3 2" xfId="13247" xr:uid="{00000000-0005-0000-0000-0000846D0000}"/>
    <cellStyle name="Normal 2 3 3 4" xfId="10179" xr:uid="{00000000-0005-0000-0000-0000856D0000}"/>
    <cellStyle name="Normal 2 3 4" xfId="7278" xr:uid="{00000000-0005-0000-0000-0000866D0000}"/>
    <cellStyle name="Normal 2 3 4 2" xfId="7279" xr:uid="{00000000-0005-0000-0000-0000876D0000}"/>
    <cellStyle name="Normal 2 3 4 2 2" xfId="13248" xr:uid="{00000000-0005-0000-0000-0000886D0000}"/>
    <cellStyle name="Normal 2 3 4 3" xfId="10520" xr:uid="{00000000-0005-0000-0000-0000896D0000}"/>
    <cellStyle name="Normal 2 3 5" xfId="8710" xr:uid="{00000000-0005-0000-0000-00008A6D0000}"/>
    <cellStyle name="Normal 2 3 6" xfId="33044" xr:uid="{00000000-0005-0000-0000-00008B6D0000}"/>
    <cellStyle name="Normal 2 4" xfId="7280" xr:uid="{00000000-0005-0000-0000-00008C6D0000}"/>
    <cellStyle name="Normal 2 4 2" xfId="7281" xr:uid="{00000000-0005-0000-0000-00008D6D0000}"/>
    <cellStyle name="Normal 2 4 2 2" xfId="10181" xr:uid="{00000000-0005-0000-0000-00008E6D0000}"/>
    <cellStyle name="Normal 2 4 2 3" xfId="31585" xr:uid="{00000000-0005-0000-0000-00008F6D0000}"/>
    <cellStyle name="Normal 2 4 3" xfId="8676" xr:uid="{00000000-0005-0000-0000-0000906D0000}"/>
    <cellStyle name="Normal 2 4 4" xfId="33093" xr:uid="{00000000-0005-0000-0000-0000916D0000}"/>
    <cellStyle name="Normal 2 5" xfId="7282" xr:uid="{00000000-0005-0000-0000-0000926D0000}"/>
    <cellStyle name="Normal 2 5 2" xfId="7283" xr:uid="{00000000-0005-0000-0000-0000936D0000}"/>
    <cellStyle name="Normal 2 5 2 2" xfId="10183" xr:uid="{00000000-0005-0000-0000-0000946D0000}"/>
    <cellStyle name="Normal 2 5 3" xfId="7284" xr:uid="{00000000-0005-0000-0000-0000956D0000}"/>
    <cellStyle name="Normal 2 5 3 2" xfId="13249" xr:uid="{00000000-0005-0000-0000-0000966D0000}"/>
    <cellStyle name="Normal 2 5 4" xfId="7285" xr:uid="{00000000-0005-0000-0000-0000976D0000}"/>
    <cellStyle name="Normal 2 5 4 2" xfId="17344" xr:uid="{00000000-0005-0000-0000-0000986D0000}"/>
    <cellStyle name="Normal 2 5 5" xfId="8737" xr:uid="{00000000-0005-0000-0000-0000996D0000}"/>
    <cellStyle name="Normal 2 5 6" xfId="10182" xr:uid="{00000000-0005-0000-0000-00009A6D0000}"/>
    <cellStyle name="Normal 2 6" xfId="7286" xr:uid="{00000000-0005-0000-0000-00009B6D0000}"/>
    <cellStyle name="Normal 2 6 2" xfId="7287" xr:uid="{00000000-0005-0000-0000-00009C6D0000}"/>
    <cellStyle name="Normal 2 6 2 2" xfId="17345" xr:uid="{00000000-0005-0000-0000-00009D6D0000}"/>
    <cellStyle name="Normal 2 6 2 3" xfId="31587" xr:uid="{00000000-0005-0000-0000-00009E6D0000}"/>
    <cellStyle name="Normal 2 6 3" xfId="8722" xr:uid="{00000000-0005-0000-0000-00009F6D0000}"/>
    <cellStyle name="Normal 2 6 4" xfId="10184" xr:uid="{00000000-0005-0000-0000-0000A06D0000}"/>
    <cellStyle name="Normal 2 6 5" xfId="31586" xr:uid="{00000000-0005-0000-0000-0000A16D0000}"/>
    <cellStyle name="Normal 2 7" xfId="7288" xr:uid="{00000000-0005-0000-0000-0000A26D0000}"/>
    <cellStyle name="Normal 2 7 2" xfId="7289" xr:uid="{00000000-0005-0000-0000-0000A36D0000}"/>
    <cellStyle name="Normal 2 7 2 2" xfId="13250" xr:uid="{00000000-0005-0000-0000-0000A46D0000}"/>
    <cellStyle name="Normal 2 7 3" xfId="10519" xr:uid="{00000000-0005-0000-0000-0000A56D0000}"/>
    <cellStyle name="Normal 2 8" xfId="8652" xr:uid="{00000000-0005-0000-0000-0000A66D0000}"/>
    <cellStyle name="Normal 2 8 2" xfId="10176" xr:uid="{00000000-0005-0000-0000-0000A76D0000}"/>
    <cellStyle name="Normal 2 9" xfId="17300" xr:uid="{00000000-0005-0000-0000-0000A86D0000}"/>
    <cellStyle name="Normal 20" xfId="7290" xr:uid="{00000000-0005-0000-0000-0000A96D0000}"/>
    <cellStyle name="Normal 20 2" xfId="10185" xr:uid="{00000000-0005-0000-0000-0000AA6D0000}"/>
    <cellStyle name="Normal 21" xfId="7291" xr:uid="{00000000-0005-0000-0000-0000AB6D0000}"/>
    <cellStyle name="Normal 21 2" xfId="7292" xr:uid="{00000000-0005-0000-0000-0000AC6D0000}"/>
    <cellStyle name="Normal 21 2 2" xfId="13251" xr:uid="{00000000-0005-0000-0000-0000AD6D0000}"/>
    <cellStyle name="Normal 21 2 3" xfId="31589" xr:uid="{00000000-0005-0000-0000-0000AE6D0000}"/>
    <cellStyle name="Normal 21 3" xfId="10186" xr:uid="{00000000-0005-0000-0000-0000AF6D0000}"/>
    <cellStyle name="Normal 21 4" xfId="31588" xr:uid="{00000000-0005-0000-0000-0000B06D0000}"/>
    <cellStyle name="Normal 22" xfId="7293" xr:uid="{00000000-0005-0000-0000-0000B16D0000}"/>
    <cellStyle name="Normal 22 2" xfId="7294" xr:uid="{00000000-0005-0000-0000-0000B26D0000}"/>
    <cellStyle name="Normal 22 2 2" xfId="10188" xr:uid="{00000000-0005-0000-0000-0000B36D0000}"/>
    <cellStyle name="Normal 22 2 3" xfId="31591" xr:uid="{00000000-0005-0000-0000-0000B46D0000}"/>
    <cellStyle name="Normal 22 3" xfId="7295" xr:uid="{00000000-0005-0000-0000-0000B56D0000}"/>
    <cellStyle name="Normal 22 3 2" xfId="13253" xr:uid="{00000000-0005-0000-0000-0000B66D0000}"/>
    <cellStyle name="Normal 22 3 3" xfId="31592" xr:uid="{00000000-0005-0000-0000-0000B76D0000}"/>
    <cellStyle name="Normal 22 4" xfId="7296" xr:uid="{00000000-0005-0000-0000-0000B86D0000}"/>
    <cellStyle name="Normal 22 4 2" xfId="13252" xr:uid="{00000000-0005-0000-0000-0000B96D0000}"/>
    <cellStyle name="Normal 22 4 3" xfId="31593" xr:uid="{00000000-0005-0000-0000-0000BA6D0000}"/>
    <cellStyle name="Normal 22 5" xfId="10187" xr:uid="{00000000-0005-0000-0000-0000BB6D0000}"/>
    <cellStyle name="Normal 22 6" xfId="31590" xr:uid="{00000000-0005-0000-0000-0000BC6D0000}"/>
    <cellStyle name="Normal 23" xfId="7297" xr:uid="{00000000-0005-0000-0000-0000BD6D0000}"/>
    <cellStyle name="Normal 23 2" xfId="10189" xr:uid="{00000000-0005-0000-0000-0000BE6D0000}"/>
    <cellStyle name="Normal 23 3" xfId="31594" xr:uid="{00000000-0005-0000-0000-0000BF6D0000}"/>
    <cellStyle name="Normal 24" xfId="8651" xr:uid="{00000000-0005-0000-0000-0000C06D0000}"/>
    <cellStyle name="Normal 24 2" xfId="17330" xr:uid="{00000000-0005-0000-0000-0000C16D0000}"/>
    <cellStyle name="Normal 24 3" xfId="8819" xr:uid="{00000000-0005-0000-0000-0000C26D0000}"/>
    <cellStyle name="Normal 24 4" xfId="23201" xr:uid="{00000000-0005-0000-0000-0000C36D0000}"/>
    <cellStyle name="Normal 25" xfId="17299" xr:uid="{00000000-0005-0000-0000-0000C46D0000}"/>
    <cellStyle name="Normal 25 2" xfId="30655" xr:uid="{00000000-0005-0000-0000-0000C56D0000}"/>
    <cellStyle name="Normal 26" xfId="8788" xr:uid="{00000000-0005-0000-0000-0000C66D0000}"/>
    <cellStyle name="Normal 26 2" xfId="23266" xr:uid="{00000000-0005-0000-0000-0000C76D0000}"/>
    <cellStyle name="Normal 27" xfId="32910" xr:uid="{00000000-0005-0000-0000-0000C86D0000}"/>
    <cellStyle name="Normal 28" xfId="52" xr:uid="{00000000-0005-0000-0000-0000C96D0000}"/>
    <cellStyle name="Normal 29" xfId="33032" xr:uid="{00000000-0005-0000-0000-0000CA6D0000}"/>
    <cellStyle name="Normal 3" xfId="13" xr:uid="{00000000-0005-0000-0000-0000CB6D0000}"/>
    <cellStyle name="Normal 3 10" xfId="7299" xr:uid="{00000000-0005-0000-0000-0000CC6D0000}"/>
    <cellStyle name="Normal 3 10 2" xfId="7300" xr:uid="{00000000-0005-0000-0000-0000CD6D0000}"/>
    <cellStyle name="Normal 3 10 2 2" xfId="11728" xr:uid="{00000000-0005-0000-0000-0000CE6D0000}"/>
    <cellStyle name="Normal 3 10 2 2 2" xfId="25447" xr:uid="{00000000-0005-0000-0000-0000CF6D0000}"/>
    <cellStyle name="Normal 3 10 2 3" xfId="31596" xr:uid="{00000000-0005-0000-0000-0000D06D0000}"/>
    <cellStyle name="Normal 3 10 2 4" xfId="32949" xr:uid="{00000000-0005-0000-0000-0000D16D0000}"/>
    <cellStyle name="Normal 3 10 2 5" xfId="33007" xr:uid="{00000000-0005-0000-0000-0000D26D0000}"/>
    <cellStyle name="Normal 3 10 3" xfId="7301" xr:uid="{00000000-0005-0000-0000-0000D36D0000}"/>
    <cellStyle name="Normal 3 10 3 2" xfId="10190" xr:uid="{00000000-0005-0000-0000-0000D46D0000}"/>
    <cellStyle name="Normal 3 10 3 3" xfId="31597" xr:uid="{00000000-0005-0000-0000-0000D56D0000}"/>
    <cellStyle name="Normal 3 10 4" xfId="8680" xr:uid="{00000000-0005-0000-0000-0000D66D0000}"/>
    <cellStyle name="Normal 3 10 4 2" xfId="17305" xr:uid="{00000000-0005-0000-0000-0000D76D0000}"/>
    <cellStyle name="Normal 3 10 4 2 2" xfId="30658" xr:uid="{00000000-0005-0000-0000-0000D86D0000}"/>
    <cellStyle name="Normal 3 10 4 3" xfId="23210" xr:uid="{00000000-0005-0000-0000-0000D96D0000}"/>
    <cellStyle name="Normal 3 10 5" xfId="8789" xr:uid="{00000000-0005-0000-0000-0000DA6D0000}"/>
    <cellStyle name="Normal 3 10 5 2" xfId="23267" xr:uid="{00000000-0005-0000-0000-0000DB6D0000}"/>
    <cellStyle name="Normal 3 10 6" xfId="31595" xr:uid="{00000000-0005-0000-0000-0000DC6D0000}"/>
    <cellStyle name="Normal 3 10 7" xfId="32918" xr:uid="{00000000-0005-0000-0000-0000DD6D0000}"/>
    <cellStyle name="Normal 3 10 8" xfId="32978" xr:uid="{00000000-0005-0000-0000-0000DE6D0000}"/>
    <cellStyle name="Normal 3 11" xfId="7302" xr:uid="{00000000-0005-0000-0000-0000DF6D0000}"/>
    <cellStyle name="Normal 3 11 2" xfId="7303" xr:uid="{00000000-0005-0000-0000-0000E06D0000}"/>
    <cellStyle name="Normal 3 11 2 2" xfId="13254" xr:uid="{00000000-0005-0000-0000-0000E16D0000}"/>
    <cellStyle name="Normal 3 11 2 2 2" xfId="26890" xr:uid="{00000000-0005-0000-0000-0000E26D0000}"/>
    <cellStyle name="Normal 3 11 2 3" xfId="31599" xr:uid="{00000000-0005-0000-0000-0000E36D0000}"/>
    <cellStyle name="Normal 3 11 3" xfId="7304" xr:uid="{00000000-0005-0000-0000-0000E46D0000}"/>
    <cellStyle name="Normal 3 11 3 2" xfId="15696" xr:uid="{00000000-0005-0000-0000-0000E56D0000}"/>
    <cellStyle name="Normal 3 11 3 2 2" xfId="29182" xr:uid="{00000000-0005-0000-0000-0000E66D0000}"/>
    <cellStyle name="Normal 3 11 3 3" xfId="31600" xr:uid="{00000000-0005-0000-0000-0000E76D0000}"/>
    <cellStyle name="Normal 3 11 4" xfId="7305" xr:uid="{00000000-0005-0000-0000-0000E86D0000}"/>
    <cellStyle name="Normal 3 11 4 2" xfId="17370" xr:uid="{00000000-0005-0000-0000-0000E96D0000}"/>
    <cellStyle name="Normal 3 11 4 2 2" xfId="30687" xr:uid="{00000000-0005-0000-0000-0000EA6D0000}"/>
    <cellStyle name="Normal 3 11 4 3" xfId="31601" xr:uid="{00000000-0005-0000-0000-0000EB6D0000}"/>
    <cellStyle name="Normal 3 11 5" xfId="8724" xr:uid="{00000000-0005-0000-0000-0000EC6D0000}"/>
    <cellStyle name="Normal 3 11 6" xfId="11549" xr:uid="{00000000-0005-0000-0000-0000ED6D0000}"/>
    <cellStyle name="Normal 3 11 6 2" xfId="25380" xr:uid="{00000000-0005-0000-0000-0000EE6D0000}"/>
    <cellStyle name="Normal 3 11 7" xfId="31598" xr:uid="{00000000-0005-0000-0000-0000EF6D0000}"/>
    <cellStyle name="Normal 3 12" xfId="7306" xr:uid="{00000000-0005-0000-0000-0000F06D0000}"/>
    <cellStyle name="Normal 3 12 2" xfId="7307" xr:uid="{00000000-0005-0000-0000-0000F16D0000}"/>
    <cellStyle name="Normal 3 12 2 2" xfId="17372" xr:uid="{00000000-0005-0000-0000-0000F26D0000}"/>
    <cellStyle name="Normal 3 12 2 2 2" xfId="30688" xr:uid="{00000000-0005-0000-0000-0000F36D0000}"/>
    <cellStyle name="Normal 3 12 2 3" xfId="31603" xr:uid="{00000000-0005-0000-0000-0000F46D0000}"/>
    <cellStyle name="Normal 3 12 3" xfId="8723" xr:uid="{00000000-0005-0000-0000-0000F56D0000}"/>
    <cellStyle name="Normal 3 12 4" xfId="15805" xr:uid="{00000000-0005-0000-0000-0000F66D0000}"/>
    <cellStyle name="Normal 3 12 4 2" xfId="29212" xr:uid="{00000000-0005-0000-0000-0000F76D0000}"/>
    <cellStyle name="Normal 3 12 5" xfId="31602" xr:uid="{00000000-0005-0000-0000-0000F86D0000}"/>
    <cellStyle name="Normal 3 13" xfId="8655" xr:uid="{00000000-0005-0000-0000-0000F96D0000}"/>
    <cellStyle name="Normal 3 13 2" xfId="32948" xr:uid="{00000000-0005-0000-0000-0000FA6D0000}"/>
    <cellStyle name="Normal 3 13 3" xfId="33006" xr:uid="{00000000-0005-0000-0000-0000FB6D0000}"/>
    <cellStyle name="Normal 3 14" xfId="7298" xr:uid="{00000000-0005-0000-0000-0000FC6D0000}"/>
    <cellStyle name="Normal 3 2" xfId="7308" xr:uid="{00000000-0005-0000-0000-0000FD6D0000}"/>
    <cellStyle name="Normal 3 2 10" xfId="7309" xr:uid="{00000000-0005-0000-0000-0000FE6D0000}"/>
    <cellStyle name="Normal 3 2 10 2" xfId="13255" xr:uid="{00000000-0005-0000-0000-0000FF6D0000}"/>
    <cellStyle name="Normal 3 2 10 2 2" xfId="26891" xr:uid="{00000000-0005-0000-0000-0000006E0000}"/>
    <cellStyle name="Normal 3 2 10 3" xfId="31604" xr:uid="{00000000-0005-0000-0000-0000016E0000}"/>
    <cellStyle name="Normal 3 2 11" xfId="7310" xr:uid="{00000000-0005-0000-0000-0000026E0000}"/>
    <cellStyle name="Normal 3 2 11 2" xfId="15697" xr:uid="{00000000-0005-0000-0000-0000036E0000}"/>
    <cellStyle name="Normal 3 2 11 2 2" xfId="29183" xr:uid="{00000000-0005-0000-0000-0000046E0000}"/>
    <cellStyle name="Normal 3 2 11 3" xfId="31605" xr:uid="{00000000-0005-0000-0000-0000056E0000}"/>
    <cellStyle name="Normal 3 2 12" xfId="7311" xr:uid="{00000000-0005-0000-0000-0000066E0000}"/>
    <cellStyle name="Normal 3 2 12 2" xfId="15806" xr:uid="{00000000-0005-0000-0000-0000076E0000}"/>
    <cellStyle name="Normal 3 2 12 2 2" xfId="29213" xr:uid="{00000000-0005-0000-0000-0000086E0000}"/>
    <cellStyle name="Normal 3 2 12 3" xfId="31606" xr:uid="{00000000-0005-0000-0000-0000096E0000}"/>
    <cellStyle name="Normal 3 2 13" xfId="8683" xr:uid="{00000000-0005-0000-0000-00000A6E0000}"/>
    <cellStyle name="Normal 3 2 13 2" xfId="17308" xr:uid="{00000000-0005-0000-0000-00000B6E0000}"/>
    <cellStyle name="Normal 3 2 13 2 2" xfId="30661" xr:uid="{00000000-0005-0000-0000-00000C6E0000}"/>
    <cellStyle name="Normal 3 2 13 3" xfId="23213" xr:uid="{00000000-0005-0000-0000-00000D6E0000}"/>
    <cellStyle name="Normal 3 2 14" xfId="8792" xr:uid="{00000000-0005-0000-0000-00000E6E0000}"/>
    <cellStyle name="Normal 3 2 14 2" xfId="23270" xr:uid="{00000000-0005-0000-0000-00000F6E0000}"/>
    <cellStyle name="Normal 3 2 15" xfId="32921" xr:uid="{00000000-0005-0000-0000-0000106E0000}"/>
    <cellStyle name="Normal 3 2 16" xfId="32981" xr:uid="{00000000-0005-0000-0000-0000116E0000}"/>
    <cellStyle name="Normal 3 2 17" xfId="33039" xr:uid="{00000000-0005-0000-0000-0000126E0000}"/>
    <cellStyle name="Normal 3 2 2" xfId="7312" xr:uid="{00000000-0005-0000-0000-0000136E0000}"/>
    <cellStyle name="Normal 3 2 2 10" xfId="7313" xr:uid="{00000000-0005-0000-0000-0000146E0000}"/>
    <cellStyle name="Normal 3 2 2 10 2" xfId="16423" xr:uid="{00000000-0005-0000-0000-0000156E0000}"/>
    <cellStyle name="Normal 3 2 2 10 2 2" xfId="29830" xr:uid="{00000000-0005-0000-0000-0000166E0000}"/>
    <cellStyle name="Normal 3 2 2 10 3" xfId="31608" xr:uid="{00000000-0005-0000-0000-0000176E0000}"/>
    <cellStyle name="Normal 3 2 2 11" xfId="8687" xr:uid="{00000000-0005-0000-0000-0000186E0000}"/>
    <cellStyle name="Normal 3 2 2 11 2" xfId="17312" xr:uid="{00000000-0005-0000-0000-0000196E0000}"/>
    <cellStyle name="Normal 3 2 2 11 2 2" xfId="30665" xr:uid="{00000000-0005-0000-0000-00001A6E0000}"/>
    <cellStyle name="Normal 3 2 2 11 3" xfId="23217" xr:uid="{00000000-0005-0000-0000-00001B6E0000}"/>
    <cellStyle name="Normal 3 2 2 12" xfId="8796" xr:uid="{00000000-0005-0000-0000-00001C6E0000}"/>
    <cellStyle name="Normal 3 2 2 12 2" xfId="23274" xr:uid="{00000000-0005-0000-0000-00001D6E0000}"/>
    <cellStyle name="Normal 3 2 2 13" xfId="31607" xr:uid="{00000000-0005-0000-0000-00001E6E0000}"/>
    <cellStyle name="Normal 3 2 2 14" xfId="32925" xr:uid="{00000000-0005-0000-0000-00001F6E0000}"/>
    <cellStyle name="Normal 3 2 2 15" xfId="32985" xr:uid="{00000000-0005-0000-0000-0000206E0000}"/>
    <cellStyle name="Normal 3 2 2 2" xfId="7314" xr:uid="{00000000-0005-0000-0000-0000216E0000}"/>
    <cellStyle name="Normal 3 2 2 2 2" xfId="7315" xr:uid="{00000000-0005-0000-0000-0000226E0000}"/>
    <cellStyle name="Normal 3 2 2 2 2 2" xfId="11552" xr:uid="{00000000-0005-0000-0000-0000236E0000}"/>
    <cellStyle name="Normal 3 2 2 2 2 2 2" xfId="25383" xr:uid="{00000000-0005-0000-0000-0000246E0000}"/>
    <cellStyle name="Normal 3 2 2 2 2 3" xfId="31610" xr:uid="{00000000-0005-0000-0000-0000256E0000}"/>
    <cellStyle name="Normal 3 2 2 2 3" xfId="7316" xr:uid="{00000000-0005-0000-0000-0000266E0000}"/>
    <cellStyle name="Normal 3 2 2 2 3 2" xfId="13257" xr:uid="{00000000-0005-0000-0000-0000276E0000}"/>
    <cellStyle name="Normal 3 2 2 2 3 2 2" xfId="26893" xr:uid="{00000000-0005-0000-0000-0000286E0000}"/>
    <cellStyle name="Normal 3 2 2 2 3 3" xfId="31611" xr:uid="{00000000-0005-0000-0000-0000296E0000}"/>
    <cellStyle name="Normal 3 2 2 2 4" xfId="7317" xr:uid="{00000000-0005-0000-0000-00002A6E0000}"/>
    <cellStyle name="Normal 3 2 2 2 4 2" xfId="15699" xr:uid="{00000000-0005-0000-0000-00002B6E0000}"/>
    <cellStyle name="Normal 3 2 2 2 4 2 2" xfId="29185" xr:uid="{00000000-0005-0000-0000-00002C6E0000}"/>
    <cellStyle name="Normal 3 2 2 2 4 3" xfId="31612" xr:uid="{00000000-0005-0000-0000-00002D6E0000}"/>
    <cellStyle name="Normal 3 2 2 2 5" xfId="7318" xr:uid="{00000000-0005-0000-0000-00002E6E0000}"/>
    <cellStyle name="Normal 3 2 2 2 5 2" xfId="17041" xr:uid="{00000000-0005-0000-0000-00002F6E0000}"/>
    <cellStyle name="Normal 3 2 2 2 5 2 2" xfId="30442" xr:uid="{00000000-0005-0000-0000-0000306E0000}"/>
    <cellStyle name="Normal 3 2 2 2 5 3" xfId="31613" xr:uid="{00000000-0005-0000-0000-0000316E0000}"/>
    <cellStyle name="Normal 3 2 2 2 6" xfId="10191" xr:uid="{00000000-0005-0000-0000-0000326E0000}"/>
    <cellStyle name="Normal 3 2 2 2 6 2" xfId="24396" xr:uid="{00000000-0005-0000-0000-0000336E0000}"/>
    <cellStyle name="Normal 3 2 2 2 7" xfId="31609" xr:uid="{00000000-0005-0000-0000-0000346E0000}"/>
    <cellStyle name="Normal 3 2 2 2 8" xfId="32951" xr:uid="{00000000-0005-0000-0000-0000356E0000}"/>
    <cellStyle name="Normal 3 2 2 2 9" xfId="33009" xr:uid="{00000000-0005-0000-0000-0000366E0000}"/>
    <cellStyle name="Normal 3 2 2 3" xfId="7319" xr:uid="{00000000-0005-0000-0000-0000376E0000}"/>
    <cellStyle name="Normal 3 2 2 3 2" xfId="7320" xr:uid="{00000000-0005-0000-0000-0000386E0000}"/>
    <cellStyle name="Normal 3 2 2 3 2 2" xfId="17004" xr:uid="{00000000-0005-0000-0000-0000396E0000}"/>
    <cellStyle name="Normal 3 2 2 3 2 2 2" xfId="30411" xr:uid="{00000000-0005-0000-0000-00003A6E0000}"/>
    <cellStyle name="Normal 3 2 2 3 2 3" xfId="31615" xr:uid="{00000000-0005-0000-0000-00003B6E0000}"/>
    <cellStyle name="Normal 3 2 2 3 3" xfId="11551" xr:uid="{00000000-0005-0000-0000-00003C6E0000}"/>
    <cellStyle name="Normal 3 2 2 3 3 2" xfId="25382" xr:uid="{00000000-0005-0000-0000-00003D6E0000}"/>
    <cellStyle name="Normal 3 2 2 3 4" xfId="31614" xr:uid="{00000000-0005-0000-0000-00003E6E0000}"/>
    <cellStyle name="Normal 3 2 2 4" xfId="7321" xr:uid="{00000000-0005-0000-0000-00003F6E0000}"/>
    <cellStyle name="Normal 3 2 2 4 2" xfId="12393" xr:uid="{00000000-0005-0000-0000-0000406E0000}"/>
    <cellStyle name="Normal 3 2 2 4 2 2" xfId="26105" xr:uid="{00000000-0005-0000-0000-0000416E0000}"/>
    <cellStyle name="Normal 3 2 2 4 3" xfId="31616" xr:uid="{00000000-0005-0000-0000-0000426E0000}"/>
    <cellStyle name="Normal 3 2 2 5" xfId="7322" xr:uid="{00000000-0005-0000-0000-0000436E0000}"/>
    <cellStyle name="Normal 3 2 2 5 2" xfId="13256" xr:uid="{00000000-0005-0000-0000-0000446E0000}"/>
    <cellStyle name="Normal 3 2 2 5 2 2" xfId="26892" xr:uid="{00000000-0005-0000-0000-0000456E0000}"/>
    <cellStyle name="Normal 3 2 2 5 3" xfId="31617" xr:uid="{00000000-0005-0000-0000-0000466E0000}"/>
    <cellStyle name="Normal 3 2 2 6" xfId="7323" xr:uid="{00000000-0005-0000-0000-0000476E0000}"/>
    <cellStyle name="Normal 3 2 2 6 2" xfId="13956" xr:uid="{00000000-0005-0000-0000-0000486E0000}"/>
    <cellStyle name="Normal 3 2 2 6 2 2" xfId="27505" xr:uid="{00000000-0005-0000-0000-0000496E0000}"/>
    <cellStyle name="Normal 3 2 2 6 3" xfId="31618" xr:uid="{00000000-0005-0000-0000-00004A6E0000}"/>
    <cellStyle name="Normal 3 2 2 7" xfId="7324" xr:uid="{00000000-0005-0000-0000-00004B6E0000}"/>
    <cellStyle name="Normal 3 2 2 7 2" xfId="14537" xr:uid="{00000000-0005-0000-0000-00004C6E0000}"/>
    <cellStyle name="Normal 3 2 2 7 2 2" xfId="28086" xr:uid="{00000000-0005-0000-0000-00004D6E0000}"/>
    <cellStyle name="Normal 3 2 2 7 3" xfId="31619" xr:uid="{00000000-0005-0000-0000-00004E6E0000}"/>
    <cellStyle name="Normal 3 2 2 8" xfId="7325" xr:uid="{00000000-0005-0000-0000-00004F6E0000}"/>
    <cellStyle name="Normal 3 2 2 8 2" xfId="15698" xr:uid="{00000000-0005-0000-0000-0000506E0000}"/>
    <cellStyle name="Normal 3 2 2 8 2 2" xfId="29184" xr:uid="{00000000-0005-0000-0000-0000516E0000}"/>
    <cellStyle name="Normal 3 2 2 8 3" xfId="31620" xr:uid="{00000000-0005-0000-0000-0000526E0000}"/>
    <cellStyle name="Normal 3 2 2 9" xfId="7326" xr:uid="{00000000-0005-0000-0000-0000536E0000}"/>
    <cellStyle name="Normal 3 2 2 9 2" xfId="15807" xr:uid="{00000000-0005-0000-0000-0000546E0000}"/>
    <cellStyle name="Normal 3 2 2 9 2 2" xfId="29214" xr:uid="{00000000-0005-0000-0000-0000556E0000}"/>
    <cellStyle name="Normal 3 2 2 9 3" xfId="31621" xr:uid="{00000000-0005-0000-0000-0000566E0000}"/>
    <cellStyle name="Normal 3 2 3" xfId="7327" xr:uid="{00000000-0005-0000-0000-0000576E0000}"/>
    <cellStyle name="Normal 3 2 3 10" xfId="32989" xr:uid="{00000000-0005-0000-0000-0000586E0000}"/>
    <cellStyle name="Normal 3 2 3 2" xfId="7328" xr:uid="{00000000-0005-0000-0000-0000596E0000}"/>
    <cellStyle name="Normal 3 2 3 2 2" xfId="11553" xr:uid="{00000000-0005-0000-0000-00005A6E0000}"/>
    <cellStyle name="Normal 3 2 3 2 2 2" xfId="25384" xr:uid="{00000000-0005-0000-0000-00005B6E0000}"/>
    <cellStyle name="Normal 3 2 3 2 3" xfId="31623" xr:uid="{00000000-0005-0000-0000-00005C6E0000}"/>
    <cellStyle name="Normal 3 2 3 2 4" xfId="32952" xr:uid="{00000000-0005-0000-0000-00005D6E0000}"/>
    <cellStyle name="Normal 3 2 3 2 5" xfId="33010" xr:uid="{00000000-0005-0000-0000-00005E6E0000}"/>
    <cellStyle name="Normal 3 2 3 3" xfId="7329" xr:uid="{00000000-0005-0000-0000-00005F6E0000}"/>
    <cellStyle name="Normal 3 2 3 3 2" xfId="13258" xr:uid="{00000000-0005-0000-0000-0000606E0000}"/>
    <cellStyle name="Normal 3 2 3 3 2 2" xfId="26894" xr:uid="{00000000-0005-0000-0000-0000616E0000}"/>
    <cellStyle name="Normal 3 2 3 3 3" xfId="31624" xr:uid="{00000000-0005-0000-0000-0000626E0000}"/>
    <cellStyle name="Normal 3 2 3 4" xfId="7330" xr:uid="{00000000-0005-0000-0000-0000636E0000}"/>
    <cellStyle name="Normal 3 2 3 4 2" xfId="15700" xr:uid="{00000000-0005-0000-0000-0000646E0000}"/>
    <cellStyle name="Normal 3 2 3 4 2 2" xfId="29186" xr:uid="{00000000-0005-0000-0000-0000656E0000}"/>
    <cellStyle name="Normal 3 2 3 4 3" xfId="31625" xr:uid="{00000000-0005-0000-0000-0000666E0000}"/>
    <cellStyle name="Normal 3 2 3 5" xfId="7331" xr:uid="{00000000-0005-0000-0000-0000676E0000}"/>
    <cellStyle name="Normal 3 2 3 5 2" xfId="15808" xr:uid="{00000000-0005-0000-0000-0000686E0000}"/>
    <cellStyle name="Normal 3 2 3 5 2 2" xfId="29215" xr:uid="{00000000-0005-0000-0000-0000696E0000}"/>
    <cellStyle name="Normal 3 2 3 5 3" xfId="31626" xr:uid="{00000000-0005-0000-0000-00006A6E0000}"/>
    <cellStyle name="Normal 3 2 3 6" xfId="8691" xr:uid="{00000000-0005-0000-0000-00006B6E0000}"/>
    <cellStyle name="Normal 3 2 3 6 2" xfId="17316" xr:uid="{00000000-0005-0000-0000-00006C6E0000}"/>
    <cellStyle name="Normal 3 2 3 6 2 2" xfId="30669" xr:uid="{00000000-0005-0000-0000-00006D6E0000}"/>
    <cellStyle name="Normal 3 2 3 6 3" xfId="23221" xr:uid="{00000000-0005-0000-0000-00006E6E0000}"/>
    <cellStyle name="Normal 3 2 3 7" xfId="8800" xr:uid="{00000000-0005-0000-0000-00006F6E0000}"/>
    <cellStyle name="Normal 3 2 3 7 2" xfId="23278" xr:uid="{00000000-0005-0000-0000-0000706E0000}"/>
    <cellStyle name="Normal 3 2 3 8" xfId="31622" xr:uid="{00000000-0005-0000-0000-0000716E0000}"/>
    <cellStyle name="Normal 3 2 3 9" xfId="32929" xr:uid="{00000000-0005-0000-0000-0000726E0000}"/>
    <cellStyle name="Normal 3 2 4" xfId="7332" xr:uid="{00000000-0005-0000-0000-0000736E0000}"/>
    <cellStyle name="Normal 3 2 4 10" xfId="32997" xr:uid="{00000000-0005-0000-0000-0000746E0000}"/>
    <cellStyle name="Normal 3 2 4 2" xfId="7333" xr:uid="{00000000-0005-0000-0000-0000756E0000}"/>
    <cellStyle name="Normal 3 2 4 2 2" xfId="11554" xr:uid="{00000000-0005-0000-0000-0000766E0000}"/>
    <cellStyle name="Normal 3 2 4 2 2 2" xfId="25385" xr:uid="{00000000-0005-0000-0000-0000776E0000}"/>
    <cellStyle name="Normal 3 2 4 2 3" xfId="31628" xr:uid="{00000000-0005-0000-0000-0000786E0000}"/>
    <cellStyle name="Normal 3 2 4 2 4" xfId="32953" xr:uid="{00000000-0005-0000-0000-0000796E0000}"/>
    <cellStyle name="Normal 3 2 4 2 5" xfId="33011" xr:uid="{00000000-0005-0000-0000-00007A6E0000}"/>
    <cellStyle name="Normal 3 2 4 3" xfId="7334" xr:uid="{00000000-0005-0000-0000-00007B6E0000}"/>
    <cellStyle name="Normal 3 2 4 3 2" xfId="13259" xr:uid="{00000000-0005-0000-0000-00007C6E0000}"/>
    <cellStyle name="Normal 3 2 4 3 2 2" xfId="26895" xr:uid="{00000000-0005-0000-0000-00007D6E0000}"/>
    <cellStyle name="Normal 3 2 4 3 3" xfId="31629" xr:uid="{00000000-0005-0000-0000-00007E6E0000}"/>
    <cellStyle name="Normal 3 2 4 4" xfId="7335" xr:uid="{00000000-0005-0000-0000-00007F6E0000}"/>
    <cellStyle name="Normal 3 2 4 4 2" xfId="15701" xr:uid="{00000000-0005-0000-0000-0000806E0000}"/>
    <cellStyle name="Normal 3 2 4 4 2 2" xfId="29187" xr:uid="{00000000-0005-0000-0000-0000816E0000}"/>
    <cellStyle name="Normal 3 2 4 4 3" xfId="31630" xr:uid="{00000000-0005-0000-0000-0000826E0000}"/>
    <cellStyle name="Normal 3 2 4 5" xfId="7336" xr:uid="{00000000-0005-0000-0000-0000836E0000}"/>
    <cellStyle name="Normal 3 2 4 5 2" xfId="15809" xr:uid="{00000000-0005-0000-0000-0000846E0000}"/>
    <cellStyle name="Normal 3 2 4 5 2 2" xfId="29216" xr:uid="{00000000-0005-0000-0000-0000856E0000}"/>
    <cellStyle name="Normal 3 2 4 5 3" xfId="31631" xr:uid="{00000000-0005-0000-0000-0000866E0000}"/>
    <cellStyle name="Normal 3 2 4 6" xfId="8706" xr:uid="{00000000-0005-0000-0000-0000876E0000}"/>
    <cellStyle name="Normal 3 2 4 6 2" xfId="17324" xr:uid="{00000000-0005-0000-0000-0000886E0000}"/>
    <cellStyle name="Normal 3 2 4 6 2 2" xfId="30677" xr:uid="{00000000-0005-0000-0000-0000896E0000}"/>
    <cellStyle name="Normal 3 2 4 6 3" xfId="23229" xr:uid="{00000000-0005-0000-0000-00008A6E0000}"/>
    <cellStyle name="Normal 3 2 4 7" xfId="8808" xr:uid="{00000000-0005-0000-0000-00008B6E0000}"/>
    <cellStyle name="Normal 3 2 4 7 2" xfId="23286" xr:uid="{00000000-0005-0000-0000-00008C6E0000}"/>
    <cellStyle name="Normal 3 2 4 8" xfId="31627" xr:uid="{00000000-0005-0000-0000-00008D6E0000}"/>
    <cellStyle name="Normal 3 2 4 9" xfId="32937" xr:uid="{00000000-0005-0000-0000-00008E6E0000}"/>
    <cellStyle name="Normal 3 2 5" xfId="7337" xr:uid="{00000000-0005-0000-0000-00008F6E0000}"/>
    <cellStyle name="Normal 3 2 5 10" xfId="32992" xr:uid="{00000000-0005-0000-0000-0000906E0000}"/>
    <cellStyle name="Normal 3 2 5 2" xfId="7338" xr:uid="{00000000-0005-0000-0000-0000916E0000}"/>
    <cellStyle name="Normal 3 2 5 2 2" xfId="11555" xr:uid="{00000000-0005-0000-0000-0000926E0000}"/>
    <cellStyle name="Normal 3 2 5 2 2 2" xfId="25386" xr:uid="{00000000-0005-0000-0000-0000936E0000}"/>
    <cellStyle name="Normal 3 2 5 2 3" xfId="31633" xr:uid="{00000000-0005-0000-0000-0000946E0000}"/>
    <cellStyle name="Normal 3 2 5 2 4" xfId="32954" xr:uid="{00000000-0005-0000-0000-0000956E0000}"/>
    <cellStyle name="Normal 3 2 5 2 5" xfId="33012" xr:uid="{00000000-0005-0000-0000-0000966E0000}"/>
    <cellStyle name="Normal 3 2 5 3" xfId="7339" xr:uid="{00000000-0005-0000-0000-0000976E0000}"/>
    <cellStyle name="Normal 3 2 5 3 2" xfId="13260" xr:uid="{00000000-0005-0000-0000-0000986E0000}"/>
    <cellStyle name="Normal 3 2 5 3 2 2" xfId="26896" xr:uid="{00000000-0005-0000-0000-0000996E0000}"/>
    <cellStyle name="Normal 3 2 5 3 3" xfId="31634" xr:uid="{00000000-0005-0000-0000-00009A6E0000}"/>
    <cellStyle name="Normal 3 2 5 4" xfId="7340" xr:uid="{00000000-0005-0000-0000-00009B6E0000}"/>
    <cellStyle name="Normal 3 2 5 4 2" xfId="15702" xr:uid="{00000000-0005-0000-0000-00009C6E0000}"/>
    <cellStyle name="Normal 3 2 5 4 2 2" xfId="29188" xr:uid="{00000000-0005-0000-0000-00009D6E0000}"/>
    <cellStyle name="Normal 3 2 5 4 3" xfId="31635" xr:uid="{00000000-0005-0000-0000-00009E6E0000}"/>
    <cellStyle name="Normal 3 2 5 5" xfId="7341" xr:uid="{00000000-0005-0000-0000-00009F6E0000}"/>
    <cellStyle name="Normal 3 2 5 5 2" xfId="15810" xr:uid="{00000000-0005-0000-0000-0000A06E0000}"/>
    <cellStyle name="Normal 3 2 5 5 2 2" xfId="29217" xr:uid="{00000000-0005-0000-0000-0000A16E0000}"/>
    <cellStyle name="Normal 3 2 5 5 3" xfId="31636" xr:uid="{00000000-0005-0000-0000-0000A26E0000}"/>
    <cellStyle name="Normal 3 2 5 6" xfId="8696" xr:uid="{00000000-0005-0000-0000-0000A36E0000}"/>
    <cellStyle name="Normal 3 2 5 6 2" xfId="17319" xr:uid="{00000000-0005-0000-0000-0000A46E0000}"/>
    <cellStyle name="Normal 3 2 5 6 2 2" xfId="30672" xr:uid="{00000000-0005-0000-0000-0000A56E0000}"/>
    <cellStyle name="Normal 3 2 5 6 3" xfId="23224" xr:uid="{00000000-0005-0000-0000-0000A66E0000}"/>
    <cellStyle name="Normal 3 2 5 7" xfId="8803" xr:uid="{00000000-0005-0000-0000-0000A76E0000}"/>
    <cellStyle name="Normal 3 2 5 7 2" xfId="23281" xr:uid="{00000000-0005-0000-0000-0000A86E0000}"/>
    <cellStyle name="Normal 3 2 5 8" xfId="31632" xr:uid="{00000000-0005-0000-0000-0000A96E0000}"/>
    <cellStyle name="Normal 3 2 5 9" xfId="32932" xr:uid="{00000000-0005-0000-0000-0000AA6E0000}"/>
    <cellStyle name="Normal 3 2 6" xfId="7342" xr:uid="{00000000-0005-0000-0000-0000AB6E0000}"/>
    <cellStyle name="Normal 3 2 6 2" xfId="8718" xr:uid="{00000000-0005-0000-0000-0000AC6E0000}"/>
    <cellStyle name="Normal 3 2 7" xfId="7343" xr:uid="{00000000-0005-0000-0000-0000AD6E0000}"/>
    <cellStyle name="Normal 3 2 7 2" xfId="7344" xr:uid="{00000000-0005-0000-0000-0000AE6E0000}"/>
    <cellStyle name="Normal 3 2 7 2 2" xfId="10193" xr:uid="{00000000-0005-0000-0000-0000AF6E0000}"/>
    <cellStyle name="Normal 3 2 7 3" xfId="7345" xr:uid="{00000000-0005-0000-0000-0000B06E0000}"/>
    <cellStyle name="Normal 3 2 7 3 2" xfId="7346" xr:uid="{00000000-0005-0000-0000-0000B16E0000}"/>
    <cellStyle name="Normal 3 2 7 3 2 2" xfId="13261" xr:uid="{00000000-0005-0000-0000-0000B26E0000}"/>
    <cellStyle name="Normal 3 2 7 3 3" xfId="11736" xr:uid="{00000000-0005-0000-0000-0000B36E0000}"/>
    <cellStyle name="Normal 3 2 7 3 3 2" xfId="25452" xr:uid="{00000000-0005-0000-0000-0000B46E0000}"/>
    <cellStyle name="Normal 3 2 7 4" xfId="10192" xr:uid="{00000000-0005-0000-0000-0000B56E0000}"/>
    <cellStyle name="Normal 3 2 7 5" xfId="32950" xr:uid="{00000000-0005-0000-0000-0000B66E0000}"/>
    <cellStyle name="Normal 3 2 7 6" xfId="33008" xr:uid="{00000000-0005-0000-0000-0000B76E0000}"/>
    <cellStyle name="Normal 3 2 8" xfId="7347" xr:uid="{00000000-0005-0000-0000-0000B86E0000}"/>
    <cellStyle name="Normal 3 2 8 2" xfId="7348" xr:uid="{00000000-0005-0000-0000-0000B96E0000}"/>
    <cellStyle name="Normal 3 2 8 2 2" xfId="13262" xr:uid="{00000000-0005-0000-0000-0000BA6E0000}"/>
    <cellStyle name="Normal 3 2 8 3" xfId="10522" xr:uid="{00000000-0005-0000-0000-0000BB6E0000}"/>
    <cellStyle name="Normal 3 2 9" xfId="7349" xr:uid="{00000000-0005-0000-0000-0000BC6E0000}"/>
    <cellStyle name="Normal 3 2 9 2" xfId="7350" xr:uid="{00000000-0005-0000-0000-0000BD6E0000}"/>
    <cellStyle name="Normal 3 2 9 2 2" xfId="13263" xr:uid="{00000000-0005-0000-0000-0000BE6E0000}"/>
    <cellStyle name="Normal 3 2 9 2 2 2" xfId="26897" xr:uid="{00000000-0005-0000-0000-0000BF6E0000}"/>
    <cellStyle name="Normal 3 2 9 2 3" xfId="31638" xr:uid="{00000000-0005-0000-0000-0000C06E0000}"/>
    <cellStyle name="Normal 3 2 9 3" xfId="7351" xr:uid="{00000000-0005-0000-0000-0000C16E0000}"/>
    <cellStyle name="Normal 3 2 9 3 2" xfId="15703" xr:uid="{00000000-0005-0000-0000-0000C26E0000}"/>
    <cellStyle name="Normal 3 2 9 3 2 2" xfId="29189" xr:uid="{00000000-0005-0000-0000-0000C36E0000}"/>
    <cellStyle name="Normal 3 2 9 3 3" xfId="31639" xr:uid="{00000000-0005-0000-0000-0000C46E0000}"/>
    <cellStyle name="Normal 3 2 9 4" xfId="11550" xr:uid="{00000000-0005-0000-0000-0000C56E0000}"/>
    <cellStyle name="Normal 3 2 9 4 2" xfId="25381" xr:uid="{00000000-0005-0000-0000-0000C66E0000}"/>
    <cellStyle name="Normal 3 2 9 5" xfId="31637" xr:uid="{00000000-0005-0000-0000-0000C76E0000}"/>
    <cellStyle name="Normal 3 3" xfId="7352" xr:uid="{00000000-0005-0000-0000-0000C86E0000}"/>
    <cellStyle name="Normal 3 3 10" xfId="7353" xr:uid="{00000000-0005-0000-0000-0000C96E0000}"/>
    <cellStyle name="Normal 3 3 10 2" xfId="7354" xr:uid="{00000000-0005-0000-0000-0000CA6E0000}"/>
    <cellStyle name="Normal 3 3 10 2 2" xfId="17203" xr:uid="{00000000-0005-0000-0000-0000CB6E0000}"/>
    <cellStyle name="Normal 3 3 10 2 2 2" xfId="30562" xr:uid="{00000000-0005-0000-0000-0000CC6E0000}"/>
    <cellStyle name="Normal 3 3 10 2 3" xfId="31642" xr:uid="{00000000-0005-0000-0000-0000CD6E0000}"/>
    <cellStyle name="Normal 3 3 10 3" xfId="13430" xr:uid="{00000000-0005-0000-0000-0000CE6E0000}"/>
    <cellStyle name="Normal 3 3 10 3 2" xfId="26979" xr:uid="{00000000-0005-0000-0000-0000CF6E0000}"/>
    <cellStyle name="Normal 3 3 10 4" xfId="31641" xr:uid="{00000000-0005-0000-0000-0000D06E0000}"/>
    <cellStyle name="Normal 3 3 11" xfId="7355" xr:uid="{00000000-0005-0000-0000-0000D16E0000}"/>
    <cellStyle name="Normal 3 3 11 2" xfId="7356" xr:uid="{00000000-0005-0000-0000-0000D26E0000}"/>
    <cellStyle name="Normal 3 3 11 2 2" xfId="17292" xr:uid="{00000000-0005-0000-0000-0000D36E0000}"/>
    <cellStyle name="Normal 3 3 11 2 2 2" xfId="30651" xr:uid="{00000000-0005-0000-0000-0000D46E0000}"/>
    <cellStyle name="Normal 3 3 11 2 3" xfId="31644" xr:uid="{00000000-0005-0000-0000-0000D56E0000}"/>
    <cellStyle name="Normal 3 3 11 3" xfId="14011" xr:uid="{00000000-0005-0000-0000-0000D66E0000}"/>
    <cellStyle name="Normal 3 3 11 3 2" xfId="27560" xr:uid="{00000000-0005-0000-0000-0000D76E0000}"/>
    <cellStyle name="Normal 3 3 11 4" xfId="31643" xr:uid="{00000000-0005-0000-0000-0000D86E0000}"/>
    <cellStyle name="Normal 3 3 12" xfId="7357" xr:uid="{00000000-0005-0000-0000-0000D96E0000}"/>
    <cellStyle name="Normal 3 3 12 2" xfId="7358" xr:uid="{00000000-0005-0000-0000-0000DA6E0000}"/>
    <cellStyle name="Normal 3 3 12 2 2" xfId="16478" xr:uid="{00000000-0005-0000-0000-0000DB6E0000}"/>
    <cellStyle name="Normal 3 3 12 2 2 2" xfId="29885" xr:uid="{00000000-0005-0000-0000-0000DC6E0000}"/>
    <cellStyle name="Normal 3 3 12 2 3" xfId="31646" xr:uid="{00000000-0005-0000-0000-0000DD6E0000}"/>
    <cellStyle name="Normal 3 3 12 3" xfId="15811" xr:uid="{00000000-0005-0000-0000-0000DE6E0000}"/>
    <cellStyle name="Normal 3 3 12 3 2" xfId="29218" xr:uid="{00000000-0005-0000-0000-0000DF6E0000}"/>
    <cellStyle name="Normal 3 3 12 4" xfId="31645" xr:uid="{00000000-0005-0000-0000-0000E06E0000}"/>
    <cellStyle name="Normal 3 3 13" xfId="7359" xr:uid="{00000000-0005-0000-0000-0000E16E0000}"/>
    <cellStyle name="Normal 3 3 13 2" xfId="15897" xr:uid="{00000000-0005-0000-0000-0000E26E0000}"/>
    <cellStyle name="Normal 3 3 13 2 2" xfId="29304" xr:uid="{00000000-0005-0000-0000-0000E36E0000}"/>
    <cellStyle name="Normal 3 3 13 3" xfId="31647" xr:uid="{00000000-0005-0000-0000-0000E46E0000}"/>
    <cellStyle name="Normal 3 3 14" xfId="8684" xr:uid="{00000000-0005-0000-0000-0000E56E0000}"/>
    <cellStyle name="Normal 3 3 14 2" xfId="17309" xr:uid="{00000000-0005-0000-0000-0000E66E0000}"/>
    <cellStyle name="Normal 3 3 14 2 2" xfId="30662" xr:uid="{00000000-0005-0000-0000-0000E76E0000}"/>
    <cellStyle name="Normal 3 3 14 3" xfId="23214" xr:uid="{00000000-0005-0000-0000-0000E86E0000}"/>
    <cellStyle name="Normal 3 3 15" xfId="8793" xr:uid="{00000000-0005-0000-0000-0000E96E0000}"/>
    <cellStyle name="Normal 3 3 15 2" xfId="23271" xr:uid="{00000000-0005-0000-0000-0000EA6E0000}"/>
    <cellStyle name="Normal 3 3 16" xfId="31640" xr:uid="{00000000-0005-0000-0000-0000EB6E0000}"/>
    <cellStyle name="Normal 3 3 17" xfId="32922" xr:uid="{00000000-0005-0000-0000-0000EC6E0000}"/>
    <cellStyle name="Normal 3 3 18" xfId="32982" xr:uid="{00000000-0005-0000-0000-0000ED6E0000}"/>
    <cellStyle name="Normal 3 3 2" xfId="7360" xr:uid="{00000000-0005-0000-0000-0000EE6E0000}"/>
    <cellStyle name="Normal 3 3 2 10" xfId="10194" xr:uid="{00000000-0005-0000-0000-0000EF6E0000}"/>
    <cellStyle name="Normal 3 3 2 10 2" xfId="24397" xr:uid="{00000000-0005-0000-0000-0000F06E0000}"/>
    <cellStyle name="Normal 3 3 2 11" xfId="31648" xr:uid="{00000000-0005-0000-0000-0000F16E0000}"/>
    <cellStyle name="Normal 3 3 2 12" xfId="32955" xr:uid="{00000000-0005-0000-0000-0000F26E0000}"/>
    <cellStyle name="Normal 3 3 2 13" xfId="33013" xr:uid="{00000000-0005-0000-0000-0000F36E0000}"/>
    <cellStyle name="Normal 3 3 2 2" xfId="7361" xr:uid="{00000000-0005-0000-0000-0000F46E0000}"/>
    <cellStyle name="Normal 3 3 2 2 10" xfId="31649" xr:uid="{00000000-0005-0000-0000-0000F56E0000}"/>
    <cellStyle name="Normal 3 3 2 2 2" xfId="7362" xr:uid="{00000000-0005-0000-0000-0000F66E0000}"/>
    <cellStyle name="Normal 3 3 2 2 2 2" xfId="7363" xr:uid="{00000000-0005-0000-0000-0000F76E0000}"/>
    <cellStyle name="Normal 3 3 2 2 2 2 2" xfId="7364" xr:uid="{00000000-0005-0000-0000-0000F86E0000}"/>
    <cellStyle name="Normal 3 3 2 2 2 2 2 2" xfId="7365" xr:uid="{00000000-0005-0000-0000-0000F96E0000}"/>
    <cellStyle name="Normal 3 3 2 2 2 2 2 2 2" xfId="16979" xr:uid="{00000000-0005-0000-0000-0000FA6E0000}"/>
    <cellStyle name="Normal 3 3 2 2 2 2 2 2 2 2" xfId="30386" xr:uid="{00000000-0005-0000-0000-0000FB6E0000}"/>
    <cellStyle name="Normal 3 3 2 2 2 2 2 2 3" xfId="31653" xr:uid="{00000000-0005-0000-0000-0000FC6E0000}"/>
    <cellStyle name="Normal 3 3 2 2 2 2 2 3" xfId="11560" xr:uid="{00000000-0005-0000-0000-0000FD6E0000}"/>
    <cellStyle name="Normal 3 3 2 2 2 2 2 3 2" xfId="25391" xr:uid="{00000000-0005-0000-0000-0000FE6E0000}"/>
    <cellStyle name="Normal 3 3 2 2 2 2 2 4" xfId="31652" xr:uid="{00000000-0005-0000-0000-0000FF6E0000}"/>
    <cellStyle name="Normal 3 3 2 2 2 2 3" xfId="7366" xr:uid="{00000000-0005-0000-0000-0000006F0000}"/>
    <cellStyle name="Normal 3 3 2 2 2 2 3 2" xfId="12367" xr:uid="{00000000-0005-0000-0000-0000016F0000}"/>
    <cellStyle name="Normal 3 3 2 2 2 2 3 2 2" xfId="26079" xr:uid="{00000000-0005-0000-0000-0000026F0000}"/>
    <cellStyle name="Normal 3 3 2 2 2 2 3 3" xfId="31654" xr:uid="{00000000-0005-0000-0000-0000036F0000}"/>
    <cellStyle name="Normal 3 3 2 2 2 2 4" xfId="7367" xr:uid="{00000000-0005-0000-0000-0000046F0000}"/>
    <cellStyle name="Normal 3 3 2 2 2 2 4 2" xfId="13931" xr:uid="{00000000-0005-0000-0000-0000056F0000}"/>
    <cellStyle name="Normal 3 3 2 2 2 2 4 2 2" xfId="27480" xr:uid="{00000000-0005-0000-0000-0000066F0000}"/>
    <cellStyle name="Normal 3 3 2 2 2 2 4 3" xfId="31655" xr:uid="{00000000-0005-0000-0000-0000076F0000}"/>
    <cellStyle name="Normal 3 3 2 2 2 2 5" xfId="7368" xr:uid="{00000000-0005-0000-0000-0000086F0000}"/>
    <cellStyle name="Normal 3 3 2 2 2 2 5 2" xfId="14512" xr:uid="{00000000-0005-0000-0000-0000096F0000}"/>
    <cellStyle name="Normal 3 3 2 2 2 2 5 2 2" xfId="28061" xr:uid="{00000000-0005-0000-0000-00000A6F0000}"/>
    <cellStyle name="Normal 3 3 2 2 2 2 5 3" xfId="31656" xr:uid="{00000000-0005-0000-0000-00000B6F0000}"/>
    <cellStyle name="Normal 3 3 2 2 2 2 6" xfId="7369" xr:uid="{00000000-0005-0000-0000-00000C6F0000}"/>
    <cellStyle name="Normal 3 3 2 2 2 2 6 2" xfId="16398" xr:uid="{00000000-0005-0000-0000-00000D6F0000}"/>
    <cellStyle name="Normal 3 3 2 2 2 2 6 2 2" xfId="29805" xr:uid="{00000000-0005-0000-0000-00000E6F0000}"/>
    <cellStyle name="Normal 3 3 2 2 2 2 6 3" xfId="31657" xr:uid="{00000000-0005-0000-0000-00000F6F0000}"/>
    <cellStyle name="Normal 3 3 2 2 2 2 7" xfId="10197" xr:uid="{00000000-0005-0000-0000-0000106F0000}"/>
    <cellStyle name="Normal 3 3 2 2 2 2 7 2" xfId="24400" xr:uid="{00000000-0005-0000-0000-0000116F0000}"/>
    <cellStyle name="Normal 3 3 2 2 2 2 8" xfId="31651" xr:uid="{00000000-0005-0000-0000-0000126F0000}"/>
    <cellStyle name="Normal 3 3 2 2 2 3" xfId="7370" xr:uid="{00000000-0005-0000-0000-0000136F0000}"/>
    <cellStyle name="Normal 3 3 2 2 2 3 2" xfId="7371" xr:uid="{00000000-0005-0000-0000-0000146F0000}"/>
    <cellStyle name="Normal 3 3 2 2 2 3 2 2" xfId="16690" xr:uid="{00000000-0005-0000-0000-0000156F0000}"/>
    <cellStyle name="Normal 3 3 2 2 2 3 2 2 2" xfId="30097" xr:uid="{00000000-0005-0000-0000-0000166F0000}"/>
    <cellStyle name="Normal 3 3 2 2 2 3 2 3" xfId="31659" xr:uid="{00000000-0005-0000-0000-0000176F0000}"/>
    <cellStyle name="Normal 3 3 2 2 2 3 3" xfId="11559" xr:uid="{00000000-0005-0000-0000-0000186F0000}"/>
    <cellStyle name="Normal 3 3 2 2 2 3 3 2" xfId="25390" xr:uid="{00000000-0005-0000-0000-0000196F0000}"/>
    <cellStyle name="Normal 3 3 2 2 2 3 4" xfId="31658" xr:uid="{00000000-0005-0000-0000-00001A6F0000}"/>
    <cellStyle name="Normal 3 3 2 2 2 4" xfId="7372" xr:uid="{00000000-0005-0000-0000-00001B6F0000}"/>
    <cellStyle name="Normal 3 3 2 2 2 4 2" xfId="12067" xr:uid="{00000000-0005-0000-0000-00001C6F0000}"/>
    <cellStyle name="Normal 3 3 2 2 2 4 2 2" xfId="25782" xr:uid="{00000000-0005-0000-0000-00001D6F0000}"/>
    <cellStyle name="Normal 3 3 2 2 2 4 3" xfId="31660" xr:uid="{00000000-0005-0000-0000-00001E6F0000}"/>
    <cellStyle name="Normal 3 3 2 2 2 5" xfId="7373" xr:uid="{00000000-0005-0000-0000-00001F6F0000}"/>
    <cellStyle name="Normal 3 3 2 2 2 5 2" xfId="13642" xr:uid="{00000000-0005-0000-0000-0000206F0000}"/>
    <cellStyle name="Normal 3 3 2 2 2 5 2 2" xfId="27191" xr:uid="{00000000-0005-0000-0000-0000216F0000}"/>
    <cellStyle name="Normal 3 3 2 2 2 5 3" xfId="31661" xr:uid="{00000000-0005-0000-0000-0000226F0000}"/>
    <cellStyle name="Normal 3 3 2 2 2 6" xfId="7374" xr:uid="{00000000-0005-0000-0000-0000236F0000}"/>
    <cellStyle name="Normal 3 3 2 2 2 6 2" xfId="14223" xr:uid="{00000000-0005-0000-0000-0000246F0000}"/>
    <cellStyle name="Normal 3 3 2 2 2 6 2 2" xfId="27772" xr:uid="{00000000-0005-0000-0000-0000256F0000}"/>
    <cellStyle name="Normal 3 3 2 2 2 6 3" xfId="31662" xr:uid="{00000000-0005-0000-0000-0000266F0000}"/>
    <cellStyle name="Normal 3 3 2 2 2 7" xfId="7375" xr:uid="{00000000-0005-0000-0000-0000276F0000}"/>
    <cellStyle name="Normal 3 3 2 2 2 7 2" xfId="16109" xr:uid="{00000000-0005-0000-0000-0000286F0000}"/>
    <cellStyle name="Normal 3 3 2 2 2 7 2 2" xfId="29516" xr:uid="{00000000-0005-0000-0000-0000296F0000}"/>
    <cellStyle name="Normal 3 3 2 2 2 7 3" xfId="31663" xr:uid="{00000000-0005-0000-0000-00002A6F0000}"/>
    <cellStyle name="Normal 3 3 2 2 2 8" xfId="10196" xr:uid="{00000000-0005-0000-0000-00002B6F0000}"/>
    <cellStyle name="Normal 3 3 2 2 2 8 2" xfId="24399" xr:uid="{00000000-0005-0000-0000-00002C6F0000}"/>
    <cellStyle name="Normal 3 3 2 2 2 9" xfId="31650" xr:uid="{00000000-0005-0000-0000-00002D6F0000}"/>
    <cellStyle name="Normal 3 3 2 2 3" xfId="7376" xr:uid="{00000000-0005-0000-0000-00002E6F0000}"/>
    <cellStyle name="Normal 3 3 2 2 3 2" xfId="7377" xr:uid="{00000000-0005-0000-0000-00002F6F0000}"/>
    <cellStyle name="Normal 3 3 2 2 3 2 2" xfId="7378" xr:uid="{00000000-0005-0000-0000-0000306F0000}"/>
    <cellStyle name="Normal 3 3 2 2 3 2 2 2" xfId="16836" xr:uid="{00000000-0005-0000-0000-0000316F0000}"/>
    <cellStyle name="Normal 3 3 2 2 3 2 2 2 2" xfId="30243" xr:uid="{00000000-0005-0000-0000-0000326F0000}"/>
    <cellStyle name="Normal 3 3 2 2 3 2 2 3" xfId="31666" xr:uid="{00000000-0005-0000-0000-0000336F0000}"/>
    <cellStyle name="Normal 3 3 2 2 3 2 3" xfId="11561" xr:uid="{00000000-0005-0000-0000-0000346F0000}"/>
    <cellStyle name="Normal 3 3 2 2 3 2 3 2" xfId="25392" xr:uid="{00000000-0005-0000-0000-0000356F0000}"/>
    <cellStyle name="Normal 3 3 2 2 3 2 4" xfId="31665" xr:uid="{00000000-0005-0000-0000-0000366F0000}"/>
    <cellStyle name="Normal 3 3 2 2 3 3" xfId="7379" xr:uid="{00000000-0005-0000-0000-0000376F0000}"/>
    <cellStyle name="Normal 3 3 2 2 3 3 2" xfId="12224" xr:uid="{00000000-0005-0000-0000-0000386F0000}"/>
    <cellStyle name="Normal 3 3 2 2 3 3 2 2" xfId="25936" xr:uid="{00000000-0005-0000-0000-0000396F0000}"/>
    <cellStyle name="Normal 3 3 2 2 3 3 3" xfId="31667" xr:uid="{00000000-0005-0000-0000-00003A6F0000}"/>
    <cellStyle name="Normal 3 3 2 2 3 4" xfId="7380" xr:uid="{00000000-0005-0000-0000-00003B6F0000}"/>
    <cellStyle name="Normal 3 3 2 2 3 4 2" xfId="13788" xr:uid="{00000000-0005-0000-0000-00003C6F0000}"/>
    <cellStyle name="Normal 3 3 2 2 3 4 2 2" xfId="27337" xr:uid="{00000000-0005-0000-0000-00003D6F0000}"/>
    <cellStyle name="Normal 3 3 2 2 3 4 3" xfId="31668" xr:uid="{00000000-0005-0000-0000-00003E6F0000}"/>
    <cellStyle name="Normal 3 3 2 2 3 5" xfId="7381" xr:uid="{00000000-0005-0000-0000-00003F6F0000}"/>
    <cellStyle name="Normal 3 3 2 2 3 5 2" xfId="14369" xr:uid="{00000000-0005-0000-0000-0000406F0000}"/>
    <cellStyle name="Normal 3 3 2 2 3 5 2 2" xfId="27918" xr:uid="{00000000-0005-0000-0000-0000416F0000}"/>
    <cellStyle name="Normal 3 3 2 2 3 5 3" xfId="31669" xr:uid="{00000000-0005-0000-0000-0000426F0000}"/>
    <cellStyle name="Normal 3 3 2 2 3 6" xfId="7382" xr:uid="{00000000-0005-0000-0000-0000436F0000}"/>
    <cellStyle name="Normal 3 3 2 2 3 6 2" xfId="16255" xr:uid="{00000000-0005-0000-0000-0000446F0000}"/>
    <cellStyle name="Normal 3 3 2 2 3 6 2 2" xfId="29662" xr:uid="{00000000-0005-0000-0000-0000456F0000}"/>
    <cellStyle name="Normal 3 3 2 2 3 6 3" xfId="31670" xr:uid="{00000000-0005-0000-0000-0000466F0000}"/>
    <cellStyle name="Normal 3 3 2 2 3 7" xfId="10198" xr:uid="{00000000-0005-0000-0000-0000476F0000}"/>
    <cellStyle name="Normal 3 3 2 2 3 7 2" xfId="24401" xr:uid="{00000000-0005-0000-0000-0000486F0000}"/>
    <cellStyle name="Normal 3 3 2 2 3 8" xfId="31664" xr:uid="{00000000-0005-0000-0000-0000496F0000}"/>
    <cellStyle name="Normal 3 3 2 2 4" xfId="7383" xr:uid="{00000000-0005-0000-0000-00004A6F0000}"/>
    <cellStyle name="Normal 3 3 2 2 4 2" xfId="7384" xr:uid="{00000000-0005-0000-0000-00004B6F0000}"/>
    <cellStyle name="Normal 3 3 2 2 4 2 2" xfId="17183" xr:uid="{00000000-0005-0000-0000-00004C6F0000}"/>
    <cellStyle name="Normal 3 3 2 2 4 2 2 2" xfId="30542" xr:uid="{00000000-0005-0000-0000-00004D6F0000}"/>
    <cellStyle name="Normal 3 3 2 2 4 2 3" xfId="31672" xr:uid="{00000000-0005-0000-0000-00004E6F0000}"/>
    <cellStyle name="Normal 3 3 2 2 4 3" xfId="11558" xr:uid="{00000000-0005-0000-0000-00004F6F0000}"/>
    <cellStyle name="Normal 3 3 2 2 4 3 2" xfId="25389" xr:uid="{00000000-0005-0000-0000-0000506F0000}"/>
    <cellStyle name="Normal 3 3 2 2 4 4" xfId="31671" xr:uid="{00000000-0005-0000-0000-0000516F0000}"/>
    <cellStyle name="Normal 3 3 2 2 5" xfId="7385" xr:uid="{00000000-0005-0000-0000-0000526F0000}"/>
    <cellStyle name="Normal 3 3 2 2 5 2" xfId="7386" xr:uid="{00000000-0005-0000-0000-0000536F0000}"/>
    <cellStyle name="Normal 3 3 2 2 5 2 2" xfId="17272" xr:uid="{00000000-0005-0000-0000-0000546F0000}"/>
    <cellStyle name="Normal 3 3 2 2 5 2 2 2" xfId="30631" xr:uid="{00000000-0005-0000-0000-0000556F0000}"/>
    <cellStyle name="Normal 3 3 2 2 5 2 3" xfId="31674" xr:uid="{00000000-0005-0000-0000-0000566F0000}"/>
    <cellStyle name="Normal 3 3 2 2 5 3" xfId="11922" xr:uid="{00000000-0005-0000-0000-0000576F0000}"/>
    <cellStyle name="Normal 3 3 2 2 5 3 2" xfId="25637" xr:uid="{00000000-0005-0000-0000-0000586F0000}"/>
    <cellStyle name="Normal 3 3 2 2 5 4" xfId="31673" xr:uid="{00000000-0005-0000-0000-0000596F0000}"/>
    <cellStyle name="Normal 3 3 2 2 6" xfId="7387" xr:uid="{00000000-0005-0000-0000-00005A6F0000}"/>
    <cellStyle name="Normal 3 3 2 2 6 2" xfId="7388" xr:uid="{00000000-0005-0000-0000-00005B6F0000}"/>
    <cellStyle name="Normal 3 3 2 2 6 2 2" xfId="16547" xr:uid="{00000000-0005-0000-0000-00005C6F0000}"/>
    <cellStyle name="Normal 3 3 2 2 6 2 2 2" xfId="29954" xr:uid="{00000000-0005-0000-0000-00005D6F0000}"/>
    <cellStyle name="Normal 3 3 2 2 6 2 3" xfId="31676" xr:uid="{00000000-0005-0000-0000-00005E6F0000}"/>
    <cellStyle name="Normal 3 3 2 2 6 3" xfId="13499" xr:uid="{00000000-0005-0000-0000-00005F6F0000}"/>
    <cellStyle name="Normal 3 3 2 2 6 3 2" xfId="27048" xr:uid="{00000000-0005-0000-0000-0000606F0000}"/>
    <cellStyle name="Normal 3 3 2 2 6 4" xfId="31675" xr:uid="{00000000-0005-0000-0000-0000616F0000}"/>
    <cellStyle name="Normal 3 3 2 2 7" xfId="7389" xr:uid="{00000000-0005-0000-0000-0000626F0000}"/>
    <cellStyle name="Normal 3 3 2 2 7 2" xfId="14080" xr:uid="{00000000-0005-0000-0000-0000636F0000}"/>
    <cellStyle name="Normal 3 3 2 2 7 2 2" xfId="27629" xr:uid="{00000000-0005-0000-0000-0000646F0000}"/>
    <cellStyle name="Normal 3 3 2 2 7 3" xfId="31677" xr:uid="{00000000-0005-0000-0000-0000656F0000}"/>
    <cellStyle name="Normal 3 3 2 2 8" xfId="7390" xr:uid="{00000000-0005-0000-0000-0000666F0000}"/>
    <cellStyle name="Normal 3 3 2 2 8 2" xfId="15966" xr:uid="{00000000-0005-0000-0000-0000676F0000}"/>
    <cellStyle name="Normal 3 3 2 2 8 2 2" xfId="29373" xr:uid="{00000000-0005-0000-0000-0000686F0000}"/>
    <cellStyle name="Normal 3 3 2 2 8 3" xfId="31678" xr:uid="{00000000-0005-0000-0000-0000696F0000}"/>
    <cellStyle name="Normal 3 3 2 2 9" xfId="10195" xr:uid="{00000000-0005-0000-0000-00006A6F0000}"/>
    <cellStyle name="Normal 3 3 2 2 9 2" xfId="24398" xr:uid="{00000000-0005-0000-0000-00006B6F0000}"/>
    <cellStyle name="Normal 3 3 2 3" xfId="7391" xr:uid="{00000000-0005-0000-0000-00006C6F0000}"/>
    <cellStyle name="Normal 3 3 2 3 2" xfId="7392" xr:uid="{00000000-0005-0000-0000-00006D6F0000}"/>
    <cellStyle name="Normal 3 3 2 3 2 2" xfId="7393" xr:uid="{00000000-0005-0000-0000-00006E6F0000}"/>
    <cellStyle name="Normal 3 3 2 3 2 2 2" xfId="7394" xr:uid="{00000000-0005-0000-0000-00006F6F0000}"/>
    <cellStyle name="Normal 3 3 2 3 2 2 2 2" xfId="16933" xr:uid="{00000000-0005-0000-0000-0000706F0000}"/>
    <cellStyle name="Normal 3 3 2 3 2 2 2 2 2" xfId="30340" xr:uid="{00000000-0005-0000-0000-0000716F0000}"/>
    <cellStyle name="Normal 3 3 2 3 2 2 2 3" xfId="31682" xr:uid="{00000000-0005-0000-0000-0000726F0000}"/>
    <cellStyle name="Normal 3 3 2 3 2 2 3" xfId="11563" xr:uid="{00000000-0005-0000-0000-0000736F0000}"/>
    <cellStyle name="Normal 3 3 2 3 2 2 3 2" xfId="25394" xr:uid="{00000000-0005-0000-0000-0000746F0000}"/>
    <cellStyle name="Normal 3 3 2 3 2 2 4" xfId="31681" xr:uid="{00000000-0005-0000-0000-0000756F0000}"/>
    <cellStyle name="Normal 3 3 2 3 2 3" xfId="7395" xr:uid="{00000000-0005-0000-0000-0000766F0000}"/>
    <cellStyle name="Normal 3 3 2 3 2 3 2" xfId="12321" xr:uid="{00000000-0005-0000-0000-0000776F0000}"/>
    <cellStyle name="Normal 3 3 2 3 2 3 2 2" xfId="26033" xr:uid="{00000000-0005-0000-0000-0000786F0000}"/>
    <cellStyle name="Normal 3 3 2 3 2 3 3" xfId="31683" xr:uid="{00000000-0005-0000-0000-0000796F0000}"/>
    <cellStyle name="Normal 3 3 2 3 2 4" xfId="7396" xr:uid="{00000000-0005-0000-0000-00007A6F0000}"/>
    <cellStyle name="Normal 3 3 2 3 2 4 2" xfId="13885" xr:uid="{00000000-0005-0000-0000-00007B6F0000}"/>
    <cellStyle name="Normal 3 3 2 3 2 4 2 2" xfId="27434" xr:uid="{00000000-0005-0000-0000-00007C6F0000}"/>
    <cellStyle name="Normal 3 3 2 3 2 4 3" xfId="31684" xr:uid="{00000000-0005-0000-0000-00007D6F0000}"/>
    <cellStyle name="Normal 3 3 2 3 2 5" xfId="7397" xr:uid="{00000000-0005-0000-0000-00007E6F0000}"/>
    <cellStyle name="Normal 3 3 2 3 2 5 2" xfId="14466" xr:uid="{00000000-0005-0000-0000-00007F6F0000}"/>
    <cellStyle name="Normal 3 3 2 3 2 5 2 2" xfId="28015" xr:uid="{00000000-0005-0000-0000-0000806F0000}"/>
    <cellStyle name="Normal 3 3 2 3 2 5 3" xfId="31685" xr:uid="{00000000-0005-0000-0000-0000816F0000}"/>
    <cellStyle name="Normal 3 3 2 3 2 6" xfId="7398" xr:uid="{00000000-0005-0000-0000-0000826F0000}"/>
    <cellStyle name="Normal 3 3 2 3 2 6 2" xfId="16352" xr:uid="{00000000-0005-0000-0000-0000836F0000}"/>
    <cellStyle name="Normal 3 3 2 3 2 6 2 2" xfId="29759" xr:uid="{00000000-0005-0000-0000-0000846F0000}"/>
    <cellStyle name="Normal 3 3 2 3 2 6 3" xfId="31686" xr:uid="{00000000-0005-0000-0000-0000856F0000}"/>
    <cellStyle name="Normal 3 3 2 3 2 7" xfId="10200" xr:uid="{00000000-0005-0000-0000-0000866F0000}"/>
    <cellStyle name="Normal 3 3 2 3 2 7 2" xfId="24403" xr:uid="{00000000-0005-0000-0000-0000876F0000}"/>
    <cellStyle name="Normal 3 3 2 3 2 8" xfId="31680" xr:uid="{00000000-0005-0000-0000-0000886F0000}"/>
    <cellStyle name="Normal 3 3 2 3 3" xfId="7399" xr:uid="{00000000-0005-0000-0000-0000896F0000}"/>
    <cellStyle name="Normal 3 3 2 3 3 2" xfId="7400" xr:uid="{00000000-0005-0000-0000-00008A6F0000}"/>
    <cellStyle name="Normal 3 3 2 3 3 2 2" xfId="16644" xr:uid="{00000000-0005-0000-0000-00008B6F0000}"/>
    <cellStyle name="Normal 3 3 2 3 3 2 2 2" xfId="30051" xr:uid="{00000000-0005-0000-0000-00008C6F0000}"/>
    <cellStyle name="Normal 3 3 2 3 3 2 3" xfId="31688" xr:uid="{00000000-0005-0000-0000-00008D6F0000}"/>
    <cellStyle name="Normal 3 3 2 3 3 3" xfId="11562" xr:uid="{00000000-0005-0000-0000-00008E6F0000}"/>
    <cellStyle name="Normal 3 3 2 3 3 3 2" xfId="25393" xr:uid="{00000000-0005-0000-0000-00008F6F0000}"/>
    <cellStyle name="Normal 3 3 2 3 3 4" xfId="31687" xr:uid="{00000000-0005-0000-0000-0000906F0000}"/>
    <cellStyle name="Normal 3 3 2 3 4" xfId="7401" xr:uid="{00000000-0005-0000-0000-0000916F0000}"/>
    <cellStyle name="Normal 3 3 2 3 4 2" xfId="12021" xr:uid="{00000000-0005-0000-0000-0000926F0000}"/>
    <cellStyle name="Normal 3 3 2 3 4 2 2" xfId="25736" xr:uid="{00000000-0005-0000-0000-0000936F0000}"/>
    <cellStyle name="Normal 3 3 2 3 4 3" xfId="31689" xr:uid="{00000000-0005-0000-0000-0000946F0000}"/>
    <cellStyle name="Normal 3 3 2 3 5" xfId="7402" xr:uid="{00000000-0005-0000-0000-0000956F0000}"/>
    <cellStyle name="Normal 3 3 2 3 5 2" xfId="13596" xr:uid="{00000000-0005-0000-0000-0000966F0000}"/>
    <cellStyle name="Normal 3 3 2 3 5 2 2" xfId="27145" xr:uid="{00000000-0005-0000-0000-0000976F0000}"/>
    <cellStyle name="Normal 3 3 2 3 5 3" xfId="31690" xr:uid="{00000000-0005-0000-0000-0000986F0000}"/>
    <cellStyle name="Normal 3 3 2 3 6" xfId="7403" xr:uid="{00000000-0005-0000-0000-0000996F0000}"/>
    <cellStyle name="Normal 3 3 2 3 6 2" xfId="14177" xr:uid="{00000000-0005-0000-0000-00009A6F0000}"/>
    <cellStyle name="Normal 3 3 2 3 6 2 2" xfId="27726" xr:uid="{00000000-0005-0000-0000-00009B6F0000}"/>
    <cellStyle name="Normal 3 3 2 3 6 3" xfId="31691" xr:uid="{00000000-0005-0000-0000-00009C6F0000}"/>
    <cellStyle name="Normal 3 3 2 3 7" xfId="7404" xr:uid="{00000000-0005-0000-0000-00009D6F0000}"/>
    <cellStyle name="Normal 3 3 2 3 7 2" xfId="16063" xr:uid="{00000000-0005-0000-0000-00009E6F0000}"/>
    <cellStyle name="Normal 3 3 2 3 7 2 2" xfId="29470" xr:uid="{00000000-0005-0000-0000-00009F6F0000}"/>
    <cellStyle name="Normal 3 3 2 3 7 3" xfId="31692" xr:uid="{00000000-0005-0000-0000-0000A06F0000}"/>
    <cellStyle name="Normal 3 3 2 3 8" xfId="10199" xr:uid="{00000000-0005-0000-0000-0000A16F0000}"/>
    <cellStyle name="Normal 3 3 2 3 8 2" xfId="24402" xr:uid="{00000000-0005-0000-0000-0000A26F0000}"/>
    <cellStyle name="Normal 3 3 2 3 9" xfId="31679" xr:uid="{00000000-0005-0000-0000-0000A36F0000}"/>
    <cellStyle name="Normal 3 3 2 4" xfId="7405" xr:uid="{00000000-0005-0000-0000-0000A46F0000}"/>
    <cellStyle name="Normal 3 3 2 4 2" xfId="7406" xr:uid="{00000000-0005-0000-0000-0000A56F0000}"/>
    <cellStyle name="Normal 3 3 2 4 2 2" xfId="7407" xr:uid="{00000000-0005-0000-0000-0000A66F0000}"/>
    <cellStyle name="Normal 3 3 2 4 2 2 2" xfId="16790" xr:uid="{00000000-0005-0000-0000-0000A76F0000}"/>
    <cellStyle name="Normal 3 3 2 4 2 2 2 2" xfId="30197" xr:uid="{00000000-0005-0000-0000-0000A86F0000}"/>
    <cellStyle name="Normal 3 3 2 4 2 2 3" xfId="31695" xr:uid="{00000000-0005-0000-0000-0000A96F0000}"/>
    <cellStyle name="Normal 3 3 2 4 2 3" xfId="11564" xr:uid="{00000000-0005-0000-0000-0000AA6F0000}"/>
    <cellStyle name="Normal 3 3 2 4 2 3 2" xfId="25395" xr:uid="{00000000-0005-0000-0000-0000AB6F0000}"/>
    <cellStyle name="Normal 3 3 2 4 2 4" xfId="31694" xr:uid="{00000000-0005-0000-0000-0000AC6F0000}"/>
    <cellStyle name="Normal 3 3 2 4 3" xfId="7408" xr:uid="{00000000-0005-0000-0000-0000AD6F0000}"/>
    <cellStyle name="Normal 3 3 2 4 3 2" xfId="12178" xr:uid="{00000000-0005-0000-0000-0000AE6F0000}"/>
    <cellStyle name="Normal 3 3 2 4 3 2 2" xfId="25890" xr:uid="{00000000-0005-0000-0000-0000AF6F0000}"/>
    <cellStyle name="Normal 3 3 2 4 3 3" xfId="31696" xr:uid="{00000000-0005-0000-0000-0000B06F0000}"/>
    <cellStyle name="Normal 3 3 2 4 4" xfId="7409" xr:uid="{00000000-0005-0000-0000-0000B16F0000}"/>
    <cellStyle name="Normal 3 3 2 4 4 2" xfId="13742" xr:uid="{00000000-0005-0000-0000-0000B26F0000}"/>
    <cellStyle name="Normal 3 3 2 4 4 2 2" xfId="27291" xr:uid="{00000000-0005-0000-0000-0000B36F0000}"/>
    <cellStyle name="Normal 3 3 2 4 4 3" xfId="31697" xr:uid="{00000000-0005-0000-0000-0000B46F0000}"/>
    <cellStyle name="Normal 3 3 2 4 5" xfId="7410" xr:uid="{00000000-0005-0000-0000-0000B56F0000}"/>
    <cellStyle name="Normal 3 3 2 4 5 2" xfId="14323" xr:uid="{00000000-0005-0000-0000-0000B66F0000}"/>
    <cellStyle name="Normal 3 3 2 4 5 2 2" xfId="27872" xr:uid="{00000000-0005-0000-0000-0000B76F0000}"/>
    <cellStyle name="Normal 3 3 2 4 5 3" xfId="31698" xr:uid="{00000000-0005-0000-0000-0000B86F0000}"/>
    <cellStyle name="Normal 3 3 2 4 6" xfId="7411" xr:uid="{00000000-0005-0000-0000-0000B96F0000}"/>
    <cellStyle name="Normal 3 3 2 4 6 2" xfId="16209" xr:uid="{00000000-0005-0000-0000-0000BA6F0000}"/>
    <cellStyle name="Normal 3 3 2 4 6 2 2" xfId="29616" xr:uid="{00000000-0005-0000-0000-0000BB6F0000}"/>
    <cellStyle name="Normal 3 3 2 4 6 3" xfId="31699" xr:uid="{00000000-0005-0000-0000-0000BC6F0000}"/>
    <cellStyle name="Normal 3 3 2 4 7" xfId="10201" xr:uid="{00000000-0005-0000-0000-0000BD6F0000}"/>
    <cellStyle name="Normal 3 3 2 4 7 2" xfId="24404" xr:uid="{00000000-0005-0000-0000-0000BE6F0000}"/>
    <cellStyle name="Normal 3 3 2 4 8" xfId="31693" xr:uid="{00000000-0005-0000-0000-0000BF6F0000}"/>
    <cellStyle name="Normal 3 3 2 5" xfId="7412" xr:uid="{00000000-0005-0000-0000-0000C06F0000}"/>
    <cellStyle name="Normal 3 3 2 5 2" xfId="7413" xr:uid="{00000000-0005-0000-0000-0000C16F0000}"/>
    <cellStyle name="Normal 3 3 2 5 2 2" xfId="17043" xr:uid="{00000000-0005-0000-0000-0000C26F0000}"/>
    <cellStyle name="Normal 3 3 2 5 2 2 2" xfId="30444" xr:uid="{00000000-0005-0000-0000-0000C36F0000}"/>
    <cellStyle name="Normal 3 3 2 5 2 3" xfId="31701" xr:uid="{00000000-0005-0000-0000-0000C46F0000}"/>
    <cellStyle name="Normal 3 3 2 5 3" xfId="11557" xr:uid="{00000000-0005-0000-0000-0000C56F0000}"/>
    <cellStyle name="Normal 3 3 2 5 3 2" xfId="25388" xr:uid="{00000000-0005-0000-0000-0000C66F0000}"/>
    <cellStyle name="Normal 3 3 2 5 4" xfId="31700" xr:uid="{00000000-0005-0000-0000-0000C76F0000}"/>
    <cellStyle name="Normal 3 3 2 6" xfId="7414" xr:uid="{00000000-0005-0000-0000-0000C86F0000}"/>
    <cellStyle name="Normal 3 3 2 6 2" xfId="7415" xr:uid="{00000000-0005-0000-0000-0000C96F0000}"/>
    <cellStyle name="Normal 3 3 2 6 2 2" xfId="17137" xr:uid="{00000000-0005-0000-0000-0000CA6F0000}"/>
    <cellStyle name="Normal 3 3 2 6 2 2 2" xfId="30496" xr:uid="{00000000-0005-0000-0000-0000CB6F0000}"/>
    <cellStyle name="Normal 3 3 2 6 2 3" xfId="31703" xr:uid="{00000000-0005-0000-0000-0000CC6F0000}"/>
    <cellStyle name="Normal 3 3 2 6 3" xfId="11865" xr:uid="{00000000-0005-0000-0000-0000CD6F0000}"/>
    <cellStyle name="Normal 3 3 2 6 3 2" xfId="25580" xr:uid="{00000000-0005-0000-0000-0000CE6F0000}"/>
    <cellStyle name="Normal 3 3 2 6 4" xfId="31702" xr:uid="{00000000-0005-0000-0000-0000CF6F0000}"/>
    <cellStyle name="Normal 3 3 2 7" xfId="7416" xr:uid="{00000000-0005-0000-0000-0000D06F0000}"/>
    <cellStyle name="Normal 3 3 2 7 2" xfId="7417" xr:uid="{00000000-0005-0000-0000-0000D16F0000}"/>
    <cellStyle name="Normal 3 3 2 7 2 2" xfId="17226" xr:uid="{00000000-0005-0000-0000-0000D26F0000}"/>
    <cellStyle name="Normal 3 3 2 7 2 2 2" xfId="30585" xr:uid="{00000000-0005-0000-0000-0000D36F0000}"/>
    <cellStyle name="Normal 3 3 2 7 2 3" xfId="31705" xr:uid="{00000000-0005-0000-0000-0000D46F0000}"/>
    <cellStyle name="Normal 3 3 2 7 3" xfId="13453" xr:uid="{00000000-0005-0000-0000-0000D56F0000}"/>
    <cellStyle name="Normal 3 3 2 7 3 2" xfId="27002" xr:uid="{00000000-0005-0000-0000-0000D66F0000}"/>
    <cellStyle name="Normal 3 3 2 7 4" xfId="31704" xr:uid="{00000000-0005-0000-0000-0000D76F0000}"/>
    <cellStyle name="Normal 3 3 2 8" xfId="7418" xr:uid="{00000000-0005-0000-0000-0000D86F0000}"/>
    <cellStyle name="Normal 3 3 2 8 2" xfId="7419" xr:uid="{00000000-0005-0000-0000-0000D96F0000}"/>
    <cellStyle name="Normal 3 3 2 8 2 2" xfId="16501" xr:uid="{00000000-0005-0000-0000-0000DA6F0000}"/>
    <cellStyle name="Normal 3 3 2 8 2 2 2" xfId="29908" xr:uid="{00000000-0005-0000-0000-0000DB6F0000}"/>
    <cellStyle name="Normal 3 3 2 8 2 3" xfId="31707" xr:uid="{00000000-0005-0000-0000-0000DC6F0000}"/>
    <cellStyle name="Normal 3 3 2 8 3" xfId="14034" xr:uid="{00000000-0005-0000-0000-0000DD6F0000}"/>
    <cellStyle name="Normal 3 3 2 8 3 2" xfId="27583" xr:uid="{00000000-0005-0000-0000-0000DE6F0000}"/>
    <cellStyle name="Normal 3 3 2 8 4" xfId="31706" xr:uid="{00000000-0005-0000-0000-0000DF6F0000}"/>
    <cellStyle name="Normal 3 3 2 9" xfId="7420" xr:uid="{00000000-0005-0000-0000-0000E06F0000}"/>
    <cellStyle name="Normal 3 3 2 9 2" xfId="15920" xr:uid="{00000000-0005-0000-0000-0000E16F0000}"/>
    <cellStyle name="Normal 3 3 2 9 2 2" xfId="29327" xr:uid="{00000000-0005-0000-0000-0000E26F0000}"/>
    <cellStyle name="Normal 3 3 2 9 3" xfId="31708" xr:uid="{00000000-0005-0000-0000-0000E36F0000}"/>
    <cellStyle name="Normal 3 3 3" xfId="7421" xr:uid="{00000000-0005-0000-0000-0000E46F0000}"/>
    <cellStyle name="Normal 3 3 3 10" xfId="31709" xr:uid="{00000000-0005-0000-0000-0000E56F0000}"/>
    <cellStyle name="Normal 3 3 3 2" xfId="7422" xr:uid="{00000000-0005-0000-0000-0000E66F0000}"/>
    <cellStyle name="Normal 3 3 3 2 2" xfId="7423" xr:uid="{00000000-0005-0000-0000-0000E76F0000}"/>
    <cellStyle name="Normal 3 3 3 2 2 2" xfId="7424" xr:uid="{00000000-0005-0000-0000-0000E86F0000}"/>
    <cellStyle name="Normal 3 3 3 2 2 2 2" xfId="7425" xr:uid="{00000000-0005-0000-0000-0000E96F0000}"/>
    <cellStyle name="Normal 3 3 3 2 2 2 2 2" xfId="16956" xr:uid="{00000000-0005-0000-0000-0000EA6F0000}"/>
    <cellStyle name="Normal 3 3 3 2 2 2 2 2 2" xfId="30363" xr:uid="{00000000-0005-0000-0000-0000EB6F0000}"/>
    <cellStyle name="Normal 3 3 3 2 2 2 2 3" xfId="31713" xr:uid="{00000000-0005-0000-0000-0000EC6F0000}"/>
    <cellStyle name="Normal 3 3 3 2 2 2 3" xfId="11567" xr:uid="{00000000-0005-0000-0000-0000ED6F0000}"/>
    <cellStyle name="Normal 3 3 3 2 2 2 3 2" xfId="25398" xr:uid="{00000000-0005-0000-0000-0000EE6F0000}"/>
    <cellStyle name="Normal 3 3 3 2 2 2 4" xfId="31712" xr:uid="{00000000-0005-0000-0000-0000EF6F0000}"/>
    <cellStyle name="Normal 3 3 3 2 2 3" xfId="7426" xr:uid="{00000000-0005-0000-0000-0000F06F0000}"/>
    <cellStyle name="Normal 3 3 3 2 2 3 2" xfId="12344" xr:uid="{00000000-0005-0000-0000-0000F16F0000}"/>
    <cellStyle name="Normal 3 3 3 2 2 3 2 2" xfId="26056" xr:uid="{00000000-0005-0000-0000-0000F26F0000}"/>
    <cellStyle name="Normal 3 3 3 2 2 3 3" xfId="31714" xr:uid="{00000000-0005-0000-0000-0000F36F0000}"/>
    <cellStyle name="Normal 3 3 3 2 2 4" xfId="7427" xr:uid="{00000000-0005-0000-0000-0000F46F0000}"/>
    <cellStyle name="Normal 3 3 3 2 2 4 2" xfId="13908" xr:uid="{00000000-0005-0000-0000-0000F56F0000}"/>
    <cellStyle name="Normal 3 3 3 2 2 4 2 2" xfId="27457" xr:uid="{00000000-0005-0000-0000-0000F66F0000}"/>
    <cellStyle name="Normal 3 3 3 2 2 4 3" xfId="31715" xr:uid="{00000000-0005-0000-0000-0000F76F0000}"/>
    <cellStyle name="Normal 3 3 3 2 2 5" xfId="7428" xr:uid="{00000000-0005-0000-0000-0000F86F0000}"/>
    <cellStyle name="Normal 3 3 3 2 2 5 2" xfId="14489" xr:uid="{00000000-0005-0000-0000-0000F96F0000}"/>
    <cellStyle name="Normal 3 3 3 2 2 5 2 2" xfId="28038" xr:uid="{00000000-0005-0000-0000-0000FA6F0000}"/>
    <cellStyle name="Normal 3 3 3 2 2 5 3" xfId="31716" xr:uid="{00000000-0005-0000-0000-0000FB6F0000}"/>
    <cellStyle name="Normal 3 3 3 2 2 6" xfId="7429" xr:uid="{00000000-0005-0000-0000-0000FC6F0000}"/>
    <cellStyle name="Normal 3 3 3 2 2 6 2" xfId="16375" xr:uid="{00000000-0005-0000-0000-0000FD6F0000}"/>
    <cellStyle name="Normal 3 3 3 2 2 6 2 2" xfId="29782" xr:uid="{00000000-0005-0000-0000-0000FE6F0000}"/>
    <cellStyle name="Normal 3 3 3 2 2 6 3" xfId="31717" xr:uid="{00000000-0005-0000-0000-0000FF6F0000}"/>
    <cellStyle name="Normal 3 3 3 2 2 7" xfId="10204" xr:uid="{00000000-0005-0000-0000-000000700000}"/>
    <cellStyle name="Normal 3 3 3 2 2 7 2" xfId="24407" xr:uid="{00000000-0005-0000-0000-000001700000}"/>
    <cellStyle name="Normal 3 3 3 2 2 8" xfId="31711" xr:uid="{00000000-0005-0000-0000-000002700000}"/>
    <cellStyle name="Normal 3 3 3 2 3" xfId="7430" xr:uid="{00000000-0005-0000-0000-000003700000}"/>
    <cellStyle name="Normal 3 3 3 2 3 2" xfId="7431" xr:uid="{00000000-0005-0000-0000-000004700000}"/>
    <cellStyle name="Normal 3 3 3 2 3 2 2" xfId="16667" xr:uid="{00000000-0005-0000-0000-000005700000}"/>
    <cellStyle name="Normal 3 3 3 2 3 2 2 2" xfId="30074" xr:uid="{00000000-0005-0000-0000-000006700000}"/>
    <cellStyle name="Normal 3 3 3 2 3 2 3" xfId="31719" xr:uid="{00000000-0005-0000-0000-000007700000}"/>
    <cellStyle name="Normal 3 3 3 2 3 3" xfId="11566" xr:uid="{00000000-0005-0000-0000-000008700000}"/>
    <cellStyle name="Normal 3 3 3 2 3 3 2" xfId="25397" xr:uid="{00000000-0005-0000-0000-000009700000}"/>
    <cellStyle name="Normal 3 3 3 2 3 4" xfId="31718" xr:uid="{00000000-0005-0000-0000-00000A700000}"/>
    <cellStyle name="Normal 3 3 3 2 4" xfId="7432" xr:uid="{00000000-0005-0000-0000-00000B700000}"/>
    <cellStyle name="Normal 3 3 3 2 4 2" xfId="12044" xr:uid="{00000000-0005-0000-0000-00000C700000}"/>
    <cellStyle name="Normal 3 3 3 2 4 2 2" xfId="25759" xr:uid="{00000000-0005-0000-0000-00000D700000}"/>
    <cellStyle name="Normal 3 3 3 2 4 3" xfId="31720" xr:uid="{00000000-0005-0000-0000-00000E700000}"/>
    <cellStyle name="Normal 3 3 3 2 5" xfId="7433" xr:uid="{00000000-0005-0000-0000-00000F700000}"/>
    <cellStyle name="Normal 3 3 3 2 5 2" xfId="13619" xr:uid="{00000000-0005-0000-0000-000010700000}"/>
    <cellStyle name="Normal 3 3 3 2 5 2 2" xfId="27168" xr:uid="{00000000-0005-0000-0000-000011700000}"/>
    <cellStyle name="Normal 3 3 3 2 5 3" xfId="31721" xr:uid="{00000000-0005-0000-0000-000012700000}"/>
    <cellStyle name="Normal 3 3 3 2 6" xfId="7434" xr:uid="{00000000-0005-0000-0000-000013700000}"/>
    <cellStyle name="Normal 3 3 3 2 6 2" xfId="14200" xr:uid="{00000000-0005-0000-0000-000014700000}"/>
    <cellStyle name="Normal 3 3 3 2 6 2 2" xfId="27749" xr:uid="{00000000-0005-0000-0000-000015700000}"/>
    <cellStyle name="Normal 3 3 3 2 6 3" xfId="31722" xr:uid="{00000000-0005-0000-0000-000016700000}"/>
    <cellStyle name="Normal 3 3 3 2 7" xfId="7435" xr:uid="{00000000-0005-0000-0000-000017700000}"/>
    <cellStyle name="Normal 3 3 3 2 7 2" xfId="16086" xr:uid="{00000000-0005-0000-0000-000018700000}"/>
    <cellStyle name="Normal 3 3 3 2 7 2 2" xfId="29493" xr:uid="{00000000-0005-0000-0000-000019700000}"/>
    <cellStyle name="Normal 3 3 3 2 7 3" xfId="31723" xr:uid="{00000000-0005-0000-0000-00001A700000}"/>
    <cellStyle name="Normal 3 3 3 2 8" xfId="10203" xr:uid="{00000000-0005-0000-0000-00001B700000}"/>
    <cellStyle name="Normal 3 3 3 2 8 2" xfId="24406" xr:uid="{00000000-0005-0000-0000-00001C700000}"/>
    <cellStyle name="Normal 3 3 3 2 9" xfId="31710" xr:uid="{00000000-0005-0000-0000-00001D700000}"/>
    <cellStyle name="Normal 3 3 3 3" xfId="7436" xr:uid="{00000000-0005-0000-0000-00001E700000}"/>
    <cellStyle name="Normal 3 3 3 3 2" xfId="7437" xr:uid="{00000000-0005-0000-0000-00001F700000}"/>
    <cellStyle name="Normal 3 3 3 3 2 2" xfId="7438" xr:uid="{00000000-0005-0000-0000-000020700000}"/>
    <cellStyle name="Normal 3 3 3 3 2 2 2" xfId="16813" xr:uid="{00000000-0005-0000-0000-000021700000}"/>
    <cellStyle name="Normal 3 3 3 3 2 2 2 2" xfId="30220" xr:uid="{00000000-0005-0000-0000-000022700000}"/>
    <cellStyle name="Normal 3 3 3 3 2 2 3" xfId="31726" xr:uid="{00000000-0005-0000-0000-000023700000}"/>
    <cellStyle name="Normal 3 3 3 3 2 3" xfId="11568" xr:uid="{00000000-0005-0000-0000-000024700000}"/>
    <cellStyle name="Normal 3 3 3 3 2 3 2" xfId="25399" xr:uid="{00000000-0005-0000-0000-000025700000}"/>
    <cellStyle name="Normal 3 3 3 3 2 4" xfId="31725" xr:uid="{00000000-0005-0000-0000-000026700000}"/>
    <cellStyle name="Normal 3 3 3 3 3" xfId="7439" xr:uid="{00000000-0005-0000-0000-000027700000}"/>
    <cellStyle name="Normal 3 3 3 3 3 2" xfId="12201" xr:uid="{00000000-0005-0000-0000-000028700000}"/>
    <cellStyle name="Normal 3 3 3 3 3 2 2" xfId="25913" xr:uid="{00000000-0005-0000-0000-000029700000}"/>
    <cellStyle name="Normal 3 3 3 3 3 3" xfId="31727" xr:uid="{00000000-0005-0000-0000-00002A700000}"/>
    <cellStyle name="Normal 3 3 3 3 4" xfId="7440" xr:uid="{00000000-0005-0000-0000-00002B700000}"/>
    <cellStyle name="Normal 3 3 3 3 4 2" xfId="13765" xr:uid="{00000000-0005-0000-0000-00002C700000}"/>
    <cellStyle name="Normal 3 3 3 3 4 2 2" xfId="27314" xr:uid="{00000000-0005-0000-0000-00002D700000}"/>
    <cellStyle name="Normal 3 3 3 3 4 3" xfId="31728" xr:uid="{00000000-0005-0000-0000-00002E700000}"/>
    <cellStyle name="Normal 3 3 3 3 5" xfId="7441" xr:uid="{00000000-0005-0000-0000-00002F700000}"/>
    <cellStyle name="Normal 3 3 3 3 5 2" xfId="14346" xr:uid="{00000000-0005-0000-0000-000030700000}"/>
    <cellStyle name="Normal 3 3 3 3 5 2 2" xfId="27895" xr:uid="{00000000-0005-0000-0000-000031700000}"/>
    <cellStyle name="Normal 3 3 3 3 5 3" xfId="31729" xr:uid="{00000000-0005-0000-0000-000032700000}"/>
    <cellStyle name="Normal 3 3 3 3 6" xfId="7442" xr:uid="{00000000-0005-0000-0000-000033700000}"/>
    <cellStyle name="Normal 3 3 3 3 6 2" xfId="16232" xr:uid="{00000000-0005-0000-0000-000034700000}"/>
    <cellStyle name="Normal 3 3 3 3 6 2 2" xfId="29639" xr:uid="{00000000-0005-0000-0000-000035700000}"/>
    <cellStyle name="Normal 3 3 3 3 6 3" xfId="31730" xr:uid="{00000000-0005-0000-0000-000036700000}"/>
    <cellStyle name="Normal 3 3 3 3 7" xfId="10205" xr:uid="{00000000-0005-0000-0000-000037700000}"/>
    <cellStyle name="Normal 3 3 3 3 7 2" xfId="24408" xr:uid="{00000000-0005-0000-0000-000038700000}"/>
    <cellStyle name="Normal 3 3 3 3 8" xfId="31724" xr:uid="{00000000-0005-0000-0000-000039700000}"/>
    <cellStyle name="Normal 3 3 3 4" xfId="7443" xr:uid="{00000000-0005-0000-0000-00003A700000}"/>
    <cellStyle name="Normal 3 3 3 4 2" xfId="7444" xr:uid="{00000000-0005-0000-0000-00003B700000}"/>
    <cellStyle name="Normal 3 3 3 4 2 2" xfId="17160" xr:uid="{00000000-0005-0000-0000-00003C700000}"/>
    <cellStyle name="Normal 3 3 3 4 2 2 2" xfId="30519" xr:uid="{00000000-0005-0000-0000-00003D700000}"/>
    <cellStyle name="Normal 3 3 3 4 2 3" xfId="31732" xr:uid="{00000000-0005-0000-0000-00003E700000}"/>
    <cellStyle name="Normal 3 3 3 4 3" xfId="11565" xr:uid="{00000000-0005-0000-0000-00003F700000}"/>
    <cellStyle name="Normal 3 3 3 4 3 2" xfId="25396" xr:uid="{00000000-0005-0000-0000-000040700000}"/>
    <cellStyle name="Normal 3 3 3 4 4" xfId="31731" xr:uid="{00000000-0005-0000-0000-000041700000}"/>
    <cellStyle name="Normal 3 3 3 5" xfId="7445" xr:uid="{00000000-0005-0000-0000-000042700000}"/>
    <cellStyle name="Normal 3 3 3 5 2" xfId="7446" xr:uid="{00000000-0005-0000-0000-000043700000}"/>
    <cellStyle name="Normal 3 3 3 5 2 2" xfId="17249" xr:uid="{00000000-0005-0000-0000-000044700000}"/>
    <cellStyle name="Normal 3 3 3 5 2 2 2" xfId="30608" xr:uid="{00000000-0005-0000-0000-000045700000}"/>
    <cellStyle name="Normal 3 3 3 5 2 3" xfId="31734" xr:uid="{00000000-0005-0000-0000-000046700000}"/>
    <cellStyle name="Normal 3 3 3 5 3" xfId="11899" xr:uid="{00000000-0005-0000-0000-000047700000}"/>
    <cellStyle name="Normal 3 3 3 5 3 2" xfId="25614" xr:uid="{00000000-0005-0000-0000-000048700000}"/>
    <cellStyle name="Normal 3 3 3 5 4" xfId="31733" xr:uid="{00000000-0005-0000-0000-000049700000}"/>
    <cellStyle name="Normal 3 3 3 6" xfId="7447" xr:uid="{00000000-0005-0000-0000-00004A700000}"/>
    <cellStyle name="Normal 3 3 3 6 2" xfId="7448" xr:uid="{00000000-0005-0000-0000-00004B700000}"/>
    <cellStyle name="Normal 3 3 3 6 2 2" xfId="16524" xr:uid="{00000000-0005-0000-0000-00004C700000}"/>
    <cellStyle name="Normal 3 3 3 6 2 2 2" xfId="29931" xr:uid="{00000000-0005-0000-0000-00004D700000}"/>
    <cellStyle name="Normal 3 3 3 6 2 3" xfId="31736" xr:uid="{00000000-0005-0000-0000-00004E700000}"/>
    <cellStyle name="Normal 3 3 3 6 3" xfId="13476" xr:uid="{00000000-0005-0000-0000-00004F700000}"/>
    <cellStyle name="Normal 3 3 3 6 3 2" xfId="27025" xr:uid="{00000000-0005-0000-0000-000050700000}"/>
    <cellStyle name="Normal 3 3 3 6 4" xfId="31735" xr:uid="{00000000-0005-0000-0000-000051700000}"/>
    <cellStyle name="Normal 3 3 3 7" xfId="7449" xr:uid="{00000000-0005-0000-0000-000052700000}"/>
    <cellStyle name="Normal 3 3 3 7 2" xfId="14057" xr:uid="{00000000-0005-0000-0000-000053700000}"/>
    <cellStyle name="Normal 3 3 3 7 2 2" xfId="27606" xr:uid="{00000000-0005-0000-0000-000054700000}"/>
    <cellStyle name="Normal 3 3 3 7 3" xfId="31737" xr:uid="{00000000-0005-0000-0000-000055700000}"/>
    <cellStyle name="Normal 3 3 3 8" xfId="7450" xr:uid="{00000000-0005-0000-0000-000056700000}"/>
    <cellStyle name="Normal 3 3 3 8 2" xfId="15943" xr:uid="{00000000-0005-0000-0000-000057700000}"/>
    <cellStyle name="Normal 3 3 3 8 2 2" xfId="29350" xr:uid="{00000000-0005-0000-0000-000058700000}"/>
    <cellStyle name="Normal 3 3 3 8 3" xfId="31738" xr:uid="{00000000-0005-0000-0000-000059700000}"/>
    <cellStyle name="Normal 3 3 3 9" xfId="10202" xr:uid="{00000000-0005-0000-0000-00005A700000}"/>
    <cellStyle name="Normal 3 3 3 9 2" xfId="24405" xr:uid="{00000000-0005-0000-0000-00005B700000}"/>
    <cellStyle name="Normal 3 3 4" xfId="7451" xr:uid="{00000000-0005-0000-0000-00005C700000}"/>
    <cellStyle name="Normal 3 3 4 10" xfId="31739" xr:uid="{00000000-0005-0000-0000-00005D700000}"/>
    <cellStyle name="Normal 3 3 4 2" xfId="7452" xr:uid="{00000000-0005-0000-0000-00005E700000}"/>
    <cellStyle name="Normal 3 3 4 2 2" xfId="7453" xr:uid="{00000000-0005-0000-0000-00005F700000}"/>
    <cellStyle name="Normal 3 3 4 2 2 2" xfId="7454" xr:uid="{00000000-0005-0000-0000-000060700000}"/>
    <cellStyle name="Normal 3 3 4 2 2 2 2" xfId="7455" xr:uid="{00000000-0005-0000-0000-000061700000}"/>
    <cellStyle name="Normal 3 3 4 2 2 2 2 2" xfId="16999" xr:uid="{00000000-0005-0000-0000-000062700000}"/>
    <cellStyle name="Normal 3 3 4 2 2 2 2 2 2" xfId="30406" xr:uid="{00000000-0005-0000-0000-000063700000}"/>
    <cellStyle name="Normal 3 3 4 2 2 2 2 3" xfId="31743" xr:uid="{00000000-0005-0000-0000-000064700000}"/>
    <cellStyle name="Normal 3 3 4 2 2 2 3" xfId="11571" xr:uid="{00000000-0005-0000-0000-000065700000}"/>
    <cellStyle name="Normal 3 3 4 2 2 2 3 2" xfId="25402" xr:uid="{00000000-0005-0000-0000-000066700000}"/>
    <cellStyle name="Normal 3 3 4 2 2 2 4" xfId="31742" xr:uid="{00000000-0005-0000-0000-000067700000}"/>
    <cellStyle name="Normal 3 3 4 2 2 3" xfId="7456" xr:uid="{00000000-0005-0000-0000-000068700000}"/>
    <cellStyle name="Normal 3 3 4 2 2 3 2" xfId="12387" xr:uid="{00000000-0005-0000-0000-000069700000}"/>
    <cellStyle name="Normal 3 3 4 2 2 3 2 2" xfId="26099" xr:uid="{00000000-0005-0000-0000-00006A700000}"/>
    <cellStyle name="Normal 3 3 4 2 2 3 3" xfId="31744" xr:uid="{00000000-0005-0000-0000-00006B700000}"/>
    <cellStyle name="Normal 3 3 4 2 2 4" xfId="7457" xr:uid="{00000000-0005-0000-0000-00006C700000}"/>
    <cellStyle name="Normal 3 3 4 2 2 4 2" xfId="13951" xr:uid="{00000000-0005-0000-0000-00006D700000}"/>
    <cellStyle name="Normal 3 3 4 2 2 4 2 2" xfId="27500" xr:uid="{00000000-0005-0000-0000-00006E700000}"/>
    <cellStyle name="Normal 3 3 4 2 2 4 3" xfId="31745" xr:uid="{00000000-0005-0000-0000-00006F700000}"/>
    <cellStyle name="Normal 3 3 4 2 2 5" xfId="7458" xr:uid="{00000000-0005-0000-0000-000070700000}"/>
    <cellStyle name="Normal 3 3 4 2 2 5 2" xfId="14532" xr:uid="{00000000-0005-0000-0000-000071700000}"/>
    <cellStyle name="Normal 3 3 4 2 2 5 2 2" xfId="28081" xr:uid="{00000000-0005-0000-0000-000072700000}"/>
    <cellStyle name="Normal 3 3 4 2 2 5 3" xfId="31746" xr:uid="{00000000-0005-0000-0000-000073700000}"/>
    <cellStyle name="Normal 3 3 4 2 2 6" xfId="7459" xr:uid="{00000000-0005-0000-0000-000074700000}"/>
    <cellStyle name="Normal 3 3 4 2 2 6 2" xfId="16418" xr:uid="{00000000-0005-0000-0000-000075700000}"/>
    <cellStyle name="Normal 3 3 4 2 2 6 2 2" xfId="29825" xr:uid="{00000000-0005-0000-0000-000076700000}"/>
    <cellStyle name="Normal 3 3 4 2 2 6 3" xfId="31747" xr:uid="{00000000-0005-0000-0000-000077700000}"/>
    <cellStyle name="Normal 3 3 4 2 2 7" xfId="10208" xr:uid="{00000000-0005-0000-0000-000078700000}"/>
    <cellStyle name="Normal 3 3 4 2 2 7 2" xfId="24411" xr:uid="{00000000-0005-0000-0000-000079700000}"/>
    <cellStyle name="Normal 3 3 4 2 2 8" xfId="31741" xr:uid="{00000000-0005-0000-0000-00007A700000}"/>
    <cellStyle name="Normal 3 3 4 2 3" xfId="7460" xr:uid="{00000000-0005-0000-0000-00007B700000}"/>
    <cellStyle name="Normal 3 3 4 2 3 2" xfId="7461" xr:uid="{00000000-0005-0000-0000-00007C700000}"/>
    <cellStyle name="Normal 3 3 4 2 3 2 2" xfId="16710" xr:uid="{00000000-0005-0000-0000-00007D700000}"/>
    <cellStyle name="Normal 3 3 4 2 3 2 2 2" xfId="30117" xr:uid="{00000000-0005-0000-0000-00007E700000}"/>
    <cellStyle name="Normal 3 3 4 2 3 2 3" xfId="31749" xr:uid="{00000000-0005-0000-0000-00007F700000}"/>
    <cellStyle name="Normal 3 3 4 2 3 3" xfId="11570" xr:uid="{00000000-0005-0000-0000-000080700000}"/>
    <cellStyle name="Normal 3 3 4 2 3 3 2" xfId="25401" xr:uid="{00000000-0005-0000-0000-000081700000}"/>
    <cellStyle name="Normal 3 3 4 2 3 4" xfId="31748" xr:uid="{00000000-0005-0000-0000-000082700000}"/>
    <cellStyle name="Normal 3 3 4 2 4" xfId="7462" xr:uid="{00000000-0005-0000-0000-000083700000}"/>
    <cellStyle name="Normal 3 3 4 2 4 2" xfId="12087" xr:uid="{00000000-0005-0000-0000-000084700000}"/>
    <cellStyle name="Normal 3 3 4 2 4 2 2" xfId="25802" xr:uid="{00000000-0005-0000-0000-000085700000}"/>
    <cellStyle name="Normal 3 3 4 2 4 3" xfId="31750" xr:uid="{00000000-0005-0000-0000-000086700000}"/>
    <cellStyle name="Normal 3 3 4 2 5" xfId="7463" xr:uid="{00000000-0005-0000-0000-000087700000}"/>
    <cellStyle name="Normal 3 3 4 2 5 2" xfId="13662" xr:uid="{00000000-0005-0000-0000-000088700000}"/>
    <cellStyle name="Normal 3 3 4 2 5 2 2" xfId="27211" xr:uid="{00000000-0005-0000-0000-000089700000}"/>
    <cellStyle name="Normal 3 3 4 2 5 3" xfId="31751" xr:uid="{00000000-0005-0000-0000-00008A700000}"/>
    <cellStyle name="Normal 3 3 4 2 6" xfId="7464" xr:uid="{00000000-0005-0000-0000-00008B700000}"/>
    <cellStyle name="Normal 3 3 4 2 6 2" xfId="14243" xr:uid="{00000000-0005-0000-0000-00008C700000}"/>
    <cellStyle name="Normal 3 3 4 2 6 2 2" xfId="27792" xr:uid="{00000000-0005-0000-0000-00008D700000}"/>
    <cellStyle name="Normal 3 3 4 2 6 3" xfId="31752" xr:uid="{00000000-0005-0000-0000-00008E700000}"/>
    <cellStyle name="Normal 3 3 4 2 7" xfId="7465" xr:uid="{00000000-0005-0000-0000-00008F700000}"/>
    <cellStyle name="Normal 3 3 4 2 7 2" xfId="16129" xr:uid="{00000000-0005-0000-0000-000090700000}"/>
    <cellStyle name="Normal 3 3 4 2 7 2 2" xfId="29536" xr:uid="{00000000-0005-0000-0000-000091700000}"/>
    <cellStyle name="Normal 3 3 4 2 7 3" xfId="31753" xr:uid="{00000000-0005-0000-0000-000092700000}"/>
    <cellStyle name="Normal 3 3 4 2 8" xfId="10207" xr:uid="{00000000-0005-0000-0000-000093700000}"/>
    <cellStyle name="Normal 3 3 4 2 8 2" xfId="24410" xr:uid="{00000000-0005-0000-0000-000094700000}"/>
    <cellStyle name="Normal 3 3 4 2 9" xfId="31740" xr:uid="{00000000-0005-0000-0000-000095700000}"/>
    <cellStyle name="Normal 3 3 4 3" xfId="7466" xr:uid="{00000000-0005-0000-0000-000096700000}"/>
    <cellStyle name="Normal 3 3 4 3 2" xfId="7467" xr:uid="{00000000-0005-0000-0000-000097700000}"/>
    <cellStyle name="Normal 3 3 4 3 2 2" xfId="7468" xr:uid="{00000000-0005-0000-0000-000098700000}"/>
    <cellStyle name="Normal 3 3 4 3 2 2 2" xfId="16856" xr:uid="{00000000-0005-0000-0000-000099700000}"/>
    <cellStyle name="Normal 3 3 4 3 2 2 2 2" xfId="30263" xr:uid="{00000000-0005-0000-0000-00009A700000}"/>
    <cellStyle name="Normal 3 3 4 3 2 2 3" xfId="31756" xr:uid="{00000000-0005-0000-0000-00009B700000}"/>
    <cellStyle name="Normal 3 3 4 3 2 3" xfId="11572" xr:uid="{00000000-0005-0000-0000-00009C700000}"/>
    <cellStyle name="Normal 3 3 4 3 2 3 2" xfId="25403" xr:uid="{00000000-0005-0000-0000-00009D700000}"/>
    <cellStyle name="Normal 3 3 4 3 2 4" xfId="31755" xr:uid="{00000000-0005-0000-0000-00009E700000}"/>
    <cellStyle name="Normal 3 3 4 3 3" xfId="7469" xr:uid="{00000000-0005-0000-0000-00009F700000}"/>
    <cellStyle name="Normal 3 3 4 3 3 2" xfId="12244" xr:uid="{00000000-0005-0000-0000-0000A0700000}"/>
    <cellStyle name="Normal 3 3 4 3 3 2 2" xfId="25956" xr:uid="{00000000-0005-0000-0000-0000A1700000}"/>
    <cellStyle name="Normal 3 3 4 3 3 3" xfId="31757" xr:uid="{00000000-0005-0000-0000-0000A2700000}"/>
    <cellStyle name="Normal 3 3 4 3 4" xfId="7470" xr:uid="{00000000-0005-0000-0000-0000A3700000}"/>
    <cellStyle name="Normal 3 3 4 3 4 2" xfId="13808" xr:uid="{00000000-0005-0000-0000-0000A4700000}"/>
    <cellStyle name="Normal 3 3 4 3 4 2 2" xfId="27357" xr:uid="{00000000-0005-0000-0000-0000A5700000}"/>
    <cellStyle name="Normal 3 3 4 3 4 3" xfId="31758" xr:uid="{00000000-0005-0000-0000-0000A6700000}"/>
    <cellStyle name="Normal 3 3 4 3 5" xfId="7471" xr:uid="{00000000-0005-0000-0000-0000A7700000}"/>
    <cellStyle name="Normal 3 3 4 3 5 2" xfId="14389" xr:uid="{00000000-0005-0000-0000-0000A8700000}"/>
    <cellStyle name="Normal 3 3 4 3 5 2 2" xfId="27938" xr:uid="{00000000-0005-0000-0000-0000A9700000}"/>
    <cellStyle name="Normal 3 3 4 3 5 3" xfId="31759" xr:uid="{00000000-0005-0000-0000-0000AA700000}"/>
    <cellStyle name="Normal 3 3 4 3 6" xfId="7472" xr:uid="{00000000-0005-0000-0000-0000AB700000}"/>
    <cellStyle name="Normal 3 3 4 3 6 2" xfId="16275" xr:uid="{00000000-0005-0000-0000-0000AC700000}"/>
    <cellStyle name="Normal 3 3 4 3 6 2 2" xfId="29682" xr:uid="{00000000-0005-0000-0000-0000AD700000}"/>
    <cellStyle name="Normal 3 3 4 3 6 3" xfId="31760" xr:uid="{00000000-0005-0000-0000-0000AE700000}"/>
    <cellStyle name="Normal 3 3 4 3 7" xfId="10209" xr:uid="{00000000-0005-0000-0000-0000AF700000}"/>
    <cellStyle name="Normal 3 3 4 3 7 2" xfId="24412" xr:uid="{00000000-0005-0000-0000-0000B0700000}"/>
    <cellStyle name="Normal 3 3 4 3 8" xfId="31754" xr:uid="{00000000-0005-0000-0000-0000B1700000}"/>
    <cellStyle name="Normal 3 3 4 4" xfId="7473" xr:uid="{00000000-0005-0000-0000-0000B2700000}"/>
    <cellStyle name="Normal 3 3 4 4 2" xfId="7474" xr:uid="{00000000-0005-0000-0000-0000B3700000}"/>
    <cellStyle name="Normal 3 3 4 4 2 2" xfId="16567" xr:uid="{00000000-0005-0000-0000-0000B4700000}"/>
    <cellStyle name="Normal 3 3 4 4 2 2 2" xfId="29974" xr:uid="{00000000-0005-0000-0000-0000B5700000}"/>
    <cellStyle name="Normal 3 3 4 4 2 3" xfId="31762" xr:uid="{00000000-0005-0000-0000-0000B6700000}"/>
    <cellStyle name="Normal 3 3 4 4 3" xfId="11569" xr:uid="{00000000-0005-0000-0000-0000B7700000}"/>
    <cellStyle name="Normal 3 3 4 4 3 2" xfId="25400" xr:uid="{00000000-0005-0000-0000-0000B8700000}"/>
    <cellStyle name="Normal 3 3 4 4 4" xfId="31761" xr:uid="{00000000-0005-0000-0000-0000B9700000}"/>
    <cellStyle name="Normal 3 3 4 5" xfId="7475" xr:uid="{00000000-0005-0000-0000-0000BA700000}"/>
    <cellStyle name="Normal 3 3 4 5 2" xfId="11942" xr:uid="{00000000-0005-0000-0000-0000BB700000}"/>
    <cellStyle name="Normal 3 3 4 5 2 2" xfId="25657" xr:uid="{00000000-0005-0000-0000-0000BC700000}"/>
    <cellStyle name="Normal 3 3 4 5 3" xfId="31763" xr:uid="{00000000-0005-0000-0000-0000BD700000}"/>
    <cellStyle name="Normal 3 3 4 6" xfId="7476" xr:uid="{00000000-0005-0000-0000-0000BE700000}"/>
    <cellStyle name="Normal 3 3 4 6 2" xfId="13519" xr:uid="{00000000-0005-0000-0000-0000BF700000}"/>
    <cellStyle name="Normal 3 3 4 6 2 2" xfId="27068" xr:uid="{00000000-0005-0000-0000-0000C0700000}"/>
    <cellStyle name="Normal 3 3 4 6 3" xfId="31764" xr:uid="{00000000-0005-0000-0000-0000C1700000}"/>
    <cellStyle name="Normal 3 3 4 7" xfId="7477" xr:uid="{00000000-0005-0000-0000-0000C2700000}"/>
    <cellStyle name="Normal 3 3 4 7 2" xfId="14100" xr:uid="{00000000-0005-0000-0000-0000C3700000}"/>
    <cellStyle name="Normal 3 3 4 7 2 2" xfId="27649" xr:uid="{00000000-0005-0000-0000-0000C4700000}"/>
    <cellStyle name="Normal 3 3 4 7 3" xfId="31765" xr:uid="{00000000-0005-0000-0000-0000C5700000}"/>
    <cellStyle name="Normal 3 3 4 8" xfId="7478" xr:uid="{00000000-0005-0000-0000-0000C6700000}"/>
    <cellStyle name="Normal 3 3 4 8 2" xfId="15986" xr:uid="{00000000-0005-0000-0000-0000C7700000}"/>
    <cellStyle name="Normal 3 3 4 8 2 2" xfId="29393" xr:uid="{00000000-0005-0000-0000-0000C8700000}"/>
    <cellStyle name="Normal 3 3 4 8 3" xfId="31766" xr:uid="{00000000-0005-0000-0000-0000C9700000}"/>
    <cellStyle name="Normal 3 3 4 9" xfId="10206" xr:uid="{00000000-0005-0000-0000-0000CA700000}"/>
    <cellStyle name="Normal 3 3 4 9 2" xfId="24409" xr:uid="{00000000-0005-0000-0000-0000CB700000}"/>
    <cellStyle name="Normal 3 3 5" xfId="7479" xr:uid="{00000000-0005-0000-0000-0000CC700000}"/>
    <cellStyle name="Normal 3 3 5 2" xfId="7480" xr:uid="{00000000-0005-0000-0000-0000CD700000}"/>
    <cellStyle name="Normal 3 3 5 2 2" xfId="7481" xr:uid="{00000000-0005-0000-0000-0000CE700000}"/>
    <cellStyle name="Normal 3 3 5 2 2 2" xfId="7482" xr:uid="{00000000-0005-0000-0000-0000CF700000}"/>
    <cellStyle name="Normal 3 3 5 2 2 2 2" xfId="16910" xr:uid="{00000000-0005-0000-0000-0000D0700000}"/>
    <cellStyle name="Normal 3 3 5 2 2 2 2 2" xfId="30317" xr:uid="{00000000-0005-0000-0000-0000D1700000}"/>
    <cellStyle name="Normal 3 3 5 2 2 2 3" xfId="31770" xr:uid="{00000000-0005-0000-0000-0000D2700000}"/>
    <cellStyle name="Normal 3 3 5 2 2 3" xfId="11574" xr:uid="{00000000-0005-0000-0000-0000D3700000}"/>
    <cellStyle name="Normal 3 3 5 2 2 3 2" xfId="25405" xr:uid="{00000000-0005-0000-0000-0000D4700000}"/>
    <cellStyle name="Normal 3 3 5 2 2 4" xfId="31769" xr:uid="{00000000-0005-0000-0000-0000D5700000}"/>
    <cellStyle name="Normal 3 3 5 2 3" xfId="7483" xr:uid="{00000000-0005-0000-0000-0000D6700000}"/>
    <cellStyle name="Normal 3 3 5 2 3 2" xfId="12298" xr:uid="{00000000-0005-0000-0000-0000D7700000}"/>
    <cellStyle name="Normal 3 3 5 2 3 2 2" xfId="26010" xr:uid="{00000000-0005-0000-0000-0000D8700000}"/>
    <cellStyle name="Normal 3 3 5 2 3 3" xfId="31771" xr:uid="{00000000-0005-0000-0000-0000D9700000}"/>
    <cellStyle name="Normal 3 3 5 2 4" xfId="7484" xr:uid="{00000000-0005-0000-0000-0000DA700000}"/>
    <cellStyle name="Normal 3 3 5 2 4 2" xfId="13862" xr:uid="{00000000-0005-0000-0000-0000DB700000}"/>
    <cellStyle name="Normal 3 3 5 2 4 2 2" xfId="27411" xr:uid="{00000000-0005-0000-0000-0000DC700000}"/>
    <cellStyle name="Normal 3 3 5 2 4 3" xfId="31772" xr:uid="{00000000-0005-0000-0000-0000DD700000}"/>
    <cellStyle name="Normal 3 3 5 2 5" xfId="7485" xr:uid="{00000000-0005-0000-0000-0000DE700000}"/>
    <cellStyle name="Normal 3 3 5 2 5 2" xfId="14443" xr:uid="{00000000-0005-0000-0000-0000DF700000}"/>
    <cellStyle name="Normal 3 3 5 2 5 2 2" xfId="27992" xr:uid="{00000000-0005-0000-0000-0000E0700000}"/>
    <cellStyle name="Normal 3 3 5 2 5 3" xfId="31773" xr:uid="{00000000-0005-0000-0000-0000E1700000}"/>
    <cellStyle name="Normal 3 3 5 2 6" xfId="7486" xr:uid="{00000000-0005-0000-0000-0000E2700000}"/>
    <cellStyle name="Normal 3 3 5 2 6 2" xfId="16329" xr:uid="{00000000-0005-0000-0000-0000E3700000}"/>
    <cellStyle name="Normal 3 3 5 2 6 2 2" xfId="29736" xr:uid="{00000000-0005-0000-0000-0000E4700000}"/>
    <cellStyle name="Normal 3 3 5 2 6 3" xfId="31774" xr:uid="{00000000-0005-0000-0000-0000E5700000}"/>
    <cellStyle name="Normal 3 3 5 2 7" xfId="10211" xr:uid="{00000000-0005-0000-0000-0000E6700000}"/>
    <cellStyle name="Normal 3 3 5 2 7 2" xfId="24414" xr:uid="{00000000-0005-0000-0000-0000E7700000}"/>
    <cellStyle name="Normal 3 3 5 2 8" xfId="31768" xr:uid="{00000000-0005-0000-0000-0000E8700000}"/>
    <cellStyle name="Normal 3 3 5 3" xfId="7487" xr:uid="{00000000-0005-0000-0000-0000E9700000}"/>
    <cellStyle name="Normal 3 3 5 3 2" xfId="7488" xr:uid="{00000000-0005-0000-0000-0000EA700000}"/>
    <cellStyle name="Normal 3 3 5 3 2 2" xfId="16621" xr:uid="{00000000-0005-0000-0000-0000EB700000}"/>
    <cellStyle name="Normal 3 3 5 3 2 2 2" xfId="30028" xr:uid="{00000000-0005-0000-0000-0000EC700000}"/>
    <cellStyle name="Normal 3 3 5 3 2 3" xfId="31776" xr:uid="{00000000-0005-0000-0000-0000ED700000}"/>
    <cellStyle name="Normal 3 3 5 3 3" xfId="11573" xr:uid="{00000000-0005-0000-0000-0000EE700000}"/>
    <cellStyle name="Normal 3 3 5 3 3 2" xfId="25404" xr:uid="{00000000-0005-0000-0000-0000EF700000}"/>
    <cellStyle name="Normal 3 3 5 3 4" xfId="31775" xr:uid="{00000000-0005-0000-0000-0000F0700000}"/>
    <cellStyle name="Normal 3 3 5 4" xfId="7489" xr:uid="{00000000-0005-0000-0000-0000F1700000}"/>
    <cellStyle name="Normal 3 3 5 4 2" xfId="11998" xr:uid="{00000000-0005-0000-0000-0000F2700000}"/>
    <cellStyle name="Normal 3 3 5 4 2 2" xfId="25713" xr:uid="{00000000-0005-0000-0000-0000F3700000}"/>
    <cellStyle name="Normal 3 3 5 4 3" xfId="31777" xr:uid="{00000000-0005-0000-0000-0000F4700000}"/>
    <cellStyle name="Normal 3 3 5 5" xfId="7490" xr:uid="{00000000-0005-0000-0000-0000F5700000}"/>
    <cellStyle name="Normal 3 3 5 5 2" xfId="13573" xr:uid="{00000000-0005-0000-0000-0000F6700000}"/>
    <cellStyle name="Normal 3 3 5 5 2 2" xfId="27122" xr:uid="{00000000-0005-0000-0000-0000F7700000}"/>
    <cellStyle name="Normal 3 3 5 5 3" xfId="31778" xr:uid="{00000000-0005-0000-0000-0000F8700000}"/>
    <cellStyle name="Normal 3 3 5 6" xfId="7491" xr:uid="{00000000-0005-0000-0000-0000F9700000}"/>
    <cellStyle name="Normal 3 3 5 6 2" xfId="14154" xr:uid="{00000000-0005-0000-0000-0000FA700000}"/>
    <cellStyle name="Normal 3 3 5 6 2 2" xfId="27703" xr:uid="{00000000-0005-0000-0000-0000FB700000}"/>
    <cellStyle name="Normal 3 3 5 6 3" xfId="31779" xr:uid="{00000000-0005-0000-0000-0000FC700000}"/>
    <cellStyle name="Normal 3 3 5 7" xfId="7492" xr:uid="{00000000-0005-0000-0000-0000FD700000}"/>
    <cellStyle name="Normal 3 3 5 7 2" xfId="16040" xr:uid="{00000000-0005-0000-0000-0000FE700000}"/>
    <cellStyle name="Normal 3 3 5 7 2 2" xfId="29447" xr:uid="{00000000-0005-0000-0000-0000FF700000}"/>
    <cellStyle name="Normal 3 3 5 7 3" xfId="31780" xr:uid="{00000000-0005-0000-0000-000000710000}"/>
    <cellStyle name="Normal 3 3 5 8" xfId="10210" xr:uid="{00000000-0005-0000-0000-000001710000}"/>
    <cellStyle name="Normal 3 3 5 8 2" xfId="24413" xr:uid="{00000000-0005-0000-0000-000002710000}"/>
    <cellStyle name="Normal 3 3 5 9" xfId="31767" xr:uid="{00000000-0005-0000-0000-000003710000}"/>
    <cellStyle name="Normal 3 3 6" xfId="7493" xr:uid="{00000000-0005-0000-0000-000004710000}"/>
    <cellStyle name="Normal 3 3 6 2" xfId="7494" xr:uid="{00000000-0005-0000-0000-000005710000}"/>
    <cellStyle name="Normal 3 3 6 2 2" xfId="7495" xr:uid="{00000000-0005-0000-0000-000006710000}"/>
    <cellStyle name="Normal 3 3 6 2 2 2" xfId="16733" xr:uid="{00000000-0005-0000-0000-000007710000}"/>
    <cellStyle name="Normal 3 3 6 2 2 2 2" xfId="30140" xr:uid="{00000000-0005-0000-0000-000008710000}"/>
    <cellStyle name="Normal 3 3 6 2 2 3" xfId="31783" xr:uid="{00000000-0005-0000-0000-000009710000}"/>
    <cellStyle name="Normal 3 3 6 2 3" xfId="11575" xr:uid="{00000000-0005-0000-0000-00000A710000}"/>
    <cellStyle name="Normal 3 3 6 2 3 2" xfId="25406" xr:uid="{00000000-0005-0000-0000-00000B710000}"/>
    <cellStyle name="Normal 3 3 6 2 4" xfId="31782" xr:uid="{00000000-0005-0000-0000-00000C710000}"/>
    <cellStyle name="Normal 3 3 6 3" xfId="7496" xr:uid="{00000000-0005-0000-0000-00000D710000}"/>
    <cellStyle name="Normal 3 3 6 3 2" xfId="12121" xr:uid="{00000000-0005-0000-0000-00000E710000}"/>
    <cellStyle name="Normal 3 3 6 3 2 2" xfId="25833" xr:uid="{00000000-0005-0000-0000-00000F710000}"/>
    <cellStyle name="Normal 3 3 6 3 3" xfId="31784" xr:uid="{00000000-0005-0000-0000-000010710000}"/>
    <cellStyle name="Normal 3 3 6 4" xfId="7497" xr:uid="{00000000-0005-0000-0000-000011710000}"/>
    <cellStyle name="Normal 3 3 6 4 2" xfId="13685" xr:uid="{00000000-0005-0000-0000-000012710000}"/>
    <cellStyle name="Normal 3 3 6 4 2 2" xfId="27234" xr:uid="{00000000-0005-0000-0000-000013710000}"/>
    <cellStyle name="Normal 3 3 6 4 3" xfId="31785" xr:uid="{00000000-0005-0000-0000-000014710000}"/>
    <cellStyle name="Normal 3 3 6 5" xfId="7498" xr:uid="{00000000-0005-0000-0000-000015710000}"/>
    <cellStyle name="Normal 3 3 6 5 2" xfId="14266" xr:uid="{00000000-0005-0000-0000-000016710000}"/>
    <cellStyle name="Normal 3 3 6 5 2 2" xfId="27815" xr:uid="{00000000-0005-0000-0000-000017710000}"/>
    <cellStyle name="Normal 3 3 6 5 3" xfId="31786" xr:uid="{00000000-0005-0000-0000-000018710000}"/>
    <cellStyle name="Normal 3 3 6 6" xfId="7499" xr:uid="{00000000-0005-0000-0000-000019710000}"/>
    <cellStyle name="Normal 3 3 6 6 2" xfId="16152" xr:uid="{00000000-0005-0000-0000-00001A710000}"/>
    <cellStyle name="Normal 3 3 6 6 2 2" xfId="29559" xr:uid="{00000000-0005-0000-0000-00001B710000}"/>
    <cellStyle name="Normal 3 3 6 6 3" xfId="31787" xr:uid="{00000000-0005-0000-0000-00001C710000}"/>
    <cellStyle name="Normal 3 3 6 7" xfId="10212" xr:uid="{00000000-0005-0000-0000-00001D710000}"/>
    <cellStyle name="Normal 3 3 6 7 2" xfId="24415" xr:uid="{00000000-0005-0000-0000-00001E710000}"/>
    <cellStyle name="Normal 3 3 6 8" xfId="31781" xr:uid="{00000000-0005-0000-0000-00001F710000}"/>
    <cellStyle name="Normal 3 3 7" xfId="7500" xr:uid="{00000000-0005-0000-0000-000020710000}"/>
    <cellStyle name="Normal 3 3 7 2" xfId="7501" xr:uid="{00000000-0005-0000-0000-000021710000}"/>
    <cellStyle name="Normal 3 3 7 2 2" xfId="7502" xr:uid="{00000000-0005-0000-0000-000022710000}"/>
    <cellStyle name="Normal 3 3 7 2 2 2" xfId="17006" xr:uid="{00000000-0005-0000-0000-000023710000}"/>
    <cellStyle name="Normal 3 3 7 2 2 2 2" xfId="30413" xr:uid="{00000000-0005-0000-0000-000024710000}"/>
    <cellStyle name="Normal 3 3 7 2 2 3" xfId="31790" xr:uid="{00000000-0005-0000-0000-000025710000}"/>
    <cellStyle name="Normal 3 3 7 2 3" xfId="11576" xr:uid="{00000000-0005-0000-0000-000026710000}"/>
    <cellStyle name="Normal 3 3 7 2 3 2" xfId="25407" xr:uid="{00000000-0005-0000-0000-000027710000}"/>
    <cellStyle name="Normal 3 3 7 2 4" xfId="31789" xr:uid="{00000000-0005-0000-0000-000028710000}"/>
    <cellStyle name="Normal 3 3 7 3" xfId="7503" xr:uid="{00000000-0005-0000-0000-000029710000}"/>
    <cellStyle name="Normal 3 3 7 3 2" xfId="12395" xr:uid="{00000000-0005-0000-0000-00002A710000}"/>
    <cellStyle name="Normal 3 3 7 3 2 2" xfId="26107" xr:uid="{00000000-0005-0000-0000-00002B710000}"/>
    <cellStyle name="Normal 3 3 7 3 3" xfId="31791" xr:uid="{00000000-0005-0000-0000-00002C710000}"/>
    <cellStyle name="Normal 3 3 7 4" xfId="7504" xr:uid="{00000000-0005-0000-0000-00002D710000}"/>
    <cellStyle name="Normal 3 3 7 4 2" xfId="13958" xr:uid="{00000000-0005-0000-0000-00002E710000}"/>
    <cellStyle name="Normal 3 3 7 4 2 2" xfId="27507" xr:uid="{00000000-0005-0000-0000-00002F710000}"/>
    <cellStyle name="Normal 3 3 7 4 3" xfId="31792" xr:uid="{00000000-0005-0000-0000-000030710000}"/>
    <cellStyle name="Normal 3 3 7 5" xfId="7505" xr:uid="{00000000-0005-0000-0000-000031710000}"/>
    <cellStyle name="Normal 3 3 7 5 2" xfId="14539" xr:uid="{00000000-0005-0000-0000-000032710000}"/>
    <cellStyle name="Normal 3 3 7 5 2 2" xfId="28088" xr:uid="{00000000-0005-0000-0000-000033710000}"/>
    <cellStyle name="Normal 3 3 7 5 3" xfId="31793" xr:uid="{00000000-0005-0000-0000-000034710000}"/>
    <cellStyle name="Normal 3 3 7 6" xfId="7506" xr:uid="{00000000-0005-0000-0000-000035710000}"/>
    <cellStyle name="Normal 3 3 7 6 2" xfId="16425" xr:uid="{00000000-0005-0000-0000-000036710000}"/>
    <cellStyle name="Normal 3 3 7 6 2 2" xfId="29832" xr:uid="{00000000-0005-0000-0000-000037710000}"/>
    <cellStyle name="Normal 3 3 7 6 3" xfId="31794" xr:uid="{00000000-0005-0000-0000-000038710000}"/>
    <cellStyle name="Normal 3 3 7 7" xfId="10213" xr:uid="{00000000-0005-0000-0000-000039710000}"/>
    <cellStyle name="Normal 3 3 7 7 2" xfId="24416" xr:uid="{00000000-0005-0000-0000-00003A710000}"/>
    <cellStyle name="Normal 3 3 7 8" xfId="31788" xr:uid="{00000000-0005-0000-0000-00003B710000}"/>
    <cellStyle name="Normal 3 3 8" xfId="7507" xr:uid="{00000000-0005-0000-0000-00003C710000}"/>
    <cellStyle name="Normal 3 3 8 2" xfId="7508" xr:uid="{00000000-0005-0000-0000-00003D710000}"/>
    <cellStyle name="Normal 3 3 8 2 2" xfId="17042" xr:uid="{00000000-0005-0000-0000-00003E710000}"/>
    <cellStyle name="Normal 3 3 8 2 2 2" xfId="30443" xr:uid="{00000000-0005-0000-0000-00003F710000}"/>
    <cellStyle name="Normal 3 3 8 2 3" xfId="31796" xr:uid="{00000000-0005-0000-0000-000040710000}"/>
    <cellStyle name="Normal 3 3 8 3" xfId="11556" xr:uid="{00000000-0005-0000-0000-000041710000}"/>
    <cellStyle name="Normal 3 3 8 3 2" xfId="25387" xr:uid="{00000000-0005-0000-0000-000042710000}"/>
    <cellStyle name="Normal 3 3 8 4" xfId="31795" xr:uid="{00000000-0005-0000-0000-000043710000}"/>
    <cellStyle name="Normal 3 3 9" xfId="7509" xr:uid="{00000000-0005-0000-0000-000044710000}"/>
    <cellStyle name="Normal 3 3 9 2" xfId="7510" xr:uid="{00000000-0005-0000-0000-000045710000}"/>
    <cellStyle name="Normal 3 3 9 2 2" xfId="17114" xr:uid="{00000000-0005-0000-0000-000046710000}"/>
    <cellStyle name="Normal 3 3 9 2 2 2" xfId="30473" xr:uid="{00000000-0005-0000-0000-000047710000}"/>
    <cellStyle name="Normal 3 3 9 2 3" xfId="31798" xr:uid="{00000000-0005-0000-0000-000048710000}"/>
    <cellStyle name="Normal 3 3 9 3" xfId="11829" xr:uid="{00000000-0005-0000-0000-000049710000}"/>
    <cellStyle name="Normal 3 3 9 3 2" xfId="25544" xr:uid="{00000000-0005-0000-0000-00004A710000}"/>
    <cellStyle name="Normal 3 3 9 4" xfId="31797" xr:uid="{00000000-0005-0000-0000-00004B710000}"/>
    <cellStyle name="Normal 3 4" xfId="7511" xr:uid="{00000000-0005-0000-0000-00004C710000}"/>
    <cellStyle name="Normal 3 4 10" xfId="31799" xr:uid="{00000000-0005-0000-0000-00004D710000}"/>
    <cellStyle name="Normal 3 4 11" xfId="32926" xr:uid="{00000000-0005-0000-0000-00004E710000}"/>
    <cellStyle name="Normal 3 4 12" xfId="32986" xr:uid="{00000000-0005-0000-0000-00004F710000}"/>
    <cellStyle name="Normal 3 4 2" xfId="7512" xr:uid="{00000000-0005-0000-0000-000050710000}"/>
    <cellStyle name="Normal 3 4 2 10" xfId="33014" xr:uid="{00000000-0005-0000-0000-000051710000}"/>
    <cellStyle name="Normal 3 4 2 2" xfId="7513" xr:uid="{00000000-0005-0000-0000-000052710000}"/>
    <cellStyle name="Normal 3 4 2 2 2" xfId="7514" xr:uid="{00000000-0005-0000-0000-000053710000}"/>
    <cellStyle name="Normal 3 4 2 2 2 2" xfId="17001" xr:uid="{00000000-0005-0000-0000-000054710000}"/>
    <cellStyle name="Normal 3 4 2 2 2 2 2" xfId="30408" xr:uid="{00000000-0005-0000-0000-000055710000}"/>
    <cellStyle name="Normal 3 4 2 2 2 3" xfId="31802" xr:uid="{00000000-0005-0000-0000-000056710000}"/>
    <cellStyle name="Normal 3 4 2 2 3" xfId="11578" xr:uid="{00000000-0005-0000-0000-000057710000}"/>
    <cellStyle name="Normal 3 4 2 2 3 2" xfId="25409" xr:uid="{00000000-0005-0000-0000-000058710000}"/>
    <cellStyle name="Normal 3 4 2 2 4" xfId="31801" xr:uid="{00000000-0005-0000-0000-000059710000}"/>
    <cellStyle name="Normal 3 4 2 3" xfId="7515" xr:uid="{00000000-0005-0000-0000-00005A710000}"/>
    <cellStyle name="Normal 3 4 2 3 2" xfId="12389" xr:uid="{00000000-0005-0000-0000-00005B710000}"/>
    <cellStyle name="Normal 3 4 2 3 2 2" xfId="26101" xr:uid="{00000000-0005-0000-0000-00005C710000}"/>
    <cellStyle name="Normal 3 4 2 3 3" xfId="31803" xr:uid="{00000000-0005-0000-0000-00005D710000}"/>
    <cellStyle name="Normal 3 4 2 4" xfId="7516" xr:uid="{00000000-0005-0000-0000-00005E710000}"/>
    <cellStyle name="Normal 3 4 2 4 2" xfId="13953" xr:uid="{00000000-0005-0000-0000-00005F710000}"/>
    <cellStyle name="Normal 3 4 2 4 2 2" xfId="27502" xr:uid="{00000000-0005-0000-0000-000060710000}"/>
    <cellStyle name="Normal 3 4 2 4 3" xfId="31804" xr:uid="{00000000-0005-0000-0000-000061710000}"/>
    <cellStyle name="Normal 3 4 2 5" xfId="7517" xr:uid="{00000000-0005-0000-0000-000062710000}"/>
    <cellStyle name="Normal 3 4 2 5 2" xfId="14534" xr:uid="{00000000-0005-0000-0000-000063710000}"/>
    <cellStyle name="Normal 3 4 2 5 2 2" xfId="28083" xr:uid="{00000000-0005-0000-0000-000064710000}"/>
    <cellStyle name="Normal 3 4 2 5 3" xfId="31805" xr:uid="{00000000-0005-0000-0000-000065710000}"/>
    <cellStyle name="Normal 3 4 2 6" xfId="7518" xr:uid="{00000000-0005-0000-0000-000066710000}"/>
    <cellStyle name="Normal 3 4 2 6 2" xfId="16420" xr:uid="{00000000-0005-0000-0000-000067710000}"/>
    <cellStyle name="Normal 3 4 2 6 2 2" xfId="29827" xr:uid="{00000000-0005-0000-0000-000068710000}"/>
    <cellStyle name="Normal 3 4 2 6 3" xfId="31806" xr:uid="{00000000-0005-0000-0000-000069710000}"/>
    <cellStyle name="Normal 3 4 2 7" xfId="10214" xr:uid="{00000000-0005-0000-0000-00006A710000}"/>
    <cellStyle name="Normal 3 4 2 7 2" xfId="24417" xr:uid="{00000000-0005-0000-0000-00006B710000}"/>
    <cellStyle name="Normal 3 4 2 8" xfId="31800" xr:uid="{00000000-0005-0000-0000-00006C710000}"/>
    <cellStyle name="Normal 3 4 2 9" xfId="32956" xr:uid="{00000000-0005-0000-0000-00006D710000}"/>
    <cellStyle name="Normal 3 4 3" xfId="7519" xr:uid="{00000000-0005-0000-0000-00006E710000}"/>
    <cellStyle name="Normal 3 4 3 2" xfId="7520" xr:uid="{00000000-0005-0000-0000-00006F710000}"/>
    <cellStyle name="Normal 3 4 3 2 2" xfId="17044" xr:uid="{00000000-0005-0000-0000-000070710000}"/>
    <cellStyle name="Normal 3 4 3 2 2 2" xfId="30445" xr:uid="{00000000-0005-0000-0000-000071710000}"/>
    <cellStyle name="Normal 3 4 3 2 3" xfId="31808" xr:uid="{00000000-0005-0000-0000-000072710000}"/>
    <cellStyle name="Normal 3 4 3 3" xfId="10215" xr:uid="{00000000-0005-0000-0000-000073710000}"/>
    <cellStyle name="Normal 3 4 3 4" xfId="31807" xr:uid="{00000000-0005-0000-0000-000074710000}"/>
    <cellStyle name="Normal 3 4 4" xfId="7521" xr:uid="{00000000-0005-0000-0000-000075710000}"/>
    <cellStyle name="Normal 3 4 4 2" xfId="11577" xr:uid="{00000000-0005-0000-0000-000076710000}"/>
    <cellStyle name="Normal 3 4 4 2 2" xfId="25408" xr:uid="{00000000-0005-0000-0000-000077710000}"/>
    <cellStyle name="Normal 3 4 4 3" xfId="31809" xr:uid="{00000000-0005-0000-0000-000078710000}"/>
    <cellStyle name="Normal 3 4 5" xfId="7522" xr:uid="{00000000-0005-0000-0000-000079710000}"/>
    <cellStyle name="Normal 3 4 5 2" xfId="13264" xr:uid="{00000000-0005-0000-0000-00007A710000}"/>
    <cellStyle name="Normal 3 4 5 2 2" xfId="26898" xr:uid="{00000000-0005-0000-0000-00007B710000}"/>
    <cellStyle name="Normal 3 4 5 3" xfId="31810" xr:uid="{00000000-0005-0000-0000-00007C710000}"/>
    <cellStyle name="Normal 3 4 6" xfId="7523" xr:uid="{00000000-0005-0000-0000-00007D710000}"/>
    <cellStyle name="Normal 3 4 6 2" xfId="15704" xr:uid="{00000000-0005-0000-0000-00007E710000}"/>
    <cellStyle name="Normal 3 4 6 2 2" xfId="29190" xr:uid="{00000000-0005-0000-0000-00007F710000}"/>
    <cellStyle name="Normal 3 4 6 3" xfId="31811" xr:uid="{00000000-0005-0000-0000-000080710000}"/>
    <cellStyle name="Normal 3 4 7" xfId="7524" xr:uid="{00000000-0005-0000-0000-000081710000}"/>
    <cellStyle name="Normal 3 4 7 2" xfId="15812" xr:uid="{00000000-0005-0000-0000-000082710000}"/>
    <cellStyle name="Normal 3 4 7 2 2" xfId="29219" xr:uid="{00000000-0005-0000-0000-000083710000}"/>
    <cellStyle name="Normal 3 4 7 3" xfId="31812" xr:uid="{00000000-0005-0000-0000-000084710000}"/>
    <cellStyle name="Normal 3 4 8" xfId="8688" xr:uid="{00000000-0005-0000-0000-000085710000}"/>
    <cellStyle name="Normal 3 4 8 2" xfId="17313" xr:uid="{00000000-0005-0000-0000-000086710000}"/>
    <cellStyle name="Normal 3 4 8 2 2" xfId="30666" xr:uid="{00000000-0005-0000-0000-000087710000}"/>
    <cellStyle name="Normal 3 4 8 3" xfId="23218" xr:uid="{00000000-0005-0000-0000-000088710000}"/>
    <cellStyle name="Normal 3 4 9" xfId="8797" xr:uid="{00000000-0005-0000-0000-000089710000}"/>
    <cellStyle name="Normal 3 4 9 2" xfId="23275" xr:uid="{00000000-0005-0000-0000-00008A710000}"/>
    <cellStyle name="Normal 3 5" xfId="7525" xr:uid="{00000000-0005-0000-0000-00008B710000}"/>
    <cellStyle name="Normal 3 5 10" xfId="32994" xr:uid="{00000000-0005-0000-0000-00008C710000}"/>
    <cellStyle name="Normal 3 5 2" xfId="7526" xr:uid="{00000000-0005-0000-0000-00008D710000}"/>
    <cellStyle name="Normal 3 5 2 2" xfId="11579" xr:uid="{00000000-0005-0000-0000-00008E710000}"/>
    <cellStyle name="Normal 3 5 2 2 2" xfId="25410" xr:uid="{00000000-0005-0000-0000-00008F710000}"/>
    <cellStyle name="Normal 3 5 2 3" xfId="31814" xr:uid="{00000000-0005-0000-0000-000090710000}"/>
    <cellStyle name="Normal 3 5 2 4" xfId="32957" xr:uid="{00000000-0005-0000-0000-000091710000}"/>
    <cellStyle name="Normal 3 5 2 5" xfId="33015" xr:uid="{00000000-0005-0000-0000-000092710000}"/>
    <cellStyle name="Normal 3 5 3" xfId="7527" xr:uid="{00000000-0005-0000-0000-000093710000}"/>
    <cellStyle name="Normal 3 5 3 2" xfId="13265" xr:uid="{00000000-0005-0000-0000-000094710000}"/>
    <cellStyle name="Normal 3 5 3 2 2" xfId="26899" xr:uid="{00000000-0005-0000-0000-000095710000}"/>
    <cellStyle name="Normal 3 5 3 3" xfId="31815" xr:uid="{00000000-0005-0000-0000-000096710000}"/>
    <cellStyle name="Normal 3 5 4" xfId="7528" xr:uid="{00000000-0005-0000-0000-000097710000}"/>
    <cellStyle name="Normal 3 5 4 2" xfId="15705" xr:uid="{00000000-0005-0000-0000-000098710000}"/>
    <cellStyle name="Normal 3 5 4 2 2" xfId="29191" xr:uid="{00000000-0005-0000-0000-000099710000}"/>
    <cellStyle name="Normal 3 5 4 3" xfId="31816" xr:uid="{00000000-0005-0000-0000-00009A710000}"/>
    <cellStyle name="Normal 3 5 5" xfId="7529" xr:uid="{00000000-0005-0000-0000-00009B710000}"/>
    <cellStyle name="Normal 3 5 5 2" xfId="15813" xr:uid="{00000000-0005-0000-0000-00009C710000}"/>
    <cellStyle name="Normal 3 5 5 2 2" xfId="29220" xr:uid="{00000000-0005-0000-0000-00009D710000}"/>
    <cellStyle name="Normal 3 5 5 3" xfId="31817" xr:uid="{00000000-0005-0000-0000-00009E710000}"/>
    <cellStyle name="Normal 3 5 6" xfId="8703" xr:uid="{00000000-0005-0000-0000-00009F710000}"/>
    <cellStyle name="Normal 3 5 6 2" xfId="17321" xr:uid="{00000000-0005-0000-0000-0000A0710000}"/>
    <cellStyle name="Normal 3 5 6 2 2" xfId="30674" xr:uid="{00000000-0005-0000-0000-0000A1710000}"/>
    <cellStyle name="Normal 3 5 6 3" xfId="23226" xr:uid="{00000000-0005-0000-0000-0000A2710000}"/>
    <cellStyle name="Normal 3 5 7" xfId="8805" xr:uid="{00000000-0005-0000-0000-0000A3710000}"/>
    <cellStyle name="Normal 3 5 7 2" xfId="23283" xr:uid="{00000000-0005-0000-0000-0000A4710000}"/>
    <cellStyle name="Normal 3 5 8" xfId="31813" xr:uid="{00000000-0005-0000-0000-0000A5710000}"/>
    <cellStyle name="Normal 3 5 9" xfId="32934" xr:uid="{00000000-0005-0000-0000-0000A6710000}"/>
    <cellStyle name="Normal 3 6" xfId="7530" xr:uid="{00000000-0005-0000-0000-0000A7710000}"/>
    <cellStyle name="Normal 3 6 10" xfId="32993" xr:uid="{00000000-0005-0000-0000-0000A8710000}"/>
    <cellStyle name="Normal 3 6 2" xfId="7531" xr:uid="{00000000-0005-0000-0000-0000A9710000}"/>
    <cellStyle name="Normal 3 6 2 2" xfId="11580" xr:uid="{00000000-0005-0000-0000-0000AA710000}"/>
    <cellStyle name="Normal 3 6 2 2 2" xfId="25411" xr:uid="{00000000-0005-0000-0000-0000AB710000}"/>
    <cellStyle name="Normal 3 6 2 3" xfId="31819" xr:uid="{00000000-0005-0000-0000-0000AC710000}"/>
    <cellStyle name="Normal 3 6 2 4" xfId="32958" xr:uid="{00000000-0005-0000-0000-0000AD710000}"/>
    <cellStyle name="Normal 3 6 2 5" xfId="33016" xr:uid="{00000000-0005-0000-0000-0000AE710000}"/>
    <cellStyle name="Normal 3 6 3" xfId="7532" xr:uid="{00000000-0005-0000-0000-0000AF710000}"/>
    <cellStyle name="Normal 3 6 3 2" xfId="13266" xr:uid="{00000000-0005-0000-0000-0000B0710000}"/>
    <cellStyle name="Normal 3 6 3 2 2" xfId="26900" xr:uid="{00000000-0005-0000-0000-0000B1710000}"/>
    <cellStyle name="Normal 3 6 3 3" xfId="31820" xr:uid="{00000000-0005-0000-0000-0000B2710000}"/>
    <cellStyle name="Normal 3 6 4" xfId="7533" xr:uid="{00000000-0005-0000-0000-0000B3710000}"/>
    <cellStyle name="Normal 3 6 4 2" xfId="15706" xr:uid="{00000000-0005-0000-0000-0000B4710000}"/>
    <cellStyle name="Normal 3 6 4 2 2" xfId="29192" xr:uid="{00000000-0005-0000-0000-0000B5710000}"/>
    <cellStyle name="Normal 3 6 4 3" xfId="31821" xr:uid="{00000000-0005-0000-0000-0000B6710000}"/>
    <cellStyle name="Normal 3 6 5" xfId="7534" xr:uid="{00000000-0005-0000-0000-0000B7710000}"/>
    <cellStyle name="Normal 3 6 5 2" xfId="15814" xr:uid="{00000000-0005-0000-0000-0000B8710000}"/>
    <cellStyle name="Normal 3 6 5 2 2" xfId="29221" xr:uid="{00000000-0005-0000-0000-0000B9710000}"/>
    <cellStyle name="Normal 3 6 5 3" xfId="31822" xr:uid="{00000000-0005-0000-0000-0000BA710000}"/>
    <cellStyle name="Normal 3 6 6" xfId="8701" xr:uid="{00000000-0005-0000-0000-0000BB710000}"/>
    <cellStyle name="Normal 3 6 6 2" xfId="17320" xr:uid="{00000000-0005-0000-0000-0000BC710000}"/>
    <cellStyle name="Normal 3 6 6 2 2" xfId="30673" xr:uid="{00000000-0005-0000-0000-0000BD710000}"/>
    <cellStyle name="Normal 3 6 6 3" xfId="23225" xr:uid="{00000000-0005-0000-0000-0000BE710000}"/>
    <cellStyle name="Normal 3 6 7" xfId="8804" xr:uid="{00000000-0005-0000-0000-0000BF710000}"/>
    <cellStyle name="Normal 3 6 7 2" xfId="23282" xr:uid="{00000000-0005-0000-0000-0000C0710000}"/>
    <cellStyle name="Normal 3 6 8" xfId="31818" xr:uid="{00000000-0005-0000-0000-0000C1710000}"/>
    <cellStyle name="Normal 3 6 9" xfId="32933" xr:uid="{00000000-0005-0000-0000-0000C2710000}"/>
    <cellStyle name="Normal 3 7" xfId="7535" xr:uid="{00000000-0005-0000-0000-0000C3710000}"/>
    <cellStyle name="Normal 3 7 10" xfId="32999" xr:uid="{00000000-0005-0000-0000-0000C4710000}"/>
    <cellStyle name="Normal 3 7 2" xfId="7536" xr:uid="{00000000-0005-0000-0000-0000C5710000}"/>
    <cellStyle name="Normal 3 7 2 2" xfId="11581" xr:uid="{00000000-0005-0000-0000-0000C6710000}"/>
    <cellStyle name="Normal 3 7 2 2 2" xfId="25412" xr:uid="{00000000-0005-0000-0000-0000C7710000}"/>
    <cellStyle name="Normal 3 7 2 3" xfId="31824" xr:uid="{00000000-0005-0000-0000-0000C8710000}"/>
    <cellStyle name="Normal 3 7 2 4" xfId="32959" xr:uid="{00000000-0005-0000-0000-0000C9710000}"/>
    <cellStyle name="Normal 3 7 2 5" xfId="33017" xr:uid="{00000000-0005-0000-0000-0000CA710000}"/>
    <cellStyle name="Normal 3 7 3" xfId="7537" xr:uid="{00000000-0005-0000-0000-0000CB710000}"/>
    <cellStyle name="Normal 3 7 3 2" xfId="13267" xr:uid="{00000000-0005-0000-0000-0000CC710000}"/>
    <cellStyle name="Normal 3 7 3 2 2" xfId="26901" xr:uid="{00000000-0005-0000-0000-0000CD710000}"/>
    <cellStyle name="Normal 3 7 3 3" xfId="31825" xr:uid="{00000000-0005-0000-0000-0000CE710000}"/>
    <cellStyle name="Normal 3 7 4" xfId="7538" xr:uid="{00000000-0005-0000-0000-0000CF710000}"/>
    <cellStyle name="Normal 3 7 4 2" xfId="15707" xr:uid="{00000000-0005-0000-0000-0000D0710000}"/>
    <cellStyle name="Normal 3 7 4 2 2" xfId="29193" xr:uid="{00000000-0005-0000-0000-0000D1710000}"/>
    <cellStyle name="Normal 3 7 4 3" xfId="31826" xr:uid="{00000000-0005-0000-0000-0000D2710000}"/>
    <cellStyle name="Normal 3 7 5" xfId="7539" xr:uid="{00000000-0005-0000-0000-0000D3710000}"/>
    <cellStyle name="Normal 3 7 5 2" xfId="15815" xr:uid="{00000000-0005-0000-0000-0000D4710000}"/>
    <cellStyle name="Normal 3 7 5 2 2" xfId="29222" xr:uid="{00000000-0005-0000-0000-0000D5710000}"/>
    <cellStyle name="Normal 3 7 5 3" xfId="31827" xr:uid="{00000000-0005-0000-0000-0000D6710000}"/>
    <cellStyle name="Normal 3 7 6" xfId="8714" xr:uid="{00000000-0005-0000-0000-0000D7710000}"/>
    <cellStyle name="Normal 3 7 6 2" xfId="17326" xr:uid="{00000000-0005-0000-0000-0000D8710000}"/>
    <cellStyle name="Normal 3 7 6 2 2" xfId="30679" xr:uid="{00000000-0005-0000-0000-0000D9710000}"/>
    <cellStyle name="Normal 3 7 6 3" xfId="23233" xr:uid="{00000000-0005-0000-0000-0000DA710000}"/>
    <cellStyle name="Normal 3 7 7" xfId="8810" xr:uid="{00000000-0005-0000-0000-0000DB710000}"/>
    <cellStyle name="Normal 3 7 7 2" xfId="23288" xr:uid="{00000000-0005-0000-0000-0000DC710000}"/>
    <cellStyle name="Normal 3 7 8" xfId="31823" xr:uid="{00000000-0005-0000-0000-0000DD710000}"/>
    <cellStyle name="Normal 3 7 9" xfId="32940" xr:uid="{00000000-0005-0000-0000-0000DE710000}"/>
    <cellStyle name="Normal 3 8" xfId="7540" xr:uid="{00000000-0005-0000-0000-0000DF710000}"/>
    <cellStyle name="Normal 3 8 10" xfId="33000" xr:uid="{00000000-0005-0000-0000-0000E0710000}"/>
    <cellStyle name="Normal 3 8 2" xfId="7541" xr:uid="{00000000-0005-0000-0000-0000E1710000}"/>
    <cellStyle name="Normal 3 8 2 2" xfId="11582" xr:uid="{00000000-0005-0000-0000-0000E2710000}"/>
    <cellStyle name="Normal 3 8 2 2 2" xfId="25413" xr:uid="{00000000-0005-0000-0000-0000E3710000}"/>
    <cellStyle name="Normal 3 8 2 3" xfId="31829" xr:uid="{00000000-0005-0000-0000-0000E4710000}"/>
    <cellStyle name="Normal 3 8 2 4" xfId="32960" xr:uid="{00000000-0005-0000-0000-0000E5710000}"/>
    <cellStyle name="Normal 3 8 2 5" xfId="33018" xr:uid="{00000000-0005-0000-0000-0000E6710000}"/>
    <cellStyle name="Normal 3 8 3" xfId="7542" xr:uid="{00000000-0005-0000-0000-0000E7710000}"/>
    <cellStyle name="Normal 3 8 3 2" xfId="13268" xr:uid="{00000000-0005-0000-0000-0000E8710000}"/>
    <cellStyle name="Normal 3 8 3 2 2" xfId="26902" xr:uid="{00000000-0005-0000-0000-0000E9710000}"/>
    <cellStyle name="Normal 3 8 3 3" xfId="31830" xr:uid="{00000000-0005-0000-0000-0000EA710000}"/>
    <cellStyle name="Normal 3 8 4" xfId="7543" xr:uid="{00000000-0005-0000-0000-0000EB710000}"/>
    <cellStyle name="Normal 3 8 4 2" xfId="15708" xr:uid="{00000000-0005-0000-0000-0000EC710000}"/>
    <cellStyle name="Normal 3 8 4 2 2" xfId="29194" xr:uid="{00000000-0005-0000-0000-0000ED710000}"/>
    <cellStyle name="Normal 3 8 4 3" xfId="31831" xr:uid="{00000000-0005-0000-0000-0000EE710000}"/>
    <cellStyle name="Normal 3 8 5" xfId="7544" xr:uid="{00000000-0005-0000-0000-0000EF710000}"/>
    <cellStyle name="Normal 3 8 5 2" xfId="15816" xr:uid="{00000000-0005-0000-0000-0000F0710000}"/>
    <cellStyle name="Normal 3 8 5 2 2" xfId="29223" xr:uid="{00000000-0005-0000-0000-0000F1710000}"/>
    <cellStyle name="Normal 3 8 5 3" xfId="31832" xr:uid="{00000000-0005-0000-0000-0000F2710000}"/>
    <cellStyle name="Normal 3 8 6" xfId="8716" xr:uid="{00000000-0005-0000-0000-0000F3710000}"/>
    <cellStyle name="Normal 3 8 6 2" xfId="17327" xr:uid="{00000000-0005-0000-0000-0000F4710000}"/>
    <cellStyle name="Normal 3 8 6 2 2" xfId="30680" xr:uid="{00000000-0005-0000-0000-0000F5710000}"/>
    <cellStyle name="Normal 3 8 6 3" xfId="23234" xr:uid="{00000000-0005-0000-0000-0000F6710000}"/>
    <cellStyle name="Normal 3 8 7" xfId="8811" xr:uid="{00000000-0005-0000-0000-0000F7710000}"/>
    <cellStyle name="Normal 3 8 7 2" xfId="23289" xr:uid="{00000000-0005-0000-0000-0000F8710000}"/>
    <cellStyle name="Normal 3 8 8" xfId="31828" xr:uid="{00000000-0005-0000-0000-0000F9710000}"/>
    <cellStyle name="Normal 3 8 9" xfId="32941" xr:uid="{00000000-0005-0000-0000-0000FA710000}"/>
    <cellStyle name="Normal 3 9" xfId="7545" xr:uid="{00000000-0005-0000-0000-0000FB710000}"/>
    <cellStyle name="Normal 3 9 10" xfId="33001" xr:uid="{00000000-0005-0000-0000-0000FC710000}"/>
    <cellStyle name="Normal 3 9 2" xfId="7546" xr:uid="{00000000-0005-0000-0000-0000FD710000}"/>
    <cellStyle name="Normal 3 9 2 2" xfId="11583" xr:uid="{00000000-0005-0000-0000-0000FE710000}"/>
    <cellStyle name="Normal 3 9 2 2 2" xfId="25414" xr:uid="{00000000-0005-0000-0000-0000FF710000}"/>
    <cellStyle name="Normal 3 9 2 3" xfId="31834" xr:uid="{00000000-0005-0000-0000-000000720000}"/>
    <cellStyle name="Normal 3 9 2 4" xfId="32961" xr:uid="{00000000-0005-0000-0000-000001720000}"/>
    <cellStyle name="Normal 3 9 2 5" xfId="33019" xr:uid="{00000000-0005-0000-0000-000002720000}"/>
    <cellStyle name="Normal 3 9 3" xfId="7547" xr:uid="{00000000-0005-0000-0000-000003720000}"/>
    <cellStyle name="Normal 3 9 3 2" xfId="13269" xr:uid="{00000000-0005-0000-0000-000004720000}"/>
    <cellStyle name="Normal 3 9 3 2 2" xfId="26903" xr:uid="{00000000-0005-0000-0000-000005720000}"/>
    <cellStyle name="Normal 3 9 3 3" xfId="31835" xr:uid="{00000000-0005-0000-0000-000006720000}"/>
    <cellStyle name="Normal 3 9 4" xfId="7548" xr:uid="{00000000-0005-0000-0000-000007720000}"/>
    <cellStyle name="Normal 3 9 4 2" xfId="15709" xr:uid="{00000000-0005-0000-0000-000008720000}"/>
    <cellStyle name="Normal 3 9 4 2 2" xfId="29195" xr:uid="{00000000-0005-0000-0000-000009720000}"/>
    <cellStyle name="Normal 3 9 4 3" xfId="31836" xr:uid="{00000000-0005-0000-0000-00000A720000}"/>
    <cellStyle name="Normal 3 9 5" xfId="7549" xr:uid="{00000000-0005-0000-0000-00000B720000}"/>
    <cellStyle name="Normal 3 9 5 2" xfId="15817" xr:uid="{00000000-0005-0000-0000-00000C720000}"/>
    <cellStyle name="Normal 3 9 5 2 2" xfId="29224" xr:uid="{00000000-0005-0000-0000-00000D720000}"/>
    <cellStyle name="Normal 3 9 5 3" xfId="31837" xr:uid="{00000000-0005-0000-0000-00000E720000}"/>
    <cellStyle name="Normal 3 9 6" xfId="8717" xr:uid="{00000000-0005-0000-0000-00000F720000}"/>
    <cellStyle name="Normal 3 9 6 2" xfId="17328" xr:uid="{00000000-0005-0000-0000-000010720000}"/>
    <cellStyle name="Normal 3 9 6 2 2" xfId="30681" xr:uid="{00000000-0005-0000-0000-000011720000}"/>
    <cellStyle name="Normal 3 9 6 3" xfId="23235" xr:uid="{00000000-0005-0000-0000-000012720000}"/>
    <cellStyle name="Normal 3 9 7" xfId="8812" xr:uid="{00000000-0005-0000-0000-000013720000}"/>
    <cellStyle name="Normal 3 9 7 2" xfId="23290" xr:uid="{00000000-0005-0000-0000-000014720000}"/>
    <cellStyle name="Normal 3 9 8" xfId="31833" xr:uid="{00000000-0005-0000-0000-000015720000}"/>
    <cellStyle name="Normal 3 9 9" xfId="32942" xr:uid="{00000000-0005-0000-0000-000016720000}"/>
    <cellStyle name="Normal 30" xfId="33111" xr:uid="{5AFE32A3-FC69-44A0-B2A5-9D4161E9FDBC}"/>
    <cellStyle name="Normal 34" xfId="7550" xr:uid="{00000000-0005-0000-0000-000017720000}"/>
    <cellStyle name="Normal 34 2" xfId="17045" xr:uid="{00000000-0005-0000-0000-000018720000}"/>
    <cellStyle name="Normal 34 3" xfId="31838" xr:uid="{00000000-0005-0000-0000-000019720000}"/>
    <cellStyle name="Normal 4" xfId="7551" xr:uid="{00000000-0005-0000-0000-00001A720000}"/>
    <cellStyle name="Normal 4 10" xfId="8790" xr:uid="{00000000-0005-0000-0000-00001B720000}"/>
    <cellStyle name="Normal 4 10 2" xfId="23268" xr:uid="{00000000-0005-0000-0000-00001C720000}"/>
    <cellStyle name="Normal 4 11" xfId="32912" xr:uid="{00000000-0005-0000-0000-00001D720000}"/>
    <cellStyle name="Normal 4 12" xfId="32975" xr:uid="{00000000-0005-0000-0000-00001E720000}"/>
    <cellStyle name="Normal 4 2" xfId="7552" xr:uid="{00000000-0005-0000-0000-00001F720000}"/>
    <cellStyle name="Normal 4 2 10" xfId="8794" xr:uid="{00000000-0005-0000-0000-000020720000}"/>
    <cellStyle name="Normal 4 2 10 2" xfId="23272" xr:uid="{00000000-0005-0000-0000-000021720000}"/>
    <cellStyle name="Normal 4 2 11" xfId="32923" xr:uid="{00000000-0005-0000-0000-000022720000}"/>
    <cellStyle name="Normal 4 2 12" xfId="32983" xr:uid="{00000000-0005-0000-0000-000023720000}"/>
    <cellStyle name="Normal 4 2 13" xfId="33040" xr:uid="{00000000-0005-0000-0000-000024720000}"/>
    <cellStyle name="Normal 4 2 2" xfId="7553" xr:uid="{00000000-0005-0000-0000-000025720000}"/>
    <cellStyle name="Normal 4 2 2 2" xfId="7554" xr:uid="{00000000-0005-0000-0000-000026720000}"/>
    <cellStyle name="Normal 4 2 2 2 2" xfId="11730" xr:uid="{00000000-0005-0000-0000-000027720000}"/>
    <cellStyle name="Normal 4 2 2 2 2 2" xfId="25449" xr:uid="{00000000-0005-0000-0000-000028720000}"/>
    <cellStyle name="Normal 4 2 2 2 3" xfId="31839" xr:uid="{00000000-0005-0000-0000-000029720000}"/>
    <cellStyle name="Normal 4 2 2 3" xfId="7555" xr:uid="{00000000-0005-0000-0000-00002A720000}"/>
    <cellStyle name="Normal 4 2 2 3 2" xfId="17046" xr:uid="{00000000-0005-0000-0000-00002B720000}"/>
    <cellStyle name="Normal 4 2 2 3 2 2" xfId="30446" xr:uid="{00000000-0005-0000-0000-00002C720000}"/>
    <cellStyle name="Normal 4 2 2 3 3" xfId="31840" xr:uid="{00000000-0005-0000-0000-00002D720000}"/>
    <cellStyle name="Normal 4 2 2 4" xfId="10216" xr:uid="{00000000-0005-0000-0000-00002E720000}"/>
    <cellStyle name="Normal 4 2 2 5" xfId="32963" xr:uid="{00000000-0005-0000-0000-00002F720000}"/>
    <cellStyle name="Normal 4 2 2 6" xfId="33021" xr:uid="{00000000-0005-0000-0000-000030720000}"/>
    <cellStyle name="Normal 4 2 3" xfId="7556" xr:uid="{00000000-0005-0000-0000-000031720000}"/>
    <cellStyle name="Normal 4 2 3 2" xfId="7557" xr:uid="{00000000-0005-0000-0000-000032720000}"/>
    <cellStyle name="Normal 4 2 3 2 2" xfId="10218" xr:uid="{00000000-0005-0000-0000-000033720000}"/>
    <cellStyle name="Normal 4 2 3 3" xfId="7558" xr:uid="{00000000-0005-0000-0000-000034720000}"/>
    <cellStyle name="Normal 4 2 3 3 2" xfId="13271" xr:uid="{00000000-0005-0000-0000-000035720000}"/>
    <cellStyle name="Normal 4 2 3 4" xfId="10217" xr:uid="{00000000-0005-0000-0000-000036720000}"/>
    <cellStyle name="Normal 4 2 4" xfId="7559" xr:uid="{00000000-0005-0000-0000-000037720000}"/>
    <cellStyle name="Normal 4 2 4 2" xfId="7560" xr:uid="{00000000-0005-0000-0000-000038720000}"/>
    <cellStyle name="Normal 4 2 4 2 2" xfId="13272" xr:uid="{00000000-0005-0000-0000-000039720000}"/>
    <cellStyle name="Normal 4 2 4 3" xfId="10523" xr:uid="{00000000-0005-0000-0000-00003A720000}"/>
    <cellStyle name="Normal 4 2 5" xfId="7561" xr:uid="{00000000-0005-0000-0000-00003B720000}"/>
    <cellStyle name="Normal 4 2 5 2" xfId="7562" xr:uid="{00000000-0005-0000-0000-00003C720000}"/>
    <cellStyle name="Normal 4 2 5 2 2" xfId="13273" xr:uid="{00000000-0005-0000-0000-00003D720000}"/>
    <cellStyle name="Normal 4 2 5 2 2 2" xfId="26905" xr:uid="{00000000-0005-0000-0000-00003E720000}"/>
    <cellStyle name="Normal 4 2 5 2 3" xfId="31842" xr:uid="{00000000-0005-0000-0000-00003F720000}"/>
    <cellStyle name="Normal 4 2 5 3" xfId="7563" xr:uid="{00000000-0005-0000-0000-000040720000}"/>
    <cellStyle name="Normal 4 2 5 3 2" xfId="15711" xr:uid="{00000000-0005-0000-0000-000041720000}"/>
    <cellStyle name="Normal 4 2 5 3 2 2" xfId="29197" xr:uid="{00000000-0005-0000-0000-000042720000}"/>
    <cellStyle name="Normal 4 2 5 3 3" xfId="31843" xr:uid="{00000000-0005-0000-0000-000043720000}"/>
    <cellStyle name="Normal 4 2 5 4" xfId="11585" xr:uid="{00000000-0005-0000-0000-000044720000}"/>
    <cellStyle name="Normal 4 2 5 4 2" xfId="25416" xr:uid="{00000000-0005-0000-0000-000045720000}"/>
    <cellStyle name="Normal 4 2 5 5" xfId="31841" xr:uid="{00000000-0005-0000-0000-000046720000}"/>
    <cellStyle name="Normal 4 2 6" xfId="7564" xr:uid="{00000000-0005-0000-0000-000047720000}"/>
    <cellStyle name="Normal 4 2 6 2" xfId="13270" xr:uid="{00000000-0005-0000-0000-000048720000}"/>
    <cellStyle name="Normal 4 2 6 2 2" xfId="26904" xr:uid="{00000000-0005-0000-0000-000049720000}"/>
    <cellStyle name="Normal 4 2 6 3" xfId="31844" xr:uid="{00000000-0005-0000-0000-00004A720000}"/>
    <cellStyle name="Normal 4 2 7" xfId="7565" xr:uid="{00000000-0005-0000-0000-00004B720000}"/>
    <cellStyle name="Normal 4 2 7 2" xfId="15710" xr:uid="{00000000-0005-0000-0000-00004C720000}"/>
    <cellStyle name="Normal 4 2 7 2 2" xfId="29196" xr:uid="{00000000-0005-0000-0000-00004D720000}"/>
    <cellStyle name="Normal 4 2 7 3" xfId="31845" xr:uid="{00000000-0005-0000-0000-00004E720000}"/>
    <cellStyle name="Normal 4 2 8" xfId="7566" xr:uid="{00000000-0005-0000-0000-00004F720000}"/>
    <cellStyle name="Normal 4 2 8 2" xfId="15819" xr:uid="{00000000-0005-0000-0000-000050720000}"/>
    <cellStyle name="Normal 4 2 8 2 2" xfId="29226" xr:uid="{00000000-0005-0000-0000-000051720000}"/>
    <cellStyle name="Normal 4 2 8 3" xfId="31846" xr:uid="{00000000-0005-0000-0000-000052720000}"/>
    <cellStyle name="Normal 4 2 9" xfId="8685" xr:uid="{00000000-0005-0000-0000-000053720000}"/>
    <cellStyle name="Normal 4 2 9 2" xfId="17310" xr:uid="{00000000-0005-0000-0000-000054720000}"/>
    <cellStyle name="Normal 4 2 9 2 2" xfId="30663" xr:uid="{00000000-0005-0000-0000-000055720000}"/>
    <cellStyle name="Normal 4 2 9 3" xfId="23215" xr:uid="{00000000-0005-0000-0000-000056720000}"/>
    <cellStyle name="Normal 4 3" xfId="7567" xr:uid="{00000000-0005-0000-0000-000057720000}"/>
    <cellStyle name="Normal 4 3 10" xfId="8798" xr:uid="{00000000-0005-0000-0000-000058720000}"/>
    <cellStyle name="Normal 4 3 10 2" xfId="23276" xr:uid="{00000000-0005-0000-0000-000059720000}"/>
    <cellStyle name="Normal 4 3 11" xfId="32927" xr:uid="{00000000-0005-0000-0000-00005A720000}"/>
    <cellStyle name="Normal 4 3 12" xfId="32987" xr:uid="{00000000-0005-0000-0000-00005B720000}"/>
    <cellStyle name="Normal 4 3 2" xfId="7568" xr:uid="{00000000-0005-0000-0000-00005C720000}"/>
    <cellStyle name="Normal 4 3 2 2" xfId="7569" xr:uid="{00000000-0005-0000-0000-00005D720000}"/>
    <cellStyle name="Normal 4 3 2 2 2" xfId="11731" xr:uid="{00000000-0005-0000-0000-00005E720000}"/>
    <cellStyle name="Normal 4 3 2 2 2 2" xfId="25450" xr:uid="{00000000-0005-0000-0000-00005F720000}"/>
    <cellStyle name="Normal 4 3 2 2 3" xfId="31847" xr:uid="{00000000-0005-0000-0000-000060720000}"/>
    <cellStyle name="Normal 4 3 2 3" xfId="7570" xr:uid="{00000000-0005-0000-0000-000061720000}"/>
    <cellStyle name="Normal 4 3 2 3 2" xfId="17047" xr:uid="{00000000-0005-0000-0000-000062720000}"/>
    <cellStyle name="Normal 4 3 2 3 2 2" xfId="30447" xr:uid="{00000000-0005-0000-0000-000063720000}"/>
    <cellStyle name="Normal 4 3 2 3 3" xfId="31848" xr:uid="{00000000-0005-0000-0000-000064720000}"/>
    <cellStyle name="Normal 4 3 2 4" xfId="10219" xr:uid="{00000000-0005-0000-0000-000065720000}"/>
    <cellStyle name="Normal 4 3 2 5" xfId="32964" xr:uid="{00000000-0005-0000-0000-000066720000}"/>
    <cellStyle name="Normal 4 3 2 6" xfId="33022" xr:uid="{00000000-0005-0000-0000-000067720000}"/>
    <cellStyle name="Normal 4 3 3" xfId="7571" xr:uid="{00000000-0005-0000-0000-000068720000}"/>
    <cellStyle name="Normal 4 3 3 2" xfId="7572" xr:uid="{00000000-0005-0000-0000-000069720000}"/>
    <cellStyle name="Normal 4 3 3 2 2" xfId="10221" xr:uid="{00000000-0005-0000-0000-00006A720000}"/>
    <cellStyle name="Normal 4 3 3 3" xfId="7573" xr:uid="{00000000-0005-0000-0000-00006B720000}"/>
    <cellStyle name="Normal 4 3 3 3 2" xfId="13275" xr:uid="{00000000-0005-0000-0000-00006C720000}"/>
    <cellStyle name="Normal 4 3 3 4" xfId="10220" xr:uid="{00000000-0005-0000-0000-00006D720000}"/>
    <cellStyle name="Normal 4 3 4" xfId="7574" xr:uid="{00000000-0005-0000-0000-00006E720000}"/>
    <cellStyle name="Normal 4 3 4 2" xfId="7575" xr:uid="{00000000-0005-0000-0000-00006F720000}"/>
    <cellStyle name="Normal 4 3 4 2 2" xfId="13276" xr:uid="{00000000-0005-0000-0000-000070720000}"/>
    <cellStyle name="Normal 4 3 4 3" xfId="10524" xr:uid="{00000000-0005-0000-0000-000071720000}"/>
    <cellStyle name="Normal 4 3 5" xfId="7576" xr:uid="{00000000-0005-0000-0000-000072720000}"/>
    <cellStyle name="Normal 4 3 5 2" xfId="7577" xr:uid="{00000000-0005-0000-0000-000073720000}"/>
    <cellStyle name="Normal 4 3 5 2 2" xfId="13277" xr:uid="{00000000-0005-0000-0000-000074720000}"/>
    <cellStyle name="Normal 4 3 5 2 2 2" xfId="26907" xr:uid="{00000000-0005-0000-0000-000075720000}"/>
    <cellStyle name="Normal 4 3 5 2 3" xfId="31850" xr:uid="{00000000-0005-0000-0000-000076720000}"/>
    <cellStyle name="Normal 4 3 5 3" xfId="7578" xr:uid="{00000000-0005-0000-0000-000077720000}"/>
    <cellStyle name="Normal 4 3 5 3 2" xfId="15713" xr:uid="{00000000-0005-0000-0000-000078720000}"/>
    <cellStyle name="Normal 4 3 5 3 2 2" xfId="29199" xr:uid="{00000000-0005-0000-0000-000079720000}"/>
    <cellStyle name="Normal 4 3 5 3 3" xfId="31851" xr:uid="{00000000-0005-0000-0000-00007A720000}"/>
    <cellStyle name="Normal 4 3 5 4" xfId="11586" xr:uid="{00000000-0005-0000-0000-00007B720000}"/>
    <cellStyle name="Normal 4 3 5 4 2" xfId="25417" xr:uid="{00000000-0005-0000-0000-00007C720000}"/>
    <cellStyle name="Normal 4 3 5 5" xfId="31849" xr:uid="{00000000-0005-0000-0000-00007D720000}"/>
    <cellStyle name="Normal 4 3 6" xfId="7579" xr:uid="{00000000-0005-0000-0000-00007E720000}"/>
    <cellStyle name="Normal 4 3 6 2" xfId="13274" xr:uid="{00000000-0005-0000-0000-00007F720000}"/>
    <cellStyle name="Normal 4 3 6 2 2" xfId="26906" xr:uid="{00000000-0005-0000-0000-000080720000}"/>
    <cellStyle name="Normal 4 3 6 3" xfId="31852" xr:uid="{00000000-0005-0000-0000-000081720000}"/>
    <cellStyle name="Normal 4 3 7" xfId="7580" xr:uid="{00000000-0005-0000-0000-000082720000}"/>
    <cellStyle name="Normal 4 3 7 2" xfId="15712" xr:uid="{00000000-0005-0000-0000-000083720000}"/>
    <cellStyle name="Normal 4 3 7 2 2" xfId="29198" xr:uid="{00000000-0005-0000-0000-000084720000}"/>
    <cellStyle name="Normal 4 3 7 3" xfId="31853" xr:uid="{00000000-0005-0000-0000-000085720000}"/>
    <cellStyle name="Normal 4 3 8" xfId="7581" xr:uid="{00000000-0005-0000-0000-000086720000}"/>
    <cellStyle name="Normal 4 3 8 2" xfId="15820" xr:uid="{00000000-0005-0000-0000-000087720000}"/>
    <cellStyle name="Normal 4 3 8 2 2" xfId="29227" xr:uid="{00000000-0005-0000-0000-000088720000}"/>
    <cellStyle name="Normal 4 3 8 3" xfId="31854" xr:uid="{00000000-0005-0000-0000-000089720000}"/>
    <cellStyle name="Normal 4 3 9" xfId="8689" xr:uid="{00000000-0005-0000-0000-00008A720000}"/>
    <cellStyle name="Normal 4 3 9 2" xfId="17314" xr:uid="{00000000-0005-0000-0000-00008B720000}"/>
    <cellStyle name="Normal 4 3 9 2 2" xfId="30667" xr:uid="{00000000-0005-0000-0000-00008C720000}"/>
    <cellStyle name="Normal 4 3 9 3" xfId="23219" xr:uid="{00000000-0005-0000-0000-00008D720000}"/>
    <cellStyle name="Normal 4 4" xfId="7582" xr:uid="{00000000-0005-0000-0000-00008E720000}"/>
    <cellStyle name="Normal 4 4 10" xfId="32935" xr:uid="{00000000-0005-0000-0000-00008F720000}"/>
    <cellStyle name="Normal 4 4 11" xfId="32995" xr:uid="{00000000-0005-0000-0000-000090720000}"/>
    <cellStyle name="Normal 4 4 2" xfId="7583" xr:uid="{00000000-0005-0000-0000-000091720000}"/>
    <cellStyle name="Normal 4 4 2 2" xfId="7584" xr:uid="{00000000-0005-0000-0000-000092720000}"/>
    <cellStyle name="Normal 4 4 2 2 2" xfId="17048" xr:uid="{00000000-0005-0000-0000-000093720000}"/>
    <cellStyle name="Normal 4 4 2 2 2 2" xfId="30448" xr:uid="{00000000-0005-0000-0000-000094720000}"/>
    <cellStyle name="Normal 4 4 2 2 3" xfId="31857" xr:uid="{00000000-0005-0000-0000-000095720000}"/>
    <cellStyle name="Normal 4 4 2 3" xfId="10222" xr:uid="{00000000-0005-0000-0000-000096720000}"/>
    <cellStyle name="Normal 4 4 2 4" xfId="31856" xr:uid="{00000000-0005-0000-0000-000097720000}"/>
    <cellStyle name="Normal 4 4 2 5" xfId="32965" xr:uid="{00000000-0005-0000-0000-000098720000}"/>
    <cellStyle name="Normal 4 4 2 6" xfId="33023" xr:uid="{00000000-0005-0000-0000-000099720000}"/>
    <cellStyle name="Normal 4 4 3" xfId="7585" xr:uid="{00000000-0005-0000-0000-00009A720000}"/>
    <cellStyle name="Normal 4 4 3 2" xfId="11587" xr:uid="{00000000-0005-0000-0000-00009B720000}"/>
    <cellStyle name="Normal 4 4 3 2 2" xfId="25418" xr:uid="{00000000-0005-0000-0000-00009C720000}"/>
    <cellStyle name="Normal 4 4 3 3" xfId="31858" xr:uid="{00000000-0005-0000-0000-00009D720000}"/>
    <cellStyle name="Normal 4 4 4" xfId="7586" xr:uid="{00000000-0005-0000-0000-00009E720000}"/>
    <cellStyle name="Normal 4 4 4 2" xfId="13278" xr:uid="{00000000-0005-0000-0000-00009F720000}"/>
    <cellStyle name="Normal 4 4 4 2 2" xfId="26908" xr:uid="{00000000-0005-0000-0000-0000A0720000}"/>
    <cellStyle name="Normal 4 4 4 3" xfId="31859" xr:uid="{00000000-0005-0000-0000-0000A1720000}"/>
    <cellStyle name="Normal 4 4 5" xfId="7587" xr:uid="{00000000-0005-0000-0000-0000A2720000}"/>
    <cellStyle name="Normal 4 4 5 2" xfId="15714" xr:uid="{00000000-0005-0000-0000-0000A3720000}"/>
    <cellStyle name="Normal 4 4 5 2 2" xfId="29200" xr:uid="{00000000-0005-0000-0000-0000A4720000}"/>
    <cellStyle name="Normal 4 4 5 3" xfId="31860" xr:uid="{00000000-0005-0000-0000-0000A5720000}"/>
    <cellStyle name="Normal 4 4 6" xfId="7588" xr:uid="{00000000-0005-0000-0000-0000A6720000}"/>
    <cellStyle name="Normal 4 4 6 2" xfId="15821" xr:uid="{00000000-0005-0000-0000-0000A7720000}"/>
    <cellStyle name="Normal 4 4 6 2 2" xfId="29228" xr:uid="{00000000-0005-0000-0000-0000A8720000}"/>
    <cellStyle name="Normal 4 4 6 3" xfId="31861" xr:uid="{00000000-0005-0000-0000-0000A9720000}"/>
    <cellStyle name="Normal 4 4 7" xfId="8704" xr:uid="{00000000-0005-0000-0000-0000AA720000}"/>
    <cellStyle name="Normal 4 4 7 2" xfId="17322" xr:uid="{00000000-0005-0000-0000-0000AB720000}"/>
    <cellStyle name="Normal 4 4 7 2 2" xfId="30675" xr:uid="{00000000-0005-0000-0000-0000AC720000}"/>
    <cellStyle name="Normal 4 4 7 3" xfId="23227" xr:uid="{00000000-0005-0000-0000-0000AD720000}"/>
    <cellStyle name="Normal 4 4 8" xfId="8806" xr:uid="{00000000-0005-0000-0000-0000AE720000}"/>
    <cellStyle name="Normal 4 4 8 2" xfId="23284" xr:uid="{00000000-0005-0000-0000-0000AF720000}"/>
    <cellStyle name="Normal 4 4 9" xfId="31855" xr:uid="{00000000-0005-0000-0000-0000B0720000}"/>
    <cellStyle name="Normal 4 5" xfId="7589" xr:uid="{00000000-0005-0000-0000-0000B1720000}"/>
    <cellStyle name="Normal 4 5 10" xfId="7590" xr:uid="{00000000-0005-0000-0000-0000B2720000}"/>
    <cellStyle name="Normal 4 5 10 2" xfId="16421" xr:uid="{00000000-0005-0000-0000-0000B3720000}"/>
    <cellStyle name="Normal 4 5 10 2 2" xfId="29828" xr:uid="{00000000-0005-0000-0000-0000B4720000}"/>
    <cellStyle name="Normal 4 5 10 3" xfId="31863" xr:uid="{00000000-0005-0000-0000-0000B5720000}"/>
    <cellStyle name="Normal 4 5 11" xfId="8692" xr:uid="{00000000-0005-0000-0000-0000B6720000}"/>
    <cellStyle name="Normal 4 5 11 2" xfId="17317" xr:uid="{00000000-0005-0000-0000-0000B7720000}"/>
    <cellStyle name="Normal 4 5 11 2 2" xfId="30670" xr:uid="{00000000-0005-0000-0000-0000B8720000}"/>
    <cellStyle name="Normal 4 5 11 3" xfId="23222" xr:uid="{00000000-0005-0000-0000-0000B9720000}"/>
    <cellStyle name="Normal 4 5 12" xfId="8801" xr:uid="{00000000-0005-0000-0000-0000BA720000}"/>
    <cellStyle name="Normal 4 5 12 2" xfId="23279" xr:uid="{00000000-0005-0000-0000-0000BB720000}"/>
    <cellStyle name="Normal 4 5 13" xfId="31862" xr:uid="{00000000-0005-0000-0000-0000BC720000}"/>
    <cellStyle name="Normal 4 5 14" xfId="32930" xr:uid="{00000000-0005-0000-0000-0000BD720000}"/>
    <cellStyle name="Normal 4 5 15" xfId="32990" xr:uid="{00000000-0005-0000-0000-0000BE720000}"/>
    <cellStyle name="Normal 4 5 2" xfId="7591" xr:uid="{00000000-0005-0000-0000-0000BF720000}"/>
    <cellStyle name="Normal 4 5 2 2" xfId="7592" xr:uid="{00000000-0005-0000-0000-0000C0720000}"/>
    <cellStyle name="Normal 4 5 2 2 2" xfId="11589" xr:uid="{00000000-0005-0000-0000-0000C1720000}"/>
    <cellStyle name="Normal 4 5 2 2 2 2" xfId="25420" xr:uid="{00000000-0005-0000-0000-0000C2720000}"/>
    <cellStyle name="Normal 4 5 2 2 3" xfId="31865" xr:uid="{00000000-0005-0000-0000-0000C3720000}"/>
    <cellStyle name="Normal 4 5 2 3" xfId="7593" xr:uid="{00000000-0005-0000-0000-0000C4720000}"/>
    <cellStyle name="Normal 4 5 2 3 2" xfId="13280" xr:uid="{00000000-0005-0000-0000-0000C5720000}"/>
    <cellStyle name="Normal 4 5 2 3 2 2" xfId="26910" xr:uid="{00000000-0005-0000-0000-0000C6720000}"/>
    <cellStyle name="Normal 4 5 2 3 3" xfId="31866" xr:uid="{00000000-0005-0000-0000-0000C7720000}"/>
    <cellStyle name="Normal 4 5 2 4" xfId="7594" xr:uid="{00000000-0005-0000-0000-0000C8720000}"/>
    <cellStyle name="Normal 4 5 2 4 2" xfId="15716" xr:uid="{00000000-0005-0000-0000-0000C9720000}"/>
    <cellStyle name="Normal 4 5 2 4 2 2" xfId="29202" xr:uid="{00000000-0005-0000-0000-0000CA720000}"/>
    <cellStyle name="Normal 4 5 2 4 3" xfId="31867" xr:uid="{00000000-0005-0000-0000-0000CB720000}"/>
    <cellStyle name="Normal 4 5 2 5" xfId="7595" xr:uid="{00000000-0005-0000-0000-0000CC720000}"/>
    <cellStyle name="Normal 4 5 2 5 2" xfId="17002" xr:uid="{00000000-0005-0000-0000-0000CD720000}"/>
    <cellStyle name="Normal 4 5 2 5 2 2" xfId="30409" xr:uid="{00000000-0005-0000-0000-0000CE720000}"/>
    <cellStyle name="Normal 4 5 2 5 3" xfId="31868" xr:uid="{00000000-0005-0000-0000-0000CF720000}"/>
    <cellStyle name="Normal 4 5 2 6" xfId="10223" xr:uid="{00000000-0005-0000-0000-0000D0720000}"/>
    <cellStyle name="Normal 4 5 2 6 2" xfId="24418" xr:uid="{00000000-0005-0000-0000-0000D1720000}"/>
    <cellStyle name="Normal 4 5 2 7" xfId="31864" xr:uid="{00000000-0005-0000-0000-0000D2720000}"/>
    <cellStyle name="Normal 4 5 2 8" xfId="32966" xr:uid="{00000000-0005-0000-0000-0000D3720000}"/>
    <cellStyle name="Normal 4 5 2 9" xfId="33024" xr:uid="{00000000-0005-0000-0000-0000D4720000}"/>
    <cellStyle name="Normal 4 5 3" xfId="7596" xr:uid="{00000000-0005-0000-0000-0000D5720000}"/>
    <cellStyle name="Normal 4 5 3 2" xfId="11588" xr:uid="{00000000-0005-0000-0000-0000D6720000}"/>
    <cellStyle name="Normal 4 5 3 2 2" xfId="25419" xr:uid="{00000000-0005-0000-0000-0000D7720000}"/>
    <cellStyle name="Normal 4 5 3 3" xfId="31869" xr:uid="{00000000-0005-0000-0000-0000D8720000}"/>
    <cellStyle name="Normal 4 5 4" xfId="7597" xr:uid="{00000000-0005-0000-0000-0000D9720000}"/>
    <cellStyle name="Normal 4 5 4 2" xfId="12390" xr:uid="{00000000-0005-0000-0000-0000DA720000}"/>
    <cellStyle name="Normal 4 5 4 2 2" xfId="26102" xr:uid="{00000000-0005-0000-0000-0000DB720000}"/>
    <cellStyle name="Normal 4 5 4 3" xfId="31870" xr:uid="{00000000-0005-0000-0000-0000DC720000}"/>
    <cellStyle name="Normal 4 5 5" xfId="7598" xr:uid="{00000000-0005-0000-0000-0000DD720000}"/>
    <cellStyle name="Normal 4 5 5 2" xfId="13279" xr:uid="{00000000-0005-0000-0000-0000DE720000}"/>
    <cellStyle name="Normal 4 5 5 2 2" xfId="26909" xr:uid="{00000000-0005-0000-0000-0000DF720000}"/>
    <cellStyle name="Normal 4 5 5 3" xfId="31871" xr:uid="{00000000-0005-0000-0000-0000E0720000}"/>
    <cellStyle name="Normal 4 5 6" xfId="7599" xr:uid="{00000000-0005-0000-0000-0000E1720000}"/>
    <cellStyle name="Normal 4 5 6 2" xfId="13954" xr:uid="{00000000-0005-0000-0000-0000E2720000}"/>
    <cellStyle name="Normal 4 5 6 2 2" xfId="27503" xr:uid="{00000000-0005-0000-0000-0000E3720000}"/>
    <cellStyle name="Normal 4 5 6 3" xfId="31872" xr:uid="{00000000-0005-0000-0000-0000E4720000}"/>
    <cellStyle name="Normal 4 5 7" xfId="7600" xr:uid="{00000000-0005-0000-0000-0000E5720000}"/>
    <cellStyle name="Normal 4 5 7 2" xfId="14535" xr:uid="{00000000-0005-0000-0000-0000E6720000}"/>
    <cellStyle name="Normal 4 5 7 2 2" xfId="28084" xr:uid="{00000000-0005-0000-0000-0000E7720000}"/>
    <cellStyle name="Normal 4 5 7 3" xfId="31873" xr:uid="{00000000-0005-0000-0000-0000E8720000}"/>
    <cellStyle name="Normal 4 5 8" xfId="7601" xr:uid="{00000000-0005-0000-0000-0000E9720000}"/>
    <cellStyle name="Normal 4 5 8 2" xfId="15715" xr:uid="{00000000-0005-0000-0000-0000EA720000}"/>
    <cellStyle name="Normal 4 5 8 2 2" xfId="29201" xr:uid="{00000000-0005-0000-0000-0000EB720000}"/>
    <cellStyle name="Normal 4 5 8 3" xfId="31874" xr:uid="{00000000-0005-0000-0000-0000EC720000}"/>
    <cellStyle name="Normal 4 5 9" xfId="7602" xr:uid="{00000000-0005-0000-0000-0000ED720000}"/>
    <cellStyle name="Normal 4 5 9 2" xfId="15822" xr:uid="{00000000-0005-0000-0000-0000EE720000}"/>
    <cellStyle name="Normal 4 5 9 2 2" xfId="29229" xr:uid="{00000000-0005-0000-0000-0000EF720000}"/>
    <cellStyle name="Normal 4 5 9 3" xfId="31875" xr:uid="{00000000-0005-0000-0000-0000F0720000}"/>
    <cellStyle name="Normal 4 6" xfId="7603" xr:uid="{00000000-0005-0000-0000-0000F1720000}"/>
    <cellStyle name="Normal 4 6 2" xfId="7604" xr:uid="{00000000-0005-0000-0000-0000F2720000}"/>
    <cellStyle name="Normal 4 6 2 2" xfId="10225" xr:uid="{00000000-0005-0000-0000-0000F3720000}"/>
    <cellStyle name="Normal 4 6 2 3" xfId="32967" xr:uid="{00000000-0005-0000-0000-0000F4720000}"/>
    <cellStyle name="Normal 4 6 3" xfId="7605" xr:uid="{00000000-0005-0000-0000-0000F5720000}"/>
    <cellStyle name="Normal 4 6 3 2" xfId="11729" xr:uid="{00000000-0005-0000-0000-0000F6720000}"/>
    <cellStyle name="Normal 4 6 3 2 2" xfId="25448" xr:uid="{00000000-0005-0000-0000-0000F7720000}"/>
    <cellStyle name="Normal 4 6 3 3" xfId="31876" xr:uid="{00000000-0005-0000-0000-0000F8720000}"/>
    <cellStyle name="Normal 4 6 4" xfId="7606" xr:uid="{00000000-0005-0000-0000-0000F9720000}"/>
    <cellStyle name="Normal 4 6 4 2" xfId="17346" xr:uid="{00000000-0005-0000-0000-0000FA720000}"/>
    <cellStyle name="Normal 4 6 4 3" xfId="31877" xr:uid="{00000000-0005-0000-0000-0000FB720000}"/>
    <cellStyle name="Normal 4 6 5" xfId="8742" xr:uid="{00000000-0005-0000-0000-0000FC720000}"/>
    <cellStyle name="Normal 4 6 6" xfId="10224" xr:uid="{00000000-0005-0000-0000-0000FD720000}"/>
    <cellStyle name="Normal 4 6 7" xfId="32919" xr:uid="{00000000-0005-0000-0000-0000FE720000}"/>
    <cellStyle name="Normal 4 6 8" xfId="32979" xr:uid="{00000000-0005-0000-0000-0000FF720000}"/>
    <cellStyle name="Normal 4 7" xfId="7607" xr:uid="{00000000-0005-0000-0000-000000730000}"/>
    <cellStyle name="Normal 4 7 2" xfId="7608" xr:uid="{00000000-0005-0000-0000-000001730000}"/>
    <cellStyle name="Normal 4 7 2 2" xfId="13281" xr:uid="{00000000-0005-0000-0000-000002730000}"/>
    <cellStyle name="Normal 4 7 2 2 2" xfId="26911" xr:uid="{00000000-0005-0000-0000-000003730000}"/>
    <cellStyle name="Normal 4 7 2 3" xfId="31879" xr:uid="{00000000-0005-0000-0000-000004730000}"/>
    <cellStyle name="Normal 4 7 3" xfId="7609" xr:uid="{00000000-0005-0000-0000-000005730000}"/>
    <cellStyle name="Normal 4 7 3 2" xfId="15717" xr:uid="{00000000-0005-0000-0000-000006730000}"/>
    <cellStyle name="Normal 4 7 3 2 2" xfId="29203" xr:uid="{00000000-0005-0000-0000-000007730000}"/>
    <cellStyle name="Normal 4 7 3 3" xfId="31880" xr:uid="{00000000-0005-0000-0000-000008730000}"/>
    <cellStyle name="Normal 4 7 4" xfId="11584" xr:uid="{00000000-0005-0000-0000-000009730000}"/>
    <cellStyle name="Normal 4 7 4 2" xfId="25415" xr:uid="{00000000-0005-0000-0000-00000A730000}"/>
    <cellStyle name="Normal 4 7 5" xfId="31878" xr:uid="{00000000-0005-0000-0000-00000B730000}"/>
    <cellStyle name="Normal 4 7 6" xfId="32944" xr:uid="{00000000-0005-0000-0000-00000C730000}"/>
    <cellStyle name="Normal 4 7 7" xfId="33002" xr:uid="{00000000-0005-0000-0000-00000D730000}"/>
    <cellStyle name="Normal 4 8" xfId="7610" xr:uid="{00000000-0005-0000-0000-00000E730000}"/>
    <cellStyle name="Normal 4 8 2" xfId="15818" xr:uid="{00000000-0005-0000-0000-00000F730000}"/>
    <cellStyle name="Normal 4 8 2 2" xfId="29225" xr:uid="{00000000-0005-0000-0000-000010730000}"/>
    <cellStyle name="Normal 4 8 3" xfId="31881" xr:uid="{00000000-0005-0000-0000-000011730000}"/>
    <cellStyle name="Normal 4 8 4" xfId="32962" xr:uid="{00000000-0005-0000-0000-000012730000}"/>
    <cellStyle name="Normal 4 8 5" xfId="33020" xr:uid="{00000000-0005-0000-0000-000013730000}"/>
    <cellStyle name="Normal 4 9" xfId="8681" xr:uid="{00000000-0005-0000-0000-000014730000}"/>
    <cellStyle name="Normal 4 9 2" xfId="17306" xr:uid="{00000000-0005-0000-0000-000015730000}"/>
    <cellStyle name="Normal 4 9 2 2" xfId="30659" xr:uid="{00000000-0005-0000-0000-000016730000}"/>
    <cellStyle name="Normal 4 9 3" xfId="23211" xr:uid="{00000000-0005-0000-0000-000017730000}"/>
    <cellStyle name="Normal 5" xfId="7611" xr:uid="{00000000-0005-0000-0000-000018730000}"/>
    <cellStyle name="Normal 5 10" xfId="7612" xr:uid="{00000000-0005-0000-0000-000019730000}"/>
    <cellStyle name="Normal 5 10 2" xfId="15823" xr:uid="{00000000-0005-0000-0000-00001A730000}"/>
    <cellStyle name="Normal 5 10 2 2" xfId="29230" xr:uid="{00000000-0005-0000-0000-00001B730000}"/>
    <cellStyle name="Normal 5 10 3" xfId="31882" xr:uid="{00000000-0005-0000-0000-00001C730000}"/>
    <cellStyle name="Normal 5 11" xfId="8682" xr:uid="{00000000-0005-0000-0000-00001D730000}"/>
    <cellStyle name="Normal 5 11 2" xfId="17307" xr:uid="{00000000-0005-0000-0000-00001E730000}"/>
    <cellStyle name="Normal 5 11 2 2" xfId="30660" xr:uid="{00000000-0005-0000-0000-00001F730000}"/>
    <cellStyle name="Normal 5 11 3" xfId="23212" xr:uid="{00000000-0005-0000-0000-000020730000}"/>
    <cellStyle name="Normal 5 12" xfId="8791" xr:uid="{00000000-0005-0000-0000-000021730000}"/>
    <cellStyle name="Normal 5 12 2" xfId="23269" xr:uid="{00000000-0005-0000-0000-000022730000}"/>
    <cellStyle name="Normal 5 2" xfId="7613" xr:uid="{00000000-0005-0000-0000-000023730000}"/>
    <cellStyle name="Normal 5 2 10" xfId="32984" xr:uid="{00000000-0005-0000-0000-000024730000}"/>
    <cellStyle name="Normal 5 2 11" xfId="33041" xr:uid="{00000000-0005-0000-0000-000025730000}"/>
    <cellStyle name="Normal 5 2 2" xfId="7614" xr:uid="{00000000-0005-0000-0000-000026730000}"/>
    <cellStyle name="Normal 5 2 2 2" xfId="11591" xr:uid="{00000000-0005-0000-0000-000027730000}"/>
    <cellStyle name="Normal 5 2 2 2 2" xfId="25422" xr:uid="{00000000-0005-0000-0000-000028730000}"/>
    <cellStyle name="Normal 5 2 2 3" xfId="31883" xr:uid="{00000000-0005-0000-0000-000029730000}"/>
    <cellStyle name="Normal 5 2 2 4" xfId="32969" xr:uid="{00000000-0005-0000-0000-00002A730000}"/>
    <cellStyle name="Normal 5 2 2 5" xfId="33026" xr:uid="{00000000-0005-0000-0000-00002B730000}"/>
    <cellStyle name="Normal 5 2 3" xfId="7615" xr:uid="{00000000-0005-0000-0000-00002C730000}"/>
    <cellStyle name="Normal 5 2 3 2" xfId="13283" xr:uid="{00000000-0005-0000-0000-00002D730000}"/>
    <cellStyle name="Normal 5 2 3 2 2" xfId="26913" xr:uid="{00000000-0005-0000-0000-00002E730000}"/>
    <cellStyle name="Normal 5 2 3 3" xfId="31884" xr:uid="{00000000-0005-0000-0000-00002F730000}"/>
    <cellStyle name="Normal 5 2 4" xfId="7616" xr:uid="{00000000-0005-0000-0000-000030730000}"/>
    <cellStyle name="Normal 5 2 4 2" xfId="15719" xr:uid="{00000000-0005-0000-0000-000031730000}"/>
    <cellStyle name="Normal 5 2 4 2 2" xfId="29205" xr:uid="{00000000-0005-0000-0000-000032730000}"/>
    <cellStyle name="Normal 5 2 4 3" xfId="31885" xr:uid="{00000000-0005-0000-0000-000033730000}"/>
    <cellStyle name="Normal 5 2 5" xfId="7617" xr:uid="{00000000-0005-0000-0000-000034730000}"/>
    <cellStyle name="Normal 5 2 5 2" xfId="15824" xr:uid="{00000000-0005-0000-0000-000035730000}"/>
    <cellStyle name="Normal 5 2 5 2 2" xfId="29231" xr:uid="{00000000-0005-0000-0000-000036730000}"/>
    <cellStyle name="Normal 5 2 5 3" xfId="31886" xr:uid="{00000000-0005-0000-0000-000037730000}"/>
    <cellStyle name="Normal 5 2 6" xfId="7618" xr:uid="{00000000-0005-0000-0000-000038730000}"/>
    <cellStyle name="Normal 5 2 6 2" xfId="17049" xr:uid="{00000000-0005-0000-0000-000039730000}"/>
    <cellStyle name="Normal 5 2 7" xfId="8686" xr:uid="{00000000-0005-0000-0000-00003A730000}"/>
    <cellStyle name="Normal 5 2 7 2" xfId="17311" xr:uid="{00000000-0005-0000-0000-00003B730000}"/>
    <cellStyle name="Normal 5 2 7 2 2" xfId="30664" xr:uid="{00000000-0005-0000-0000-00003C730000}"/>
    <cellStyle name="Normal 5 2 7 3" xfId="23216" xr:uid="{00000000-0005-0000-0000-00003D730000}"/>
    <cellStyle name="Normal 5 2 8" xfId="8795" xr:uid="{00000000-0005-0000-0000-00003E730000}"/>
    <cellStyle name="Normal 5 2 8 2" xfId="23273" xr:uid="{00000000-0005-0000-0000-00003F730000}"/>
    <cellStyle name="Normal 5 2 9" xfId="32924" xr:uid="{00000000-0005-0000-0000-000040730000}"/>
    <cellStyle name="Normal 5 3" xfId="7619" xr:uid="{00000000-0005-0000-0000-000041730000}"/>
    <cellStyle name="Normal 5 3 10" xfId="32988" xr:uid="{00000000-0005-0000-0000-000042730000}"/>
    <cellStyle name="Normal 5 3 2" xfId="7620" xr:uid="{00000000-0005-0000-0000-000043730000}"/>
    <cellStyle name="Normal 5 3 2 2" xfId="11592" xr:uid="{00000000-0005-0000-0000-000044730000}"/>
    <cellStyle name="Normal 5 3 2 2 2" xfId="25423" xr:uid="{00000000-0005-0000-0000-000045730000}"/>
    <cellStyle name="Normal 5 3 2 3" xfId="31888" xr:uid="{00000000-0005-0000-0000-000046730000}"/>
    <cellStyle name="Normal 5 3 2 4" xfId="32970" xr:uid="{00000000-0005-0000-0000-000047730000}"/>
    <cellStyle name="Normal 5 3 2 5" xfId="33027" xr:uid="{00000000-0005-0000-0000-000048730000}"/>
    <cellStyle name="Normal 5 3 3" xfId="7621" xr:uid="{00000000-0005-0000-0000-000049730000}"/>
    <cellStyle name="Normal 5 3 3 2" xfId="13284" xr:uid="{00000000-0005-0000-0000-00004A730000}"/>
    <cellStyle name="Normal 5 3 3 2 2" xfId="26914" xr:uid="{00000000-0005-0000-0000-00004B730000}"/>
    <cellStyle name="Normal 5 3 3 3" xfId="31889" xr:uid="{00000000-0005-0000-0000-00004C730000}"/>
    <cellStyle name="Normal 5 3 4" xfId="7622" xr:uid="{00000000-0005-0000-0000-00004D730000}"/>
    <cellStyle name="Normal 5 3 4 2" xfId="15720" xr:uid="{00000000-0005-0000-0000-00004E730000}"/>
    <cellStyle name="Normal 5 3 4 2 2" xfId="29206" xr:uid="{00000000-0005-0000-0000-00004F730000}"/>
    <cellStyle name="Normal 5 3 4 3" xfId="31890" xr:uid="{00000000-0005-0000-0000-000050730000}"/>
    <cellStyle name="Normal 5 3 5" xfId="7623" xr:uid="{00000000-0005-0000-0000-000051730000}"/>
    <cellStyle name="Normal 5 3 5 2" xfId="15825" xr:uid="{00000000-0005-0000-0000-000052730000}"/>
    <cellStyle name="Normal 5 3 5 2 2" xfId="29232" xr:uid="{00000000-0005-0000-0000-000053730000}"/>
    <cellStyle name="Normal 5 3 5 3" xfId="31891" xr:uid="{00000000-0005-0000-0000-000054730000}"/>
    <cellStyle name="Normal 5 3 6" xfId="8690" xr:uid="{00000000-0005-0000-0000-000055730000}"/>
    <cellStyle name="Normal 5 3 6 2" xfId="17315" xr:uid="{00000000-0005-0000-0000-000056730000}"/>
    <cellStyle name="Normal 5 3 6 2 2" xfId="30668" xr:uid="{00000000-0005-0000-0000-000057730000}"/>
    <cellStyle name="Normal 5 3 6 3" xfId="23220" xr:uid="{00000000-0005-0000-0000-000058730000}"/>
    <cellStyle name="Normal 5 3 7" xfId="8799" xr:uid="{00000000-0005-0000-0000-000059730000}"/>
    <cellStyle name="Normal 5 3 7 2" xfId="23277" xr:uid="{00000000-0005-0000-0000-00005A730000}"/>
    <cellStyle name="Normal 5 3 8" xfId="31887" xr:uid="{00000000-0005-0000-0000-00005B730000}"/>
    <cellStyle name="Normal 5 3 9" xfId="32928" xr:uid="{00000000-0005-0000-0000-00005C730000}"/>
    <cellStyle name="Normal 5 4" xfId="7624" xr:uid="{00000000-0005-0000-0000-00005D730000}"/>
    <cellStyle name="Normal 5 4 10" xfId="32996" xr:uid="{00000000-0005-0000-0000-00005E730000}"/>
    <cellStyle name="Normal 5 4 2" xfId="7625" xr:uid="{00000000-0005-0000-0000-00005F730000}"/>
    <cellStyle name="Normal 5 4 2 2" xfId="11593" xr:uid="{00000000-0005-0000-0000-000060730000}"/>
    <cellStyle name="Normal 5 4 2 2 2" xfId="25424" xr:uid="{00000000-0005-0000-0000-000061730000}"/>
    <cellStyle name="Normal 5 4 2 3" xfId="31893" xr:uid="{00000000-0005-0000-0000-000062730000}"/>
    <cellStyle name="Normal 5 4 2 4" xfId="32971" xr:uid="{00000000-0005-0000-0000-000063730000}"/>
    <cellStyle name="Normal 5 4 2 5" xfId="33028" xr:uid="{00000000-0005-0000-0000-000064730000}"/>
    <cellStyle name="Normal 5 4 3" xfId="7626" xr:uid="{00000000-0005-0000-0000-000065730000}"/>
    <cellStyle name="Normal 5 4 3 2" xfId="13285" xr:uid="{00000000-0005-0000-0000-000066730000}"/>
    <cellStyle name="Normal 5 4 3 2 2" xfId="26915" xr:uid="{00000000-0005-0000-0000-000067730000}"/>
    <cellStyle name="Normal 5 4 3 3" xfId="31894" xr:uid="{00000000-0005-0000-0000-000068730000}"/>
    <cellStyle name="Normal 5 4 4" xfId="7627" xr:uid="{00000000-0005-0000-0000-000069730000}"/>
    <cellStyle name="Normal 5 4 4 2" xfId="15721" xr:uid="{00000000-0005-0000-0000-00006A730000}"/>
    <cellStyle name="Normal 5 4 4 2 2" xfId="29207" xr:uid="{00000000-0005-0000-0000-00006B730000}"/>
    <cellStyle name="Normal 5 4 4 3" xfId="31895" xr:uid="{00000000-0005-0000-0000-00006C730000}"/>
    <cellStyle name="Normal 5 4 5" xfId="7628" xr:uid="{00000000-0005-0000-0000-00006D730000}"/>
    <cellStyle name="Normal 5 4 5 2" xfId="15826" xr:uid="{00000000-0005-0000-0000-00006E730000}"/>
    <cellStyle name="Normal 5 4 5 2 2" xfId="29233" xr:uid="{00000000-0005-0000-0000-00006F730000}"/>
    <cellStyle name="Normal 5 4 5 3" xfId="31896" xr:uid="{00000000-0005-0000-0000-000070730000}"/>
    <cellStyle name="Normal 5 4 6" xfId="8705" xr:uid="{00000000-0005-0000-0000-000071730000}"/>
    <cellStyle name="Normal 5 4 6 2" xfId="17323" xr:uid="{00000000-0005-0000-0000-000072730000}"/>
    <cellStyle name="Normal 5 4 6 2 2" xfId="30676" xr:uid="{00000000-0005-0000-0000-000073730000}"/>
    <cellStyle name="Normal 5 4 6 3" xfId="23228" xr:uid="{00000000-0005-0000-0000-000074730000}"/>
    <cellStyle name="Normal 5 4 7" xfId="8807" xr:uid="{00000000-0005-0000-0000-000075730000}"/>
    <cellStyle name="Normal 5 4 7 2" xfId="23285" xr:uid="{00000000-0005-0000-0000-000076730000}"/>
    <cellStyle name="Normal 5 4 8" xfId="31892" xr:uid="{00000000-0005-0000-0000-000077730000}"/>
    <cellStyle name="Normal 5 4 9" xfId="32936" xr:uid="{00000000-0005-0000-0000-000078730000}"/>
    <cellStyle name="Normal 5 5" xfId="7629" xr:uid="{00000000-0005-0000-0000-000079730000}"/>
    <cellStyle name="Normal 5 5 10" xfId="32991" xr:uid="{00000000-0005-0000-0000-00007A730000}"/>
    <cellStyle name="Normal 5 5 2" xfId="7630" xr:uid="{00000000-0005-0000-0000-00007B730000}"/>
    <cellStyle name="Normal 5 5 2 2" xfId="11594" xr:uid="{00000000-0005-0000-0000-00007C730000}"/>
    <cellStyle name="Normal 5 5 2 2 2" xfId="25425" xr:uid="{00000000-0005-0000-0000-00007D730000}"/>
    <cellStyle name="Normal 5 5 2 3" xfId="31898" xr:uid="{00000000-0005-0000-0000-00007E730000}"/>
    <cellStyle name="Normal 5 5 2 4" xfId="32972" xr:uid="{00000000-0005-0000-0000-00007F730000}"/>
    <cellStyle name="Normal 5 5 2 5" xfId="33029" xr:uid="{00000000-0005-0000-0000-000080730000}"/>
    <cellStyle name="Normal 5 5 3" xfId="7631" xr:uid="{00000000-0005-0000-0000-000081730000}"/>
    <cellStyle name="Normal 5 5 3 2" xfId="13286" xr:uid="{00000000-0005-0000-0000-000082730000}"/>
    <cellStyle name="Normal 5 5 3 2 2" xfId="26916" xr:uid="{00000000-0005-0000-0000-000083730000}"/>
    <cellStyle name="Normal 5 5 3 3" xfId="31899" xr:uid="{00000000-0005-0000-0000-000084730000}"/>
    <cellStyle name="Normal 5 5 4" xfId="7632" xr:uid="{00000000-0005-0000-0000-000085730000}"/>
    <cellStyle name="Normal 5 5 4 2" xfId="15722" xr:uid="{00000000-0005-0000-0000-000086730000}"/>
    <cellStyle name="Normal 5 5 4 2 2" xfId="29208" xr:uid="{00000000-0005-0000-0000-000087730000}"/>
    <cellStyle name="Normal 5 5 4 3" xfId="31900" xr:uid="{00000000-0005-0000-0000-000088730000}"/>
    <cellStyle name="Normal 5 5 5" xfId="7633" xr:uid="{00000000-0005-0000-0000-000089730000}"/>
    <cellStyle name="Normal 5 5 5 2" xfId="15827" xr:uid="{00000000-0005-0000-0000-00008A730000}"/>
    <cellStyle name="Normal 5 5 5 2 2" xfId="29234" xr:uid="{00000000-0005-0000-0000-00008B730000}"/>
    <cellStyle name="Normal 5 5 5 3" xfId="31901" xr:uid="{00000000-0005-0000-0000-00008C730000}"/>
    <cellStyle name="Normal 5 5 6" xfId="8695" xr:uid="{00000000-0005-0000-0000-00008D730000}"/>
    <cellStyle name="Normal 5 5 6 2" xfId="17318" xr:uid="{00000000-0005-0000-0000-00008E730000}"/>
    <cellStyle name="Normal 5 5 6 2 2" xfId="30671" xr:uid="{00000000-0005-0000-0000-00008F730000}"/>
    <cellStyle name="Normal 5 5 6 3" xfId="23223" xr:uid="{00000000-0005-0000-0000-000090730000}"/>
    <cellStyle name="Normal 5 5 7" xfId="8802" xr:uid="{00000000-0005-0000-0000-000091730000}"/>
    <cellStyle name="Normal 5 5 7 2" xfId="23280" xr:uid="{00000000-0005-0000-0000-000092730000}"/>
    <cellStyle name="Normal 5 5 8" xfId="31897" xr:uid="{00000000-0005-0000-0000-000093730000}"/>
    <cellStyle name="Normal 5 5 9" xfId="32931" xr:uid="{00000000-0005-0000-0000-000094730000}"/>
    <cellStyle name="Normal 5 6" xfId="7634" xr:uid="{00000000-0005-0000-0000-000095730000}"/>
    <cellStyle name="Normal 5 6 2" xfId="7635" xr:uid="{00000000-0005-0000-0000-000096730000}"/>
    <cellStyle name="Normal 5 6 2 2" xfId="11691" xr:uid="{00000000-0005-0000-0000-000097730000}"/>
    <cellStyle name="Normal 5 6 2 2 2" xfId="25428" xr:uid="{00000000-0005-0000-0000-000098730000}"/>
    <cellStyle name="Normal 5 6 2 3" xfId="31903" xr:uid="{00000000-0005-0000-0000-000099730000}"/>
    <cellStyle name="Normal 5 6 2 4" xfId="32973" xr:uid="{00000000-0005-0000-0000-00009A730000}"/>
    <cellStyle name="Normal 5 6 3" xfId="7636" xr:uid="{00000000-0005-0000-0000-00009B730000}"/>
    <cellStyle name="Normal 5 6 3 2" xfId="17347" xr:uid="{00000000-0005-0000-0000-00009C730000}"/>
    <cellStyle name="Normal 5 6 3 3" xfId="31904" xr:uid="{00000000-0005-0000-0000-00009D730000}"/>
    <cellStyle name="Normal 5 6 4" xfId="8743" xr:uid="{00000000-0005-0000-0000-00009E730000}"/>
    <cellStyle name="Normal 5 6 5" xfId="10226" xr:uid="{00000000-0005-0000-0000-00009F730000}"/>
    <cellStyle name="Normal 5 6 6" xfId="31902" xr:uid="{00000000-0005-0000-0000-0000A0730000}"/>
    <cellStyle name="Normal 5 6 7" xfId="32920" xr:uid="{00000000-0005-0000-0000-0000A1730000}"/>
    <cellStyle name="Normal 5 6 8" xfId="32980" xr:uid="{00000000-0005-0000-0000-0000A2730000}"/>
    <cellStyle name="Normal 5 7" xfId="7637" xr:uid="{00000000-0005-0000-0000-0000A3730000}"/>
    <cellStyle name="Normal 5 7 2" xfId="7638" xr:uid="{00000000-0005-0000-0000-0000A4730000}"/>
    <cellStyle name="Normal 5 7 2 2" xfId="13287" xr:uid="{00000000-0005-0000-0000-0000A5730000}"/>
    <cellStyle name="Normal 5 7 2 2 2" xfId="26917" xr:uid="{00000000-0005-0000-0000-0000A6730000}"/>
    <cellStyle name="Normal 5 7 2 3" xfId="31906" xr:uid="{00000000-0005-0000-0000-0000A7730000}"/>
    <cellStyle name="Normal 5 7 3" xfId="7639" xr:uid="{00000000-0005-0000-0000-0000A8730000}"/>
    <cellStyle name="Normal 5 7 3 2" xfId="15723" xr:uid="{00000000-0005-0000-0000-0000A9730000}"/>
    <cellStyle name="Normal 5 7 3 2 2" xfId="29209" xr:uid="{00000000-0005-0000-0000-0000AA730000}"/>
    <cellStyle name="Normal 5 7 3 3" xfId="31907" xr:uid="{00000000-0005-0000-0000-0000AB730000}"/>
    <cellStyle name="Normal 5 7 4" xfId="11590" xr:uid="{00000000-0005-0000-0000-0000AC730000}"/>
    <cellStyle name="Normal 5 7 4 2" xfId="25421" xr:uid="{00000000-0005-0000-0000-0000AD730000}"/>
    <cellStyle name="Normal 5 7 5" xfId="31905" xr:uid="{00000000-0005-0000-0000-0000AE730000}"/>
    <cellStyle name="Normal 5 7 6" xfId="32968" xr:uid="{00000000-0005-0000-0000-0000AF730000}"/>
    <cellStyle name="Normal 5 7 7" xfId="33025" xr:uid="{00000000-0005-0000-0000-0000B0730000}"/>
    <cellStyle name="Normal 5 8" xfId="7640" xr:uid="{00000000-0005-0000-0000-0000B1730000}"/>
    <cellStyle name="Normal 5 8 2" xfId="13282" xr:uid="{00000000-0005-0000-0000-0000B2730000}"/>
    <cellStyle name="Normal 5 8 2 2" xfId="26912" xr:uid="{00000000-0005-0000-0000-0000B3730000}"/>
    <cellStyle name="Normal 5 8 3" xfId="31908" xr:uid="{00000000-0005-0000-0000-0000B4730000}"/>
    <cellStyle name="Normal 5 9" xfId="7641" xr:uid="{00000000-0005-0000-0000-0000B5730000}"/>
    <cellStyle name="Normal 5 9 2" xfId="15718" xr:uid="{00000000-0005-0000-0000-0000B6730000}"/>
    <cellStyle name="Normal 5 9 2 2" xfId="29204" xr:uid="{00000000-0005-0000-0000-0000B7730000}"/>
    <cellStyle name="Normal 5 9 3" xfId="31909" xr:uid="{00000000-0005-0000-0000-0000B8730000}"/>
    <cellStyle name="Normal 55" xfId="7642" xr:uid="{00000000-0005-0000-0000-0000B9730000}"/>
    <cellStyle name="Normal 55 2" xfId="7643" xr:uid="{00000000-0005-0000-0000-0000BA730000}"/>
    <cellStyle name="Normal 55 2 2" xfId="7644" xr:uid="{00000000-0005-0000-0000-0000BB730000}"/>
    <cellStyle name="Normal 55 2 2 2" xfId="17050" xr:uid="{00000000-0005-0000-0000-0000BC730000}"/>
    <cellStyle name="Normal 55 2 2 2 2" xfId="30449" xr:uid="{00000000-0005-0000-0000-0000BD730000}"/>
    <cellStyle name="Normal 55 2 2 3" xfId="31912" xr:uid="{00000000-0005-0000-0000-0000BE730000}"/>
    <cellStyle name="Normal 55 2 3" xfId="11595" xr:uid="{00000000-0005-0000-0000-0000BF730000}"/>
    <cellStyle name="Normal 55 2 3 2" xfId="25426" xr:uid="{00000000-0005-0000-0000-0000C0730000}"/>
    <cellStyle name="Normal 55 2 4" xfId="31911" xr:uid="{00000000-0005-0000-0000-0000C1730000}"/>
    <cellStyle name="Normal 55 3" xfId="7645" xr:uid="{00000000-0005-0000-0000-0000C2730000}"/>
    <cellStyle name="Normal 55 3 2" xfId="7646" xr:uid="{00000000-0005-0000-0000-0000C3730000}"/>
    <cellStyle name="Normal 55 3 2 2" xfId="17005" xr:uid="{00000000-0005-0000-0000-0000C4730000}"/>
    <cellStyle name="Normal 55 3 2 2 2" xfId="30412" xr:uid="{00000000-0005-0000-0000-0000C5730000}"/>
    <cellStyle name="Normal 55 3 2 3" xfId="31914" xr:uid="{00000000-0005-0000-0000-0000C6730000}"/>
    <cellStyle name="Normal 55 3 3" xfId="12394" xr:uid="{00000000-0005-0000-0000-0000C7730000}"/>
    <cellStyle name="Normal 55 3 3 2" xfId="26106" xr:uid="{00000000-0005-0000-0000-0000C8730000}"/>
    <cellStyle name="Normal 55 3 4" xfId="31913" xr:uid="{00000000-0005-0000-0000-0000C9730000}"/>
    <cellStyle name="Normal 55 4" xfId="7647" xr:uid="{00000000-0005-0000-0000-0000CA730000}"/>
    <cellStyle name="Normal 55 4 2" xfId="13957" xr:uid="{00000000-0005-0000-0000-0000CB730000}"/>
    <cellStyle name="Normal 55 4 2 2" xfId="27506" xr:uid="{00000000-0005-0000-0000-0000CC730000}"/>
    <cellStyle name="Normal 55 4 3" xfId="31915" xr:uid="{00000000-0005-0000-0000-0000CD730000}"/>
    <cellStyle name="Normal 55 5" xfId="7648" xr:uid="{00000000-0005-0000-0000-0000CE730000}"/>
    <cellStyle name="Normal 55 5 2" xfId="14538" xr:uid="{00000000-0005-0000-0000-0000CF730000}"/>
    <cellStyle name="Normal 55 5 2 2" xfId="28087" xr:uid="{00000000-0005-0000-0000-0000D0730000}"/>
    <cellStyle name="Normal 55 5 3" xfId="31916" xr:uid="{00000000-0005-0000-0000-0000D1730000}"/>
    <cellStyle name="Normal 55 6" xfId="7649" xr:uid="{00000000-0005-0000-0000-0000D2730000}"/>
    <cellStyle name="Normal 55 6 2" xfId="16424" xr:uid="{00000000-0005-0000-0000-0000D3730000}"/>
    <cellStyle name="Normal 55 6 2 2" xfId="29831" xr:uid="{00000000-0005-0000-0000-0000D4730000}"/>
    <cellStyle name="Normal 55 6 3" xfId="31917" xr:uid="{00000000-0005-0000-0000-0000D5730000}"/>
    <cellStyle name="Normal 55 7" xfId="10227" xr:uid="{00000000-0005-0000-0000-0000D6730000}"/>
    <cellStyle name="Normal 55 7 2" xfId="24419" xr:uid="{00000000-0005-0000-0000-0000D7730000}"/>
    <cellStyle name="Normal 55 8" xfId="31910" xr:uid="{00000000-0005-0000-0000-0000D8730000}"/>
    <cellStyle name="Normal 6" xfId="7650" xr:uid="{00000000-0005-0000-0000-0000D9730000}"/>
    <cellStyle name="Normal 6 2" xfId="7651" xr:uid="{00000000-0005-0000-0000-0000DA730000}"/>
    <cellStyle name="Normal 6 2 2" xfId="7652" xr:uid="{00000000-0005-0000-0000-0000DB730000}"/>
    <cellStyle name="Normal 6 2 2 2" xfId="10229" xr:uid="{00000000-0005-0000-0000-0000DC730000}"/>
    <cellStyle name="Normal 6 2 2 3" xfId="31918" xr:uid="{00000000-0005-0000-0000-0000DD730000}"/>
    <cellStyle name="Normal 6 2 2 4" xfId="33094" xr:uid="{00000000-0005-0000-0000-0000DE730000}"/>
    <cellStyle name="Normal 6 2 3" xfId="7653" xr:uid="{00000000-0005-0000-0000-0000DF730000}"/>
    <cellStyle name="Normal 6 2 3 2" xfId="17348" xr:uid="{00000000-0005-0000-0000-0000E0730000}"/>
    <cellStyle name="Normal 6 2 3 3" xfId="31919" xr:uid="{00000000-0005-0000-0000-0000E1730000}"/>
    <cellStyle name="Normal 6 2 4" xfId="8744" xr:uid="{00000000-0005-0000-0000-0000E2730000}"/>
    <cellStyle name="Normal 6 2 5" xfId="10228" xr:uid="{00000000-0005-0000-0000-0000E3730000}"/>
    <cellStyle name="Normal 6 2 6" xfId="33042" xr:uid="{00000000-0005-0000-0000-0000E4730000}"/>
    <cellStyle name="Normal 6 3" xfId="7654" xr:uid="{00000000-0005-0000-0000-0000E5730000}"/>
    <cellStyle name="Normal 6 3 2" xfId="7655" xr:uid="{00000000-0005-0000-0000-0000E6730000}"/>
    <cellStyle name="Normal 6 3 2 2" xfId="17371" xr:uid="{00000000-0005-0000-0000-0000E7730000}"/>
    <cellStyle name="Normal 6 3 2 3" xfId="31920" xr:uid="{00000000-0005-0000-0000-0000E8730000}"/>
    <cellStyle name="Normal 6 3 3" xfId="8745" xr:uid="{00000000-0005-0000-0000-0000E9730000}"/>
    <cellStyle name="Normal 6 3 4" xfId="11596" xr:uid="{00000000-0005-0000-0000-0000EA730000}"/>
    <cellStyle name="Normal 6 3 5" xfId="33087" xr:uid="{00000000-0005-0000-0000-0000EB730000}"/>
    <cellStyle name="Normal 6 4" xfId="8707" xr:uid="{00000000-0005-0000-0000-0000EC730000}"/>
    <cellStyle name="Normal 7" xfId="7656" xr:uid="{00000000-0005-0000-0000-0000ED730000}"/>
    <cellStyle name="Normal 7 2" xfId="7657" xr:uid="{00000000-0005-0000-0000-0000EE730000}"/>
    <cellStyle name="Normal 7 2 2" xfId="7658" xr:uid="{00000000-0005-0000-0000-0000EF730000}"/>
    <cellStyle name="Normal 7 2 2 2" xfId="11732" xr:uid="{00000000-0005-0000-0000-0000F0730000}"/>
    <cellStyle name="Normal 7 2 2 3" xfId="31923" xr:uid="{00000000-0005-0000-0000-0000F1730000}"/>
    <cellStyle name="Normal 7 2 3" xfId="7659" xr:uid="{00000000-0005-0000-0000-0000F2730000}"/>
    <cellStyle name="Normal 7 2 3 2" xfId="17349" xr:uid="{00000000-0005-0000-0000-0000F3730000}"/>
    <cellStyle name="Normal 7 2 3 3" xfId="31924" xr:uid="{00000000-0005-0000-0000-0000F4730000}"/>
    <cellStyle name="Normal 7 2 4" xfId="8746" xr:uid="{00000000-0005-0000-0000-0000F5730000}"/>
    <cellStyle name="Normal 7 2 5" xfId="10230" xr:uid="{00000000-0005-0000-0000-0000F6730000}"/>
    <cellStyle name="Normal 7 2 6" xfId="31922" xr:uid="{00000000-0005-0000-0000-0000F7730000}"/>
    <cellStyle name="Normal 7 3" xfId="7660" xr:uid="{00000000-0005-0000-0000-0000F8730000}"/>
    <cellStyle name="Normal 7 3 2" xfId="11597" xr:uid="{00000000-0005-0000-0000-0000F9730000}"/>
    <cellStyle name="Normal 7 3 3" xfId="31925" xr:uid="{00000000-0005-0000-0000-0000FA730000}"/>
    <cellStyle name="Normal 7 4" xfId="8698" xr:uid="{00000000-0005-0000-0000-0000FB730000}"/>
    <cellStyle name="Normal 7 5" xfId="31921" xr:uid="{00000000-0005-0000-0000-0000FC730000}"/>
    <cellStyle name="Normal 8" xfId="7661" xr:uid="{00000000-0005-0000-0000-0000FD730000}"/>
    <cellStyle name="Normal 8 2" xfId="7662" xr:uid="{00000000-0005-0000-0000-0000FE730000}"/>
    <cellStyle name="Normal 8 2 2" xfId="7663" xr:uid="{00000000-0005-0000-0000-0000FF730000}"/>
    <cellStyle name="Normal 8 2 2 2" xfId="17350" xr:uid="{00000000-0005-0000-0000-000000740000}"/>
    <cellStyle name="Normal 8 2 3" xfId="8747" xr:uid="{00000000-0005-0000-0000-000001740000}"/>
    <cellStyle name="Normal 8 2 4" xfId="10231" xr:uid="{00000000-0005-0000-0000-000002740000}"/>
    <cellStyle name="Normal 8 3" xfId="7664" xr:uid="{00000000-0005-0000-0000-000003740000}"/>
    <cellStyle name="Normal 8 3 2" xfId="7665" xr:uid="{00000000-0005-0000-0000-000004740000}"/>
    <cellStyle name="Normal 8 3 2 2" xfId="11737" xr:uid="{00000000-0005-0000-0000-000005740000}"/>
    <cellStyle name="Normal 8 3 2 3" xfId="31927" xr:uid="{00000000-0005-0000-0000-000006740000}"/>
    <cellStyle name="Normal 8 3 3" xfId="10232" xr:uid="{00000000-0005-0000-0000-000007740000}"/>
    <cellStyle name="Normal 8 3 4" xfId="31926" xr:uid="{00000000-0005-0000-0000-000008740000}"/>
    <cellStyle name="Normal 8 4" xfId="7666" xr:uid="{00000000-0005-0000-0000-000009740000}"/>
    <cellStyle name="Normal 8 4 2" xfId="11598" xr:uid="{00000000-0005-0000-0000-00000A740000}"/>
    <cellStyle name="Normal 8 4 3" xfId="31928" xr:uid="{00000000-0005-0000-0000-00000B740000}"/>
    <cellStyle name="Normal 8 5" xfId="8708" xr:uid="{00000000-0005-0000-0000-00000C740000}"/>
    <cellStyle name="Normal 9" xfId="7667" xr:uid="{00000000-0005-0000-0000-00000D740000}"/>
    <cellStyle name="Normal 9 2" xfId="7668" xr:uid="{00000000-0005-0000-0000-00000E740000}"/>
    <cellStyle name="Normal 9 2 2" xfId="7669" xr:uid="{00000000-0005-0000-0000-00000F740000}"/>
    <cellStyle name="Normal 9 2 2 2" xfId="7670" xr:uid="{00000000-0005-0000-0000-000010740000}"/>
    <cellStyle name="Normal 9 2 2 2 2" xfId="17051" xr:uid="{00000000-0005-0000-0000-000011740000}"/>
    <cellStyle name="Normal 9 2 2 2 2 2" xfId="30450" xr:uid="{00000000-0005-0000-0000-000012740000}"/>
    <cellStyle name="Normal 9 2 2 2 3" xfId="31931" xr:uid="{00000000-0005-0000-0000-000013740000}"/>
    <cellStyle name="Normal 9 2 2 3" xfId="11599" xr:uid="{00000000-0005-0000-0000-000014740000}"/>
    <cellStyle name="Normal 9 2 2 3 2" xfId="25427" xr:uid="{00000000-0005-0000-0000-000015740000}"/>
    <cellStyle name="Normal 9 2 2 4" xfId="31930" xr:uid="{00000000-0005-0000-0000-000016740000}"/>
    <cellStyle name="Normal 9 2 3" xfId="7671" xr:uid="{00000000-0005-0000-0000-000017740000}"/>
    <cellStyle name="Normal 9 2 3 2" xfId="7672" xr:uid="{00000000-0005-0000-0000-000018740000}"/>
    <cellStyle name="Normal 9 2 3 2 2" xfId="17003" xr:uid="{00000000-0005-0000-0000-000019740000}"/>
    <cellStyle name="Normal 9 2 3 2 2 2" xfId="30410" xr:uid="{00000000-0005-0000-0000-00001A740000}"/>
    <cellStyle name="Normal 9 2 3 2 3" xfId="31933" xr:uid="{00000000-0005-0000-0000-00001B740000}"/>
    <cellStyle name="Normal 9 2 3 3" xfId="12392" xr:uid="{00000000-0005-0000-0000-00001C740000}"/>
    <cellStyle name="Normal 9 2 3 3 2" xfId="26104" xr:uid="{00000000-0005-0000-0000-00001D740000}"/>
    <cellStyle name="Normal 9 2 3 4" xfId="31932" xr:uid="{00000000-0005-0000-0000-00001E740000}"/>
    <cellStyle name="Normal 9 2 4" xfId="7673" xr:uid="{00000000-0005-0000-0000-00001F740000}"/>
    <cellStyle name="Normal 9 2 4 2" xfId="13955" xr:uid="{00000000-0005-0000-0000-000020740000}"/>
    <cellStyle name="Normal 9 2 4 2 2" xfId="27504" xr:uid="{00000000-0005-0000-0000-000021740000}"/>
    <cellStyle name="Normal 9 2 4 3" xfId="31934" xr:uid="{00000000-0005-0000-0000-000022740000}"/>
    <cellStyle name="Normal 9 2 5" xfId="7674" xr:uid="{00000000-0005-0000-0000-000023740000}"/>
    <cellStyle name="Normal 9 2 5 2" xfId="14536" xr:uid="{00000000-0005-0000-0000-000024740000}"/>
    <cellStyle name="Normal 9 2 5 2 2" xfId="28085" xr:uid="{00000000-0005-0000-0000-000025740000}"/>
    <cellStyle name="Normal 9 2 5 3" xfId="31935" xr:uid="{00000000-0005-0000-0000-000026740000}"/>
    <cellStyle name="Normal 9 2 6" xfId="7675" xr:uid="{00000000-0005-0000-0000-000027740000}"/>
    <cellStyle name="Normal 9 2 6 2" xfId="16422" xr:uid="{00000000-0005-0000-0000-000028740000}"/>
    <cellStyle name="Normal 9 2 6 2 2" xfId="29829" xr:uid="{00000000-0005-0000-0000-000029740000}"/>
    <cellStyle name="Normal 9 2 6 3" xfId="31936" xr:uid="{00000000-0005-0000-0000-00002A740000}"/>
    <cellStyle name="Normal 9 2 7" xfId="10234" xr:uid="{00000000-0005-0000-0000-00002B740000}"/>
    <cellStyle name="Normal 9 2 7 2" xfId="24420" xr:uid="{00000000-0005-0000-0000-00002C740000}"/>
    <cellStyle name="Normal 9 2 8" xfId="31929" xr:uid="{00000000-0005-0000-0000-00002D740000}"/>
    <cellStyle name="Normal 9 3" xfId="7676" xr:uid="{00000000-0005-0000-0000-00002E740000}"/>
    <cellStyle name="Normal 9 3 2" xfId="10233" xr:uid="{00000000-0005-0000-0000-00002F740000}"/>
    <cellStyle name="Normal 9 3 3" xfId="31937" xr:uid="{00000000-0005-0000-0000-000030740000}"/>
    <cellStyle name="Normal 9 4" xfId="8666" xr:uid="{00000000-0005-0000-0000-000031740000}"/>
    <cellStyle name="Note" xfId="33035" builtinId="10" customBuiltin="1"/>
    <cellStyle name="Note 2" xfId="7677" xr:uid="{00000000-0005-0000-0000-000033740000}"/>
    <cellStyle name="Note 2 10" xfId="7678" xr:uid="{00000000-0005-0000-0000-000034740000}"/>
    <cellStyle name="Note 2 10 2" xfId="7679" xr:uid="{00000000-0005-0000-0000-000035740000}"/>
    <cellStyle name="Note 2 10 2 2" xfId="13289" xr:uid="{00000000-0005-0000-0000-000036740000}"/>
    <cellStyle name="Note 2 10 2 3" xfId="31940" xr:uid="{00000000-0005-0000-0000-000037740000}"/>
    <cellStyle name="Note 2 10 3" xfId="7680" xr:uid="{00000000-0005-0000-0000-000038740000}"/>
    <cellStyle name="Note 2 10 3 2" xfId="13288" xr:uid="{00000000-0005-0000-0000-000039740000}"/>
    <cellStyle name="Note 2 10 3 2 2" xfId="26918" xr:uid="{00000000-0005-0000-0000-00003A740000}"/>
    <cellStyle name="Note 2 10 3 3" xfId="31941" xr:uid="{00000000-0005-0000-0000-00003B740000}"/>
    <cellStyle name="Note 2 10 4" xfId="7681" xr:uid="{00000000-0005-0000-0000-00003C740000}"/>
    <cellStyle name="Note 2 10 4 2" xfId="17111" xr:uid="{00000000-0005-0000-0000-00003D740000}"/>
    <cellStyle name="Note 2 10 4 2 2" xfId="30470" xr:uid="{00000000-0005-0000-0000-00003E740000}"/>
    <cellStyle name="Note 2 10 4 3" xfId="31942" xr:uid="{00000000-0005-0000-0000-00003F740000}"/>
    <cellStyle name="Note 2 10 5" xfId="10236" xr:uid="{00000000-0005-0000-0000-000040740000}"/>
    <cellStyle name="Note 2 10 6" xfId="31939" xr:uid="{00000000-0005-0000-0000-000041740000}"/>
    <cellStyle name="Note 2 11" xfId="7682" xr:uid="{00000000-0005-0000-0000-000042740000}"/>
    <cellStyle name="Note 2 11 2" xfId="7683" xr:uid="{00000000-0005-0000-0000-000043740000}"/>
    <cellStyle name="Note 2 11 2 2" xfId="17200" xr:uid="{00000000-0005-0000-0000-000044740000}"/>
    <cellStyle name="Note 2 11 2 2 2" xfId="30559" xr:uid="{00000000-0005-0000-0000-000045740000}"/>
    <cellStyle name="Note 2 11 2 3" xfId="31944" xr:uid="{00000000-0005-0000-0000-000046740000}"/>
    <cellStyle name="Note 2 11 3" xfId="10237" xr:uid="{00000000-0005-0000-0000-000047740000}"/>
    <cellStyle name="Note 2 11 4" xfId="31943" xr:uid="{00000000-0005-0000-0000-000048740000}"/>
    <cellStyle name="Note 2 12" xfId="7684" xr:uid="{00000000-0005-0000-0000-000049740000}"/>
    <cellStyle name="Note 2 12 2" xfId="7685" xr:uid="{00000000-0005-0000-0000-00004A740000}"/>
    <cellStyle name="Note 2 12 2 2" xfId="7686" xr:uid="{00000000-0005-0000-0000-00004B740000}"/>
    <cellStyle name="Note 2 12 2 2 2" xfId="11602" xr:uid="{00000000-0005-0000-0000-00004C740000}"/>
    <cellStyle name="Note 2 12 2 2 3" xfId="31947" xr:uid="{00000000-0005-0000-0000-00004D740000}"/>
    <cellStyle name="Note 2 12 2 3" xfId="10239" xr:uid="{00000000-0005-0000-0000-00004E740000}"/>
    <cellStyle name="Note 2 12 2 4" xfId="31946" xr:uid="{00000000-0005-0000-0000-00004F740000}"/>
    <cellStyle name="Note 2 12 3" xfId="7687" xr:uid="{00000000-0005-0000-0000-000050740000}"/>
    <cellStyle name="Note 2 12 3 2" xfId="11601" xr:uid="{00000000-0005-0000-0000-000051740000}"/>
    <cellStyle name="Note 2 12 3 3" xfId="31948" xr:uid="{00000000-0005-0000-0000-000052740000}"/>
    <cellStyle name="Note 2 12 4" xfId="7688" xr:uid="{00000000-0005-0000-0000-000053740000}"/>
    <cellStyle name="Note 2 12 4 2" xfId="17289" xr:uid="{00000000-0005-0000-0000-000054740000}"/>
    <cellStyle name="Note 2 12 4 2 2" xfId="30648" xr:uid="{00000000-0005-0000-0000-000055740000}"/>
    <cellStyle name="Note 2 12 4 3" xfId="31949" xr:uid="{00000000-0005-0000-0000-000056740000}"/>
    <cellStyle name="Note 2 12 5" xfId="10238" xr:uid="{00000000-0005-0000-0000-000057740000}"/>
    <cellStyle name="Note 2 12 6" xfId="31945" xr:uid="{00000000-0005-0000-0000-000058740000}"/>
    <cellStyle name="Note 2 13" xfId="7689" xr:uid="{00000000-0005-0000-0000-000059740000}"/>
    <cellStyle name="Note 2 13 2" xfId="7690" xr:uid="{00000000-0005-0000-0000-00005A740000}"/>
    <cellStyle name="Note 2 13 2 2" xfId="16441" xr:uid="{00000000-0005-0000-0000-00005B740000}"/>
    <cellStyle name="Note 2 13 2 2 2" xfId="29848" xr:uid="{00000000-0005-0000-0000-00005C740000}"/>
    <cellStyle name="Note 2 13 2 3" xfId="31951" xr:uid="{00000000-0005-0000-0000-00005D740000}"/>
    <cellStyle name="Note 2 13 3" xfId="10240" xr:uid="{00000000-0005-0000-0000-00005E740000}"/>
    <cellStyle name="Note 2 13 4" xfId="31950" xr:uid="{00000000-0005-0000-0000-00005F740000}"/>
    <cellStyle name="Note 2 14" xfId="7691" xr:uid="{00000000-0005-0000-0000-000060740000}"/>
    <cellStyle name="Note 2 14 2" xfId="7692" xr:uid="{00000000-0005-0000-0000-000061740000}"/>
    <cellStyle name="Note 2 14 2 2" xfId="11603" xr:uid="{00000000-0005-0000-0000-000062740000}"/>
    <cellStyle name="Note 2 14 2 3" xfId="31953" xr:uid="{00000000-0005-0000-0000-000063740000}"/>
    <cellStyle name="Note 2 14 3" xfId="10241" xr:uid="{00000000-0005-0000-0000-000064740000}"/>
    <cellStyle name="Note 2 14 4" xfId="31952" xr:uid="{00000000-0005-0000-0000-000065740000}"/>
    <cellStyle name="Note 2 15" xfId="7693" xr:uid="{00000000-0005-0000-0000-000066740000}"/>
    <cellStyle name="Note 2 15 2" xfId="7694" xr:uid="{00000000-0005-0000-0000-000067740000}"/>
    <cellStyle name="Note 2 15 2 2" xfId="11604" xr:uid="{00000000-0005-0000-0000-000068740000}"/>
    <cellStyle name="Note 2 15 2 3" xfId="31955" xr:uid="{00000000-0005-0000-0000-000069740000}"/>
    <cellStyle name="Note 2 15 3" xfId="10242" xr:uid="{00000000-0005-0000-0000-00006A740000}"/>
    <cellStyle name="Note 2 15 4" xfId="31954" xr:uid="{00000000-0005-0000-0000-00006B740000}"/>
    <cellStyle name="Note 2 16" xfId="7695" xr:uid="{00000000-0005-0000-0000-00006C740000}"/>
    <cellStyle name="Note 2 16 2" xfId="7696" xr:uid="{00000000-0005-0000-0000-00006D740000}"/>
    <cellStyle name="Note 2 16 2 2" xfId="11605" xr:uid="{00000000-0005-0000-0000-00006E740000}"/>
    <cellStyle name="Note 2 16 2 3" xfId="31957" xr:uid="{00000000-0005-0000-0000-00006F740000}"/>
    <cellStyle name="Note 2 16 3" xfId="10243" xr:uid="{00000000-0005-0000-0000-000070740000}"/>
    <cellStyle name="Note 2 16 4" xfId="31956" xr:uid="{00000000-0005-0000-0000-000071740000}"/>
    <cellStyle name="Note 2 17" xfId="7697" xr:uid="{00000000-0005-0000-0000-000072740000}"/>
    <cellStyle name="Note 2 17 2" xfId="7698" xr:uid="{00000000-0005-0000-0000-000073740000}"/>
    <cellStyle name="Note 2 17 2 2" xfId="11606" xr:uid="{00000000-0005-0000-0000-000074740000}"/>
    <cellStyle name="Note 2 17 2 3" xfId="31959" xr:uid="{00000000-0005-0000-0000-000075740000}"/>
    <cellStyle name="Note 2 17 3" xfId="10244" xr:uid="{00000000-0005-0000-0000-000076740000}"/>
    <cellStyle name="Note 2 17 4" xfId="31958" xr:uid="{00000000-0005-0000-0000-000077740000}"/>
    <cellStyle name="Note 2 18" xfId="7699" xr:uid="{00000000-0005-0000-0000-000078740000}"/>
    <cellStyle name="Note 2 18 2" xfId="7700" xr:uid="{00000000-0005-0000-0000-000079740000}"/>
    <cellStyle name="Note 2 18 2 2" xfId="11607" xr:uid="{00000000-0005-0000-0000-00007A740000}"/>
    <cellStyle name="Note 2 18 2 3" xfId="31961" xr:uid="{00000000-0005-0000-0000-00007B740000}"/>
    <cellStyle name="Note 2 18 3" xfId="10245" xr:uid="{00000000-0005-0000-0000-00007C740000}"/>
    <cellStyle name="Note 2 18 4" xfId="31960" xr:uid="{00000000-0005-0000-0000-00007D740000}"/>
    <cellStyle name="Note 2 19" xfId="7701" xr:uid="{00000000-0005-0000-0000-00007E740000}"/>
    <cellStyle name="Note 2 19 2" xfId="7702" xr:uid="{00000000-0005-0000-0000-00007F740000}"/>
    <cellStyle name="Note 2 19 2 2" xfId="11608" xr:uid="{00000000-0005-0000-0000-000080740000}"/>
    <cellStyle name="Note 2 19 2 3" xfId="31963" xr:uid="{00000000-0005-0000-0000-000081740000}"/>
    <cellStyle name="Note 2 19 3" xfId="10246" xr:uid="{00000000-0005-0000-0000-000082740000}"/>
    <cellStyle name="Note 2 19 4" xfId="31962" xr:uid="{00000000-0005-0000-0000-000083740000}"/>
    <cellStyle name="Note 2 2" xfId="7703" xr:uid="{00000000-0005-0000-0000-000084740000}"/>
    <cellStyle name="Note 2 2 10" xfId="7704" xr:uid="{00000000-0005-0000-0000-000085740000}"/>
    <cellStyle name="Note 2 2 10 2" xfId="11609" xr:uid="{00000000-0005-0000-0000-000086740000}"/>
    <cellStyle name="Note 2 2 10 3" xfId="31965" xr:uid="{00000000-0005-0000-0000-000087740000}"/>
    <cellStyle name="Note 2 2 11" xfId="7705" xr:uid="{00000000-0005-0000-0000-000088740000}"/>
    <cellStyle name="Note 2 2 11 2" xfId="7706" xr:uid="{00000000-0005-0000-0000-000089740000}"/>
    <cellStyle name="Note 2 2 11 2 2" xfId="15724" xr:uid="{00000000-0005-0000-0000-00008A740000}"/>
    <cellStyle name="Note 2 2 11 2 3" xfId="31967" xr:uid="{00000000-0005-0000-0000-00008B740000}"/>
    <cellStyle name="Note 2 2 11 3" xfId="11861" xr:uid="{00000000-0005-0000-0000-00008C740000}"/>
    <cellStyle name="Note 2 2 11 3 2" xfId="25576" xr:uid="{00000000-0005-0000-0000-00008D740000}"/>
    <cellStyle name="Note 2 2 11 4" xfId="31966" xr:uid="{00000000-0005-0000-0000-00008E740000}"/>
    <cellStyle name="Note 2 2 12" xfId="7707" xr:uid="{00000000-0005-0000-0000-00008F740000}"/>
    <cellStyle name="Note 2 2 12 2" xfId="13450" xr:uid="{00000000-0005-0000-0000-000090740000}"/>
    <cellStyle name="Note 2 2 12 2 2" xfId="26999" xr:uid="{00000000-0005-0000-0000-000091740000}"/>
    <cellStyle name="Note 2 2 12 3" xfId="31968" xr:uid="{00000000-0005-0000-0000-000092740000}"/>
    <cellStyle name="Note 2 2 13" xfId="7708" xr:uid="{00000000-0005-0000-0000-000093740000}"/>
    <cellStyle name="Note 2 2 13 2" xfId="14031" xr:uid="{00000000-0005-0000-0000-000094740000}"/>
    <cellStyle name="Note 2 2 13 2 2" xfId="27580" xr:uid="{00000000-0005-0000-0000-000095740000}"/>
    <cellStyle name="Note 2 2 13 3" xfId="31969" xr:uid="{00000000-0005-0000-0000-000096740000}"/>
    <cellStyle name="Note 2 2 14" xfId="7709" xr:uid="{00000000-0005-0000-0000-000097740000}"/>
    <cellStyle name="Note 2 2 14 2" xfId="15917" xr:uid="{00000000-0005-0000-0000-000098740000}"/>
    <cellStyle name="Note 2 2 14 2 2" xfId="29324" xr:uid="{00000000-0005-0000-0000-000099740000}"/>
    <cellStyle name="Note 2 2 14 3" xfId="31970" xr:uid="{00000000-0005-0000-0000-00009A740000}"/>
    <cellStyle name="Note 2 2 15" xfId="10247" xr:uid="{00000000-0005-0000-0000-00009B740000}"/>
    <cellStyle name="Note 2 2 16" xfId="31964" xr:uid="{00000000-0005-0000-0000-00009C740000}"/>
    <cellStyle name="Note 2 2 2" xfId="7710" xr:uid="{00000000-0005-0000-0000-00009D740000}"/>
    <cellStyle name="Note 2 2 2 10" xfId="31971" xr:uid="{00000000-0005-0000-0000-00009E740000}"/>
    <cellStyle name="Note 2 2 2 2" xfId="7711" xr:uid="{00000000-0005-0000-0000-00009F740000}"/>
    <cellStyle name="Note 2 2 2 2 2" xfId="7712" xr:uid="{00000000-0005-0000-0000-0000A0740000}"/>
    <cellStyle name="Note 2 2 2 2 2 2" xfId="7713" xr:uid="{00000000-0005-0000-0000-0000A1740000}"/>
    <cellStyle name="Note 2 2 2 2 2 2 2" xfId="7714" xr:uid="{00000000-0005-0000-0000-0000A2740000}"/>
    <cellStyle name="Note 2 2 2 2 2 2 2 2" xfId="11610" xr:uid="{00000000-0005-0000-0000-0000A3740000}"/>
    <cellStyle name="Note 2 2 2 2 2 2 2 3" xfId="31975" xr:uid="{00000000-0005-0000-0000-0000A4740000}"/>
    <cellStyle name="Note 2 2 2 2 2 2 3" xfId="7715" xr:uid="{00000000-0005-0000-0000-0000A5740000}"/>
    <cellStyle name="Note 2 2 2 2 2 2 3 2" xfId="16976" xr:uid="{00000000-0005-0000-0000-0000A6740000}"/>
    <cellStyle name="Note 2 2 2 2 2 2 3 2 2" xfId="30383" xr:uid="{00000000-0005-0000-0000-0000A7740000}"/>
    <cellStyle name="Note 2 2 2 2 2 2 3 3" xfId="31976" xr:uid="{00000000-0005-0000-0000-0000A8740000}"/>
    <cellStyle name="Note 2 2 2 2 2 2 4" xfId="10251" xr:uid="{00000000-0005-0000-0000-0000A9740000}"/>
    <cellStyle name="Note 2 2 2 2 2 2 5" xfId="31974" xr:uid="{00000000-0005-0000-0000-0000AA740000}"/>
    <cellStyle name="Note 2 2 2 2 2 3" xfId="7716" xr:uid="{00000000-0005-0000-0000-0000AB740000}"/>
    <cellStyle name="Note 2 2 2 2 2 3 2" xfId="7717" xr:uid="{00000000-0005-0000-0000-0000AC740000}"/>
    <cellStyle name="Note 2 2 2 2 2 3 2 2" xfId="13290" xr:uid="{00000000-0005-0000-0000-0000AD740000}"/>
    <cellStyle name="Note 2 2 2 2 2 3 2 3" xfId="31978" xr:uid="{00000000-0005-0000-0000-0000AE740000}"/>
    <cellStyle name="Note 2 2 2 2 2 3 3" xfId="12364" xr:uid="{00000000-0005-0000-0000-0000AF740000}"/>
    <cellStyle name="Note 2 2 2 2 2 3 3 2" xfId="26076" xr:uid="{00000000-0005-0000-0000-0000B0740000}"/>
    <cellStyle name="Note 2 2 2 2 2 3 4" xfId="31977" xr:uid="{00000000-0005-0000-0000-0000B1740000}"/>
    <cellStyle name="Note 2 2 2 2 2 4" xfId="7718" xr:uid="{00000000-0005-0000-0000-0000B2740000}"/>
    <cellStyle name="Note 2 2 2 2 2 4 2" xfId="7719" xr:uid="{00000000-0005-0000-0000-0000B3740000}"/>
    <cellStyle name="Note 2 2 2 2 2 4 2 2" xfId="15725" xr:uid="{00000000-0005-0000-0000-0000B4740000}"/>
    <cellStyle name="Note 2 2 2 2 2 4 2 3" xfId="31980" xr:uid="{00000000-0005-0000-0000-0000B5740000}"/>
    <cellStyle name="Note 2 2 2 2 2 4 3" xfId="13928" xr:uid="{00000000-0005-0000-0000-0000B6740000}"/>
    <cellStyle name="Note 2 2 2 2 2 4 3 2" xfId="27477" xr:uid="{00000000-0005-0000-0000-0000B7740000}"/>
    <cellStyle name="Note 2 2 2 2 2 4 4" xfId="31979" xr:uid="{00000000-0005-0000-0000-0000B8740000}"/>
    <cellStyle name="Note 2 2 2 2 2 5" xfId="7720" xr:uid="{00000000-0005-0000-0000-0000B9740000}"/>
    <cellStyle name="Note 2 2 2 2 2 5 2" xfId="14509" xr:uid="{00000000-0005-0000-0000-0000BA740000}"/>
    <cellStyle name="Note 2 2 2 2 2 5 2 2" xfId="28058" xr:uid="{00000000-0005-0000-0000-0000BB740000}"/>
    <cellStyle name="Note 2 2 2 2 2 5 3" xfId="31981" xr:uid="{00000000-0005-0000-0000-0000BC740000}"/>
    <cellStyle name="Note 2 2 2 2 2 6" xfId="7721" xr:uid="{00000000-0005-0000-0000-0000BD740000}"/>
    <cellStyle name="Note 2 2 2 2 2 6 2" xfId="16395" xr:uid="{00000000-0005-0000-0000-0000BE740000}"/>
    <cellStyle name="Note 2 2 2 2 2 6 2 2" xfId="29802" xr:uid="{00000000-0005-0000-0000-0000BF740000}"/>
    <cellStyle name="Note 2 2 2 2 2 6 3" xfId="31982" xr:uid="{00000000-0005-0000-0000-0000C0740000}"/>
    <cellStyle name="Note 2 2 2 2 2 7" xfId="10250" xr:uid="{00000000-0005-0000-0000-0000C1740000}"/>
    <cellStyle name="Note 2 2 2 2 2 8" xfId="31973" xr:uid="{00000000-0005-0000-0000-0000C2740000}"/>
    <cellStyle name="Note 2 2 2 2 3" xfId="7722" xr:uid="{00000000-0005-0000-0000-0000C3740000}"/>
    <cellStyle name="Note 2 2 2 2 3 2" xfId="7723" xr:uid="{00000000-0005-0000-0000-0000C4740000}"/>
    <cellStyle name="Note 2 2 2 2 3 2 2" xfId="11611" xr:uid="{00000000-0005-0000-0000-0000C5740000}"/>
    <cellStyle name="Note 2 2 2 2 3 2 3" xfId="31984" xr:uid="{00000000-0005-0000-0000-0000C6740000}"/>
    <cellStyle name="Note 2 2 2 2 3 3" xfId="7724" xr:uid="{00000000-0005-0000-0000-0000C7740000}"/>
    <cellStyle name="Note 2 2 2 2 3 3 2" xfId="16687" xr:uid="{00000000-0005-0000-0000-0000C8740000}"/>
    <cellStyle name="Note 2 2 2 2 3 3 2 2" xfId="30094" xr:uid="{00000000-0005-0000-0000-0000C9740000}"/>
    <cellStyle name="Note 2 2 2 2 3 3 3" xfId="31985" xr:uid="{00000000-0005-0000-0000-0000CA740000}"/>
    <cellStyle name="Note 2 2 2 2 3 4" xfId="10252" xr:uid="{00000000-0005-0000-0000-0000CB740000}"/>
    <cellStyle name="Note 2 2 2 2 3 5" xfId="31983" xr:uid="{00000000-0005-0000-0000-0000CC740000}"/>
    <cellStyle name="Note 2 2 2 2 4" xfId="7725" xr:uid="{00000000-0005-0000-0000-0000CD740000}"/>
    <cellStyle name="Note 2 2 2 2 4 2" xfId="7726" xr:uid="{00000000-0005-0000-0000-0000CE740000}"/>
    <cellStyle name="Note 2 2 2 2 4 2 2" xfId="13291" xr:uid="{00000000-0005-0000-0000-0000CF740000}"/>
    <cellStyle name="Note 2 2 2 2 4 2 3" xfId="31987" xr:uid="{00000000-0005-0000-0000-0000D0740000}"/>
    <cellStyle name="Note 2 2 2 2 4 3" xfId="12064" xr:uid="{00000000-0005-0000-0000-0000D1740000}"/>
    <cellStyle name="Note 2 2 2 2 4 3 2" xfId="25779" xr:uid="{00000000-0005-0000-0000-0000D2740000}"/>
    <cellStyle name="Note 2 2 2 2 4 4" xfId="31986" xr:uid="{00000000-0005-0000-0000-0000D3740000}"/>
    <cellStyle name="Note 2 2 2 2 5" xfId="7727" xr:uid="{00000000-0005-0000-0000-0000D4740000}"/>
    <cellStyle name="Note 2 2 2 2 5 2" xfId="7728" xr:uid="{00000000-0005-0000-0000-0000D5740000}"/>
    <cellStyle name="Note 2 2 2 2 5 2 2" xfId="15726" xr:uid="{00000000-0005-0000-0000-0000D6740000}"/>
    <cellStyle name="Note 2 2 2 2 5 2 3" xfId="31989" xr:uid="{00000000-0005-0000-0000-0000D7740000}"/>
    <cellStyle name="Note 2 2 2 2 5 3" xfId="13639" xr:uid="{00000000-0005-0000-0000-0000D8740000}"/>
    <cellStyle name="Note 2 2 2 2 5 3 2" xfId="27188" xr:uid="{00000000-0005-0000-0000-0000D9740000}"/>
    <cellStyle name="Note 2 2 2 2 5 4" xfId="31988" xr:uid="{00000000-0005-0000-0000-0000DA740000}"/>
    <cellStyle name="Note 2 2 2 2 6" xfId="7729" xr:uid="{00000000-0005-0000-0000-0000DB740000}"/>
    <cellStyle name="Note 2 2 2 2 6 2" xfId="14220" xr:uid="{00000000-0005-0000-0000-0000DC740000}"/>
    <cellStyle name="Note 2 2 2 2 6 2 2" xfId="27769" xr:uid="{00000000-0005-0000-0000-0000DD740000}"/>
    <cellStyle name="Note 2 2 2 2 6 3" xfId="31990" xr:uid="{00000000-0005-0000-0000-0000DE740000}"/>
    <cellStyle name="Note 2 2 2 2 7" xfId="7730" xr:uid="{00000000-0005-0000-0000-0000DF740000}"/>
    <cellStyle name="Note 2 2 2 2 7 2" xfId="16106" xr:uid="{00000000-0005-0000-0000-0000E0740000}"/>
    <cellStyle name="Note 2 2 2 2 7 2 2" xfId="29513" xr:uid="{00000000-0005-0000-0000-0000E1740000}"/>
    <cellStyle name="Note 2 2 2 2 7 3" xfId="31991" xr:uid="{00000000-0005-0000-0000-0000E2740000}"/>
    <cellStyle name="Note 2 2 2 2 8" xfId="10249" xr:uid="{00000000-0005-0000-0000-0000E3740000}"/>
    <cellStyle name="Note 2 2 2 2 9" xfId="31972" xr:uid="{00000000-0005-0000-0000-0000E4740000}"/>
    <cellStyle name="Note 2 2 2 3" xfId="7731" xr:uid="{00000000-0005-0000-0000-0000E5740000}"/>
    <cellStyle name="Note 2 2 2 3 2" xfId="7732" xr:uid="{00000000-0005-0000-0000-0000E6740000}"/>
    <cellStyle name="Note 2 2 2 3 2 2" xfId="7733" xr:uid="{00000000-0005-0000-0000-0000E7740000}"/>
    <cellStyle name="Note 2 2 2 3 2 2 2" xfId="11612" xr:uid="{00000000-0005-0000-0000-0000E8740000}"/>
    <cellStyle name="Note 2 2 2 3 2 2 3" xfId="31994" xr:uid="{00000000-0005-0000-0000-0000E9740000}"/>
    <cellStyle name="Note 2 2 2 3 2 3" xfId="7734" xr:uid="{00000000-0005-0000-0000-0000EA740000}"/>
    <cellStyle name="Note 2 2 2 3 2 3 2" xfId="16833" xr:uid="{00000000-0005-0000-0000-0000EB740000}"/>
    <cellStyle name="Note 2 2 2 3 2 3 2 2" xfId="30240" xr:uid="{00000000-0005-0000-0000-0000EC740000}"/>
    <cellStyle name="Note 2 2 2 3 2 3 3" xfId="31995" xr:uid="{00000000-0005-0000-0000-0000ED740000}"/>
    <cellStyle name="Note 2 2 2 3 2 4" xfId="10254" xr:uid="{00000000-0005-0000-0000-0000EE740000}"/>
    <cellStyle name="Note 2 2 2 3 2 5" xfId="31993" xr:uid="{00000000-0005-0000-0000-0000EF740000}"/>
    <cellStyle name="Note 2 2 2 3 3" xfId="7735" xr:uid="{00000000-0005-0000-0000-0000F0740000}"/>
    <cellStyle name="Note 2 2 2 3 3 2" xfId="7736" xr:uid="{00000000-0005-0000-0000-0000F1740000}"/>
    <cellStyle name="Note 2 2 2 3 3 2 2" xfId="13292" xr:uid="{00000000-0005-0000-0000-0000F2740000}"/>
    <cellStyle name="Note 2 2 2 3 3 2 3" xfId="31997" xr:uid="{00000000-0005-0000-0000-0000F3740000}"/>
    <cellStyle name="Note 2 2 2 3 3 3" xfId="12221" xr:uid="{00000000-0005-0000-0000-0000F4740000}"/>
    <cellStyle name="Note 2 2 2 3 3 3 2" xfId="25933" xr:uid="{00000000-0005-0000-0000-0000F5740000}"/>
    <cellStyle name="Note 2 2 2 3 3 4" xfId="31996" xr:uid="{00000000-0005-0000-0000-0000F6740000}"/>
    <cellStyle name="Note 2 2 2 3 4" xfId="7737" xr:uid="{00000000-0005-0000-0000-0000F7740000}"/>
    <cellStyle name="Note 2 2 2 3 4 2" xfId="7738" xr:uid="{00000000-0005-0000-0000-0000F8740000}"/>
    <cellStyle name="Note 2 2 2 3 4 2 2" xfId="15727" xr:uid="{00000000-0005-0000-0000-0000F9740000}"/>
    <cellStyle name="Note 2 2 2 3 4 2 3" xfId="31999" xr:uid="{00000000-0005-0000-0000-0000FA740000}"/>
    <cellStyle name="Note 2 2 2 3 4 3" xfId="13785" xr:uid="{00000000-0005-0000-0000-0000FB740000}"/>
    <cellStyle name="Note 2 2 2 3 4 3 2" xfId="27334" xr:uid="{00000000-0005-0000-0000-0000FC740000}"/>
    <cellStyle name="Note 2 2 2 3 4 4" xfId="31998" xr:uid="{00000000-0005-0000-0000-0000FD740000}"/>
    <cellStyle name="Note 2 2 2 3 5" xfId="7739" xr:uid="{00000000-0005-0000-0000-0000FE740000}"/>
    <cellStyle name="Note 2 2 2 3 5 2" xfId="14366" xr:uid="{00000000-0005-0000-0000-0000FF740000}"/>
    <cellStyle name="Note 2 2 2 3 5 2 2" xfId="27915" xr:uid="{00000000-0005-0000-0000-000000750000}"/>
    <cellStyle name="Note 2 2 2 3 5 3" xfId="32000" xr:uid="{00000000-0005-0000-0000-000001750000}"/>
    <cellStyle name="Note 2 2 2 3 6" xfId="7740" xr:uid="{00000000-0005-0000-0000-000002750000}"/>
    <cellStyle name="Note 2 2 2 3 6 2" xfId="16252" xr:uid="{00000000-0005-0000-0000-000003750000}"/>
    <cellStyle name="Note 2 2 2 3 6 2 2" xfId="29659" xr:uid="{00000000-0005-0000-0000-000004750000}"/>
    <cellStyle name="Note 2 2 2 3 6 3" xfId="32001" xr:uid="{00000000-0005-0000-0000-000005750000}"/>
    <cellStyle name="Note 2 2 2 3 7" xfId="10253" xr:uid="{00000000-0005-0000-0000-000006750000}"/>
    <cellStyle name="Note 2 2 2 3 8" xfId="31992" xr:uid="{00000000-0005-0000-0000-000007750000}"/>
    <cellStyle name="Note 2 2 2 4" xfId="7741" xr:uid="{00000000-0005-0000-0000-000008750000}"/>
    <cellStyle name="Note 2 2 2 4 2" xfId="7742" xr:uid="{00000000-0005-0000-0000-000009750000}"/>
    <cellStyle name="Note 2 2 2 4 2 2" xfId="11613" xr:uid="{00000000-0005-0000-0000-00000A750000}"/>
    <cellStyle name="Note 2 2 2 4 2 3" xfId="32003" xr:uid="{00000000-0005-0000-0000-00000B750000}"/>
    <cellStyle name="Note 2 2 2 4 3" xfId="7743" xr:uid="{00000000-0005-0000-0000-00000C750000}"/>
    <cellStyle name="Note 2 2 2 4 3 2" xfId="17180" xr:uid="{00000000-0005-0000-0000-00000D750000}"/>
    <cellStyle name="Note 2 2 2 4 3 2 2" xfId="30539" xr:uid="{00000000-0005-0000-0000-00000E750000}"/>
    <cellStyle name="Note 2 2 2 4 3 3" xfId="32004" xr:uid="{00000000-0005-0000-0000-00000F750000}"/>
    <cellStyle name="Note 2 2 2 4 4" xfId="10255" xr:uid="{00000000-0005-0000-0000-000010750000}"/>
    <cellStyle name="Note 2 2 2 4 5" xfId="32002" xr:uid="{00000000-0005-0000-0000-000011750000}"/>
    <cellStyle name="Note 2 2 2 5" xfId="7744" xr:uid="{00000000-0005-0000-0000-000012750000}"/>
    <cellStyle name="Note 2 2 2 5 2" xfId="7745" xr:uid="{00000000-0005-0000-0000-000013750000}"/>
    <cellStyle name="Note 2 2 2 5 2 2" xfId="13293" xr:uid="{00000000-0005-0000-0000-000014750000}"/>
    <cellStyle name="Note 2 2 2 5 2 3" xfId="32006" xr:uid="{00000000-0005-0000-0000-000015750000}"/>
    <cellStyle name="Note 2 2 2 5 3" xfId="7746" xr:uid="{00000000-0005-0000-0000-000016750000}"/>
    <cellStyle name="Note 2 2 2 5 3 2" xfId="17269" xr:uid="{00000000-0005-0000-0000-000017750000}"/>
    <cellStyle name="Note 2 2 2 5 3 2 2" xfId="30628" xr:uid="{00000000-0005-0000-0000-000018750000}"/>
    <cellStyle name="Note 2 2 2 5 3 3" xfId="32007" xr:uid="{00000000-0005-0000-0000-000019750000}"/>
    <cellStyle name="Note 2 2 2 5 4" xfId="11919" xr:uid="{00000000-0005-0000-0000-00001A750000}"/>
    <cellStyle name="Note 2 2 2 5 4 2" xfId="25634" xr:uid="{00000000-0005-0000-0000-00001B750000}"/>
    <cellStyle name="Note 2 2 2 5 5" xfId="32005" xr:uid="{00000000-0005-0000-0000-00001C750000}"/>
    <cellStyle name="Note 2 2 2 6" xfId="7747" xr:uid="{00000000-0005-0000-0000-00001D750000}"/>
    <cellStyle name="Note 2 2 2 6 2" xfId="7748" xr:uid="{00000000-0005-0000-0000-00001E750000}"/>
    <cellStyle name="Note 2 2 2 6 2 2" xfId="15728" xr:uid="{00000000-0005-0000-0000-00001F750000}"/>
    <cellStyle name="Note 2 2 2 6 2 3" xfId="32009" xr:uid="{00000000-0005-0000-0000-000020750000}"/>
    <cellStyle name="Note 2 2 2 6 3" xfId="7749" xr:uid="{00000000-0005-0000-0000-000021750000}"/>
    <cellStyle name="Note 2 2 2 6 3 2" xfId="16544" xr:uid="{00000000-0005-0000-0000-000022750000}"/>
    <cellStyle name="Note 2 2 2 6 3 2 2" xfId="29951" xr:uid="{00000000-0005-0000-0000-000023750000}"/>
    <cellStyle name="Note 2 2 2 6 3 3" xfId="32010" xr:uid="{00000000-0005-0000-0000-000024750000}"/>
    <cellStyle name="Note 2 2 2 6 4" xfId="13496" xr:uid="{00000000-0005-0000-0000-000025750000}"/>
    <cellStyle name="Note 2 2 2 6 4 2" xfId="27045" xr:uid="{00000000-0005-0000-0000-000026750000}"/>
    <cellStyle name="Note 2 2 2 6 5" xfId="32008" xr:uid="{00000000-0005-0000-0000-000027750000}"/>
    <cellStyle name="Note 2 2 2 7" xfId="7750" xr:uid="{00000000-0005-0000-0000-000028750000}"/>
    <cellStyle name="Note 2 2 2 7 2" xfId="14077" xr:uid="{00000000-0005-0000-0000-000029750000}"/>
    <cellStyle name="Note 2 2 2 7 2 2" xfId="27626" xr:uid="{00000000-0005-0000-0000-00002A750000}"/>
    <cellStyle name="Note 2 2 2 7 3" xfId="32011" xr:uid="{00000000-0005-0000-0000-00002B750000}"/>
    <cellStyle name="Note 2 2 2 8" xfId="7751" xr:uid="{00000000-0005-0000-0000-00002C750000}"/>
    <cellStyle name="Note 2 2 2 8 2" xfId="15963" xr:uid="{00000000-0005-0000-0000-00002D750000}"/>
    <cellStyle name="Note 2 2 2 8 2 2" xfId="29370" xr:uid="{00000000-0005-0000-0000-00002E750000}"/>
    <cellStyle name="Note 2 2 2 8 3" xfId="32012" xr:uid="{00000000-0005-0000-0000-00002F750000}"/>
    <cellStyle name="Note 2 2 2 9" xfId="10248" xr:uid="{00000000-0005-0000-0000-000030750000}"/>
    <cellStyle name="Note 2 2 3" xfId="7752" xr:uid="{00000000-0005-0000-0000-000031750000}"/>
    <cellStyle name="Note 2 2 3 2" xfId="7753" xr:uid="{00000000-0005-0000-0000-000032750000}"/>
    <cellStyle name="Note 2 2 3 2 2" xfId="7754" xr:uid="{00000000-0005-0000-0000-000033750000}"/>
    <cellStyle name="Note 2 2 3 2 2 2" xfId="7755" xr:uid="{00000000-0005-0000-0000-000034750000}"/>
    <cellStyle name="Note 2 2 3 2 2 2 2" xfId="11614" xr:uid="{00000000-0005-0000-0000-000035750000}"/>
    <cellStyle name="Note 2 2 3 2 2 2 3" xfId="32016" xr:uid="{00000000-0005-0000-0000-000036750000}"/>
    <cellStyle name="Note 2 2 3 2 2 3" xfId="7756" xr:uid="{00000000-0005-0000-0000-000037750000}"/>
    <cellStyle name="Note 2 2 3 2 2 3 2" xfId="16930" xr:uid="{00000000-0005-0000-0000-000038750000}"/>
    <cellStyle name="Note 2 2 3 2 2 3 2 2" xfId="30337" xr:uid="{00000000-0005-0000-0000-000039750000}"/>
    <cellStyle name="Note 2 2 3 2 2 3 3" xfId="32017" xr:uid="{00000000-0005-0000-0000-00003A750000}"/>
    <cellStyle name="Note 2 2 3 2 2 4" xfId="10258" xr:uid="{00000000-0005-0000-0000-00003B750000}"/>
    <cellStyle name="Note 2 2 3 2 2 5" xfId="32015" xr:uid="{00000000-0005-0000-0000-00003C750000}"/>
    <cellStyle name="Note 2 2 3 2 3" xfId="7757" xr:uid="{00000000-0005-0000-0000-00003D750000}"/>
    <cellStyle name="Note 2 2 3 2 3 2" xfId="7758" xr:uid="{00000000-0005-0000-0000-00003E750000}"/>
    <cellStyle name="Note 2 2 3 2 3 2 2" xfId="13294" xr:uid="{00000000-0005-0000-0000-00003F750000}"/>
    <cellStyle name="Note 2 2 3 2 3 2 3" xfId="32019" xr:uid="{00000000-0005-0000-0000-000040750000}"/>
    <cellStyle name="Note 2 2 3 2 3 3" xfId="12318" xr:uid="{00000000-0005-0000-0000-000041750000}"/>
    <cellStyle name="Note 2 2 3 2 3 3 2" xfId="26030" xr:uid="{00000000-0005-0000-0000-000042750000}"/>
    <cellStyle name="Note 2 2 3 2 3 4" xfId="32018" xr:uid="{00000000-0005-0000-0000-000043750000}"/>
    <cellStyle name="Note 2 2 3 2 4" xfId="7759" xr:uid="{00000000-0005-0000-0000-000044750000}"/>
    <cellStyle name="Note 2 2 3 2 4 2" xfId="7760" xr:uid="{00000000-0005-0000-0000-000045750000}"/>
    <cellStyle name="Note 2 2 3 2 4 2 2" xfId="15729" xr:uid="{00000000-0005-0000-0000-000046750000}"/>
    <cellStyle name="Note 2 2 3 2 4 2 3" xfId="32021" xr:uid="{00000000-0005-0000-0000-000047750000}"/>
    <cellStyle name="Note 2 2 3 2 4 3" xfId="13882" xr:uid="{00000000-0005-0000-0000-000048750000}"/>
    <cellStyle name="Note 2 2 3 2 4 3 2" xfId="27431" xr:uid="{00000000-0005-0000-0000-000049750000}"/>
    <cellStyle name="Note 2 2 3 2 4 4" xfId="32020" xr:uid="{00000000-0005-0000-0000-00004A750000}"/>
    <cellStyle name="Note 2 2 3 2 5" xfId="7761" xr:uid="{00000000-0005-0000-0000-00004B750000}"/>
    <cellStyle name="Note 2 2 3 2 5 2" xfId="14463" xr:uid="{00000000-0005-0000-0000-00004C750000}"/>
    <cellStyle name="Note 2 2 3 2 5 2 2" xfId="28012" xr:uid="{00000000-0005-0000-0000-00004D750000}"/>
    <cellStyle name="Note 2 2 3 2 5 3" xfId="32022" xr:uid="{00000000-0005-0000-0000-00004E750000}"/>
    <cellStyle name="Note 2 2 3 2 6" xfId="7762" xr:uid="{00000000-0005-0000-0000-00004F750000}"/>
    <cellStyle name="Note 2 2 3 2 6 2" xfId="16349" xr:uid="{00000000-0005-0000-0000-000050750000}"/>
    <cellStyle name="Note 2 2 3 2 6 2 2" xfId="29756" xr:uid="{00000000-0005-0000-0000-000051750000}"/>
    <cellStyle name="Note 2 2 3 2 6 3" xfId="32023" xr:uid="{00000000-0005-0000-0000-000052750000}"/>
    <cellStyle name="Note 2 2 3 2 7" xfId="10257" xr:uid="{00000000-0005-0000-0000-000053750000}"/>
    <cellStyle name="Note 2 2 3 2 8" xfId="32014" xr:uid="{00000000-0005-0000-0000-000054750000}"/>
    <cellStyle name="Note 2 2 3 3" xfId="7763" xr:uid="{00000000-0005-0000-0000-000055750000}"/>
    <cellStyle name="Note 2 2 3 3 2" xfId="7764" xr:uid="{00000000-0005-0000-0000-000056750000}"/>
    <cellStyle name="Note 2 2 3 3 2 2" xfId="11615" xr:uid="{00000000-0005-0000-0000-000057750000}"/>
    <cellStyle name="Note 2 2 3 3 2 3" xfId="32025" xr:uid="{00000000-0005-0000-0000-000058750000}"/>
    <cellStyle name="Note 2 2 3 3 3" xfId="7765" xr:uid="{00000000-0005-0000-0000-000059750000}"/>
    <cellStyle name="Note 2 2 3 3 3 2" xfId="16641" xr:uid="{00000000-0005-0000-0000-00005A750000}"/>
    <cellStyle name="Note 2 2 3 3 3 2 2" xfId="30048" xr:uid="{00000000-0005-0000-0000-00005B750000}"/>
    <cellStyle name="Note 2 2 3 3 3 3" xfId="32026" xr:uid="{00000000-0005-0000-0000-00005C750000}"/>
    <cellStyle name="Note 2 2 3 3 4" xfId="10259" xr:uid="{00000000-0005-0000-0000-00005D750000}"/>
    <cellStyle name="Note 2 2 3 3 5" xfId="32024" xr:uid="{00000000-0005-0000-0000-00005E750000}"/>
    <cellStyle name="Note 2 2 3 4" xfId="7766" xr:uid="{00000000-0005-0000-0000-00005F750000}"/>
    <cellStyle name="Note 2 2 3 4 2" xfId="7767" xr:uid="{00000000-0005-0000-0000-000060750000}"/>
    <cellStyle name="Note 2 2 3 4 2 2" xfId="13295" xr:uid="{00000000-0005-0000-0000-000061750000}"/>
    <cellStyle name="Note 2 2 3 4 2 3" xfId="32028" xr:uid="{00000000-0005-0000-0000-000062750000}"/>
    <cellStyle name="Note 2 2 3 4 3" xfId="12018" xr:uid="{00000000-0005-0000-0000-000063750000}"/>
    <cellStyle name="Note 2 2 3 4 3 2" xfId="25733" xr:uid="{00000000-0005-0000-0000-000064750000}"/>
    <cellStyle name="Note 2 2 3 4 4" xfId="32027" xr:uid="{00000000-0005-0000-0000-000065750000}"/>
    <cellStyle name="Note 2 2 3 5" xfId="7768" xr:uid="{00000000-0005-0000-0000-000066750000}"/>
    <cellStyle name="Note 2 2 3 5 2" xfId="7769" xr:uid="{00000000-0005-0000-0000-000067750000}"/>
    <cellStyle name="Note 2 2 3 5 2 2" xfId="15730" xr:uid="{00000000-0005-0000-0000-000068750000}"/>
    <cellStyle name="Note 2 2 3 5 2 3" xfId="32030" xr:uid="{00000000-0005-0000-0000-000069750000}"/>
    <cellStyle name="Note 2 2 3 5 3" xfId="13593" xr:uid="{00000000-0005-0000-0000-00006A750000}"/>
    <cellStyle name="Note 2 2 3 5 3 2" xfId="27142" xr:uid="{00000000-0005-0000-0000-00006B750000}"/>
    <cellStyle name="Note 2 2 3 5 4" xfId="32029" xr:uid="{00000000-0005-0000-0000-00006C750000}"/>
    <cellStyle name="Note 2 2 3 6" xfId="7770" xr:uid="{00000000-0005-0000-0000-00006D750000}"/>
    <cellStyle name="Note 2 2 3 6 2" xfId="14174" xr:uid="{00000000-0005-0000-0000-00006E750000}"/>
    <cellStyle name="Note 2 2 3 6 2 2" xfId="27723" xr:uid="{00000000-0005-0000-0000-00006F750000}"/>
    <cellStyle name="Note 2 2 3 6 3" xfId="32031" xr:uid="{00000000-0005-0000-0000-000070750000}"/>
    <cellStyle name="Note 2 2 3 7" xfId="7771" xr:uid="{00000000-0005-0000-0000-000071750000}"/>
    <cellStyle name="Note 2 2 3 7 2" xfId="16060" xr:uid="{00000000-0005-0000-0000-000072750000}"/>
    <cellStyle name="Note 2 2 3 7 2 2" xfId="29467" xr:uid="{00000000-0005-0000-0000-000073750000}"/>
    <cellStyle name="Note 2 2 3 7 3" xfId="32032" xr:uid="{00000000-0005-0000-0000-000074750000}"/>
    <cellStyle name="Note 2 2 3 8" xfId="10256" xr:uid="{00000000-0005-0000-0000-000075750000}"/>
    <cellStyle name="Note 2 2 3 9" xfId="32013" xr:uid="{00000000-0005-0000-0000-000076750000}"/>
    <cellStyle name="Note 2 2 4" xfId="7772" xr:uid="{00000000-0005-0000-0000-000077750000}"/>
    <cellStyle name="Note 2 2 4 2" xfId="7773" xr:uid="{00000000-0005-0000-0000-000078750000}"/>
    <cellStyle name="Note 2 2 4 2 2" xfId="7774" xr:uid="{00000000-0005-0000-0000-000079750000}"/>
    <cellStyle name="Note 2 2 4 2 2 2" xfId="11616" xr:uid="{00000000-0005-0000-0000-00007A750000}"/>
    <cellStyle name="Note 2 2 4 2 2 3" xfId="32035" xr:uid="{00000000-0005-0000-0000-00007B750000}"/>
    <cellStyle name="Note 2 2 4 2 3" xfId="7775" xr:uid="{00000000-0005-0000-0000-00007C750000}"/>
    <cellStyle name="Note 2 2 4 2 3 2" xfId="16787" xr:uid="{00000000-0005-0000-0000-00007D750000}"/>
    <cellStyle name="Note 2 2 4 2 3 2 2" xfId="30194" xr:uid="{00000000-0005-0000-0000-00007E750000}"/>
    <cellStyle name="Note 2 2 4 2 3 3" xfId="32036" xr:uid="{00000000-0005-0000-0000-00007F750000}"/>
    <cellStyle name="Note 2 2 4 2 4" xfId="10261" xr:uid="{00000000-0005-0000-0000-000080750000}"/>
    <cellStyle name="Note 2 2 4 2 5" xfId="32034" xr:uid="{00000000-0005-0000-0000-000081750000}"/>
    <cellStyle name="Note 2 2 4 3" xfId="7776" xr:uid="{00000000-0005-0000-0000-000082750000}"/>
    <cellStyle name="Note 2 2 4 3 2" xfId="7777" xr:uid="{00000000-0005-0000-0000-000083750000}"/>
    <cellStyle name="Note 2 2 4 3 2 2" xfId="13296" xr:uid="{00000000-0005-0000-0000-000084750000}"/>
    <cellStyle name="Note 2 2 4 3 2 3" xfId="32038" xr:uid="{00000000-0005-0000-0000-000085750000}"/>
    <cellStyle name="Note 2 2 4 3 3" xfId="12175" xr:uid="{00000000-0005-0000-0000-000086750000}"/>
    <cellStyle name="Note 2 2 4 3 3 2" xfId="25887" xr:uid="{00000000-0005-0000-0000-000087750000}"/>
    <cellStyle name="Note 2 2 4 3 4" xfId="32037" xr:uid="{00000000-0005-0000-0000-000088750000}"/>
    <cellStyle name="Note 2 2 4 4" xfId="7778" xr:uid="{00000000-0005-0000-0000-000089750000}"/>
    <cellStyle name="Note 2 2 4 4 2" xfId="7779" xr:uid="{00000000-0005-0000-0000-00008A750000}"/>
    <cellStyle name="Note 2 2 4 4 2 2" xfId="15731" xr:uid="{00000000-0005-0000-0000-00008B750000}"/>
    <cellStyle name="Note 2 2 4 4 2 3" xfId="32040" xr:uid="{00000000-0005-0000-0000-00008C750000}"/>
    <cellStyle name="Note 2 2 4 4 3" xfId="13739" xr:uid="{00000000-0005-0000-0000-00008D750000}"/>
    <cellStyle name="Note 2 2 4 4 3 2" xfId="27288" xr:uid="{00000000-0005-0000-0000-00008E750000}"/>
    <cellStyle name="Note 2 2 4 4 4" xfId="32039" xr:uid="{00000000-0005-0000-0000-00008F750000}"/>
    <cellStyle name="Note 2 2 4 5" xfId="7780" xr:uid="{00000000-0005-0000-0000-000090750000}"/>
    <cellStyle name="Note 2 2 4 5 2" xfId="14320" xr:uid="{00000000-0005-0000-0000-000091750000}"/>
    <cellStyle name="Note 2 2 4 5 2 2" xfId="27869" xr:uid="{00000000-0005-0000-0000-000092750000}"/>
    <cellStyle name="Note 2 2 4 5 3" xfId="32041" xr:uid="{00000000-0005-0000-0000-000093750000}"/>
    <cellStyle name="Note 2 2 4 6" xfId="7781" xr:uid="{00000000-0005-0000-0000-000094750000}"/>
    <cellStyle name="Note 2 2 4 6 2" xfId="16206" xr:uid="{00000000-0005-0000-0000-000095750000}"/>
    <cellStyle name="Note 2 2 4 6 2 2" xfId="29613" xr:uid="{00000000-0005-0000-0000-000096750000}"/>
    <cellStyle name="Note 2 2 4 6 3" xfId="32042" xr:uid="{00000000-0005-0000-0000-000097750000}"/>
    <cellStyle name="Note 2 2 4 7" xfId="10260" xr:uid="{00000000-0005-0000-0000-000098750000}"/>
    <cellStyle name="Note 2 2 4 8" xfId="32033" xr:uid="{00000000-0005-0000-0000-000099750000}"/>
    <cellStyle name="Note 2 2 5" xfId="7782" xr:uid="{00000000-0005-0000-0000-00009A750000}"/>
    <cellStyle name="Note 2 2 5 2" xfId="7783" xr:uid="{00000000-0005-0000-0000-00009B750000}"/>
    <cellStyle name="Note 2 2 5 2 2" xfId="7784" xr:uid="{00000000-0005-0000-0000-00009C750000}"/>
    <cellStyle name="Note 2 2 5 2 2 2" xfId="11618" xr:uid="{00000000-0005-0000-0000-00009D750000}"/>
    <cellStyle name="Note 2 2 5 2 2 3" xfId="32045" xr:uid="{00000000-0005-0000-0000-00009E750000}"/>
    <cellStyle name="Note 2 2 5 2 3" xfId="10263" xr:uid="{00000000-0005-0000-0000-00009F750000}"/>
    <cellStyle name="Note 2 2 5 2 4" xfId="32044" xr:uid="{00000000-0005-0000-0000-0000A0750000}"/>
    <cellStyle name="Note 2 2 5 3" xfId="7785" xr:uid="{00000000-0005-0000-0000-0000A1750000}"/>
    <cellStyle name="Note 2 2 5 3 2" xfId="11617" xr:uid="{00000000-0005-0000-0000-0000A2750000}"/>
    <cellStyle name="Note 2 2 5 3 3" xfId="32046" xr:uid="{00000000-0005-0000-0000-0000A3750000}"/>
    <cellStyle name="Note 2 2 5 4" xfId="7786" xr:uid="{00000000-0005-0000-0000-0000A4750000}"/>
    <cellStyle name="Note 2 2 5 4 2" xfId="17053" xr:uid="{00000000-0005-0000-0000-0000A5750000}"/>
    <cellStyle name="Note 2 2 5 4 2 2" xfId="30452" xr:uid="{00000000-0005-0000-0000-0000A6750000}"/>
    <cellStyle name="Note 2 2 5 4 3" xfId="32047" xr:uid="{00000000-0005-0000-0000-0000A7750000}"/>
    <cellStyle name="Note 2 2 5 5" xfId="10262" xr:uid="{00000000-0005-0000-0000-0000A8750000}"/>
    <cellStyle name="Note 2 2 5 6" xfId="32043" xr:uid="{00000000-0005-0000-0000-0000A9750000}"/>
    <cellStyle name="Note 2 2 6" xfId="7787" xr:uid="{00000000-0005-0000-0000-0000AA750000}"/>
    <cellStyle name="Note 2 2 6 2" xfId="7788" xr:uid="{00000000-0005-0000-0000-0000AB750000}"/>
    <cellStyle name="Note 2 2 6 2 2" xfId="17134" xr:uid="{00000000-0005-0000-0000-0000AC750000}"/>
    <cellStyle name="Note 2 2 6 2 2 2" xfId="30493" xr:uid="{00000000-0005-0000-0000-0000AD750000}"/>
    <cellStyle name="Note 2 2 6 2 3" xfId="32049" xr:uid="{00000000-0005-0000-0000-0000AE750000}"/>
    <cellStyle name="Note 2 2 6 3" xfId="10264" xr:uid="{00000000-0005-0000-0000-0000AF750000}"/>
    <cellStyle name="Note 2 2 6 4" xfId="32048" xr:uid="{00000000-0005-0000-0000-0000B0750000}"/>
    <cellStyle name="Note 2 2 7" xfId="7789" xr:uid="{00000000-0005-0000-0000-0000B1750000}"/>
    <cellStyle name="Note 2 2 7 2" xfId="7790" xr:uid="{00000000-0005-0000-0000-0000B2750000}"/>
    <cellStyle name="Note 2 2 7 2 2" xfId="11619" xr:uid="{00000000-0005-0000-0000-0000B3750000}"/>
    <cellStyle name="Note 2 2 7 2 3" xfId="32051" xr:uid="{00000000-0005-0000-0000-0000B4750000}"/>
    <cellStyle name="Note 2 2 7 3" xfId="7791" xr:uid="{00000000-0005-0000-0000-0000B5750000}"/>
    <cellStyle name="Note 2 2 7 3 2" xfId="17223" xr:uid="{00000000-0005-0000-0000-0000B6750000}"/>
    <cellStyle name="Note 2 2 7 3 2 2" xfId="30582" xr:uid="{00000000-0005-0000-0000-0000B7750000}"/>
    <cellStyle name="Note 2 2 7 3 3" xfId="32052" xr:uid="{00000000-0005-0000-0000-0000B8750000}"/>
    <cellStyle name="Note 2 2 7 4" xfId="10265" xr:uid="{00000000-0005-0000-0000-0000B9750000}"/>
    <cellStyle name="Note 2 2 7 5" xfId="32050" xr:uid="{00000000-0005-0000-0000-0000BA750000}"/>
    <cellStyle name="Note 2 2 8" xfId="7792" xr:uid="{00000000-0005-0000-0000-0000BB750000}"/>
    <cellStyle name="Note 2 2 8 2" xfId="7793" xr:uid="{00000000-0005-0000-0000-0000BC750000}"/>
    <cellStyle name="Note 2 2 8 2 2" xfId="11620" xr:uid="{00000000-0005-0000-0000-0000BD750000}"/>
    <cellStyle name="Note 2 2 8 2 3" xfId="32054" xr:uid="{00000000-0005-0000-0000-0000BE750000}"/>
    <cellStyle name="Note 2 2 8 3" xfId="7794" xr:uid="{00000000-0005-0000-0000-0000BF750000}"/>
    <cellStyle name="Note 2 2 8 3 2" xfId="16498" xr:uid="{00000000-0005-0000-0000-0000C0750000}"/>
    <cellStyle name="Note 2 2 8 3 2 2" xfId="29905" xr:uid="{00000000-0005-0000-0000-0000C1750000}"/>
    <cellStyle name="Note 2 2 8 3 3" xfId="32055" xr:uid="{00000000-0005-0000-0000-0000C2750000}"/>
    <cellStyle name="Note 2 2 8 4" xfId="10266" xr:uid="{00000000-0005-0000-0000-0000C3750000}"/>
    <cellStyle name="Note 2 2 8 5" xfId="32053" xr:uid="{00000000-0005-0000-0000-0000C4750000}"/>
    <cellStyle name="Note 2 2 9" xfId="7795" xr:uid="{00000000-0005-0000-0000-0000C5750000}"/>
    <cellStyle name="Note 2 2 9 2" xfId="7796" xr:uid="{00000000-0005-0000-0000-0000C6750000}"/>
    <cellStyle name="Note 2 2 9 2 2" xfId="13297" xr:uid="{00000000-0005-0000-0000-0000C7750000}"/>
    <cellStyle name="Note 2 2 9 2 2 2" xfId="26919" xr:uid="{00000000-0005-0000-0000-0000C8750000}"/>
    <cellStyle name="Note 2 2 9 2 3" xfId="32057" xr:uid="{00000000-0005-0000-0000-0000C9750000}"/>
    <cellStyle name="Note 2 2 9 3" xfId="7797" xr:uid="{00000000-0005-0000-0000-0000CA750000}"/>
    <cellStyle name="Note 2 2 9 3 2" xfId="15732" xr:uid="{00000000-0005-0000-0000-0000CB750000}"/>
    <cellStyle name="Note 2 2 9 3 3" xfId="32058" xr:uid="{00000000-0005-0000-0000-0000CC750000}"/>
    <cellStyle name="Note 2 2 9 4" xfId="10543" xr:uid="{00000000-0005-0000-0000-0000CD750000}"/>
    <cellStyle name="Note 2 2 9 4 2" xfId="24485" xr:uid="{00000000-0005-0000-0000-0000CE750000}"/>
    <cellStyle name="Note 2 2 9 5" xfId="32056" xr:uid="{00000000-0005-0000-0000-0000CF750000}"/>
    <cellStyle name="Note 2 20" xfId="7798" xr:uid="{00000000-0005-0000-0000-0000D0750000}"/>
    <cellStyle name="Note 2 20 2" xfId="7799" xr:uid="{00000000-0005-0000-0000-0000D1750000}"/>
    <cellStyle name="Note 2 20 2 2" xfId="11725" xr:uid="{00000000-0005-0000-0000-0000D2750000}"/>
    <cellStyle name="Note 2 20 2 2 2" xfId="25445" xr:uid="{00000000-0005-0000-0000-0000D3750000}"/>
    <cellStyle name="Note 2 20 2 3" xfId="32060" xr:uid="{00000000-0005-0000-0000-0000D4750000}"/>
    <cellStyle name="Note 2 20 3" xfId="7800" xr:uid="{00000000-0005-0000-0000-0000D5750000}"/>
    <cellStyle name="Note 2 20 3 2" xfId="13298" xr:uid="{00000000-0005-0000-0000-0000D6750000}"/>
    <cellStyle name="Note 2 20 3 2 2" xfId="26920" xr:uid="{00000000-0005-0000-0000-0000D7750000}"/>
    <cellStyle name="Note 2 20 3 3" xfId="32061" xr:uid="{00000000-0005-0000-0000-0000D8750000}"/>
    <cellStyle name="Note 2 20 4" xfId="7801" xr:uid="{00000000-0005-0000-0000-0000D9750000}"/>
    <cellStyle name="Note 2 20 4 2" xfId="15733" xr:uid="{00000000-0005-0000-0000-0000DA750000}"/>
    <cellStyle name="Note 2 20 4 3" xfId="32062" xr:uid="{00000000-0005-0000-0000-0000DB750000}"/>
    <cellStyle name="Note 2 20 5" xfId="10498" xr:uid="{00000000-0005-0000-0000-0000DC750000}"/>
    <cellStyle name="Note 2 20 5 2" xfId="24449" xr:uid="{00000000-0005-0000-0000-0000DD750000}"/>
    <cellStyle name="Note 2 20 6" xfId="32059" xr:uid="{00000000-0005-0000-0000-0000DE750000}"/>
    <cellStyle name="Note 2 21" xfId="7802" xr:uid="{00000000-0005-0000-0000-0000DF750000}"/>
    <cellStyle name="Note 2 21 2" xfId="7803" xr:uid="{00000000-0005-0000-0000-0000E0750000}"/>
    <cellStyle name="Note 2 21 2 2" xfId="13299" xr:uid="{00000000-0005-0000-0000-0000E1750000}"/>
    <cellStyle name="Note 2 21 2 2 2" xfId="26921" xr:uid="{00000000-0005-0000-0000-0000E2750000}"/>
    <cellStyle name="Note 2 21 2 3" xfId="32064" xr:uid="{00000000-0005-0000-0000-0000E3750000}"/>
    <cellStyle name="Note 2 21 3" xfId="7804" xr:uid="{00000000-0005-0000-0000-0000E4750000}"/>
    <cellStyle name="Note 2 21 3 2" xfId="15734" xr:uid="{00000000-0005-0000-0000-0000E5750000}"/>
    <cellStyle name="Note 2 21 3 3" xfId="32065" xr:uid="{00000000-0005-0000-0000-0000E6750000}"/>
    <cellStyle name="Note 2 21 4" xfId="10526" xr:uid="{00000000-0005-0000-0000-0000E7750000}"/>
    <cellStyle name="Note 2 21 4 2" xfId="24468" xr:uid="{00000000-0005-0000-0000-0000E8750000}"/>
    <cellStyle name="Note 2 21 5" xfId="32063" xr:uid="{00000000-0005-0000-0000-0000E9750000}"/>
    <cellStyle name="Note 2 22" xfId="7805" xr:uid="{00000000-0005-0000-0000-0000EA750000}"/>
    <cellStyle name="Note 2 22 2" xfId="11600" xr:uid="{00000000-0005-0000-0000-0000EB750000}"/>
    <cellStyle name="Note 2 22 3" xfId="32066" xr:uid="{00000000-0005-0000-0000-0000EC750000}"/>
    <cellStyle name="Note 2 23" xfId="7806" xr:uid="{00000000-0005-0000-0000-0000ED750000}"/>
    <cellStyle name="Note 2 23 2" xfId="11789" xr:uid="{00000000-0005-0000-0000-0000EE750000}"/>
    <cellStyle name="Note 2 23 2 2" xfId="25504" xr:uid="{00000000-0005-0000-0000-0000EF750000}"/>
    <cellStyle name="Note 2 23 3" xfId="32067" xr:uid="{00000000-0005-0000-0000-0000F0750000}"/>
    <cellStyle name="Note 2 24" xfId="7807" xr:uid="{00000000-0005-0000-0000-0000F1750000}"/>
    <cellStyle name="Note 2 24 2" xfId="13393" xr:uid="{00000000-0005-0000-0000-0000F2750000}"/>
    <cellStyle name="Note 2 24 2 2" xfId="26942" xr:uid="{00000000-0005-0000-0000-0000F3750000}"/>
    <cellStyle name="Note 2 24 3" xfId="32068" xr:uid="{00000000-0005-0000-0000-0000F4750000}"/>
    <cellStyle name="Note 2 25" xfId="7808" xr:uid="{00000000-0005-0000-0000-0000F5750000}"/>
    <cellStyle name="Note 2 25 2" xfId="13974" xr:uid="{00000000-0005-0000-0000-0000F6750000}"/>
    <cellStyle name="Note 2 25 2 2" xfId="27523" xr:uid="{00000000-0005-0000-0000-0000F7750000}"/>
    <cellStyle name="Note 2 25 3" xfId="32069" xr:uid="{00000000-0005-0000-0000-0000F8750000}"/>
    <cellStyle name="Note 2 26" xfId="7809" xr:uid="{00000000-0005-0000-0000-0000F9750000}"/>
    <cellStyle name="Note 2 26 2" xfId="15843" xr:uid="{00000000-0005-0000-0000-0000FA750000}"/>
    <cellStyle name="Note 2 26 2 2" xfId="29250" xr:uid="{00000000-0005-0000-0000-0000FB750000}"/>
    <cellStyle name="Note 2 26 3" xfId="32070" xr:uid="{00000000-0005-0000-0000-0000FC750000}"/>
    <cellStyle name="Note 2 27" xfId="7810" xr:uid="{00000000-0005-0000-0000-0000FD750000}"/>
    <cellStyle name="Note 2 27 2" xfId="15860" xr:uid="{00000000-0005-0000-0000-0000FE750000}"/>
    <cellStyle name="Note 2 27 2 2" xfId="29267" xr:uid="{00000000-0005-0000-0000-0000FF750000}"/>
    <cellStyle name="Note 2 27 3" xfId="32071" xr:uid="{00000000-0005-0000-0000-000000760000}"/>
    <cellStyle name="Note 2 28" xfId="10235" xr:uid="{00000000-0005-0000-0000-000001760000}"/>
    <cellStyle name="Note 2 29" xfId="31938" xr:uid="{00000000-0005-0000-0000-000002760000}"/>
    <cellStyle name="Note 2 3" xfId="7811" xr:uid="{00000000-0005-0000-0000-000003760000}"/>
    <cellStyle name="Note 2 3 10" xfId="10267" xr:uid="{00000000-0005-0000-0000-000004760000}"/>
    <cellStyle name="Note 2 3 11" xfId="32072" xr:uid="{00000000-0005-0000-0000-000005760000}"/>
    <cellStyle name="Note 2 3 2" xfId="7812" xr:uid="{00000000-0005-0000-0000-000006760000}"/>
    <cellStyle name="Note 2 3 2 2" xfId="7813" xr:uid="{00000000-0005-0000-0000-000007760000}"/>
    <cellStyle name="Note 2 3 2 2 2" xfId="7814" xr:uid="{00000000-0005-0000-0000-000008760000}"/>
    <cellStyle name="Note 2 3 2 2 2 2" xfId="7815" xr:uid="{00000000-0005-0000-0000-000009760000}"/>
    <cellStyle name="Note 2 3 2 2 2 2 2" xfId="11621" xr:uid="{00000000-0005-0000-0000-00000A760000}"/>
    <cellStyle name="Note 2 3 2 2 2 2 3" xfId="32076" xr:uid="{00000000-0005-0000-0000-00000B760000}"/>
    <cellStyle name="Note 2 3 2 2 2 3" xfId="7816" xr:uid="{00000000-0005-0000-0000-00000C760000}"/>
    <cellStyle name="Note 2 3 2 2 2 3 2" xfId="16953" xr:uid="{00000000-0005-0000-0000-00000D760000}"/>
    <cellStyle name="Note 2 3 2 2 2 3 2 2" xfId="30360" xr:uid="{00000000-0005-0000-0000-00000E760000}"/>
    <cellStyle name="Note 2 3 2 2 2 3 3" xfId="32077" xr:uid="{00000000-0005-0000-0000-00000F760000}"/>
    <cellStyle name="Note 2 3 2 2 2 4" xfId="10270" xr:uid="{00000000-0005-0000-0000-000010760000}"/>
    <cellStyle name="Note 2 3 2 2 2 5" xfId="32075" xr:uid="{00000000-0005-0000-0000-000011760000}"/>
    <cellStyle name="Note 2 3 2 2 3" xfId="7817" xr:uid="{00000000-0005-0000-0000-000012760000}"/>
    <cellStyle name="Note 2 3 2 2 3 2" xfId="7818" xr:uid="{00000000-0005-0000-0000-000013760000}"/>
    <cellStyle name="Note 2 3 2 2 3 2 2" xfId="13300" xr:uid="{00000000-0005-0000-0000-000014760000}"/>
    <cellStyle name="Note 2 3 2 2 3 2 3" xfId="32079" xr:uid="{00000000-0005-0000-0000-000015760000}"/>
    <cellStyle name="Note 2 3 2 2 3 3" xfId="12341" xr:uid="{00000000-0005-0000-0000-000016760000}"/>
    <cellStyle name="Note 2 3 2 2 3 3 2" xfId="26053" xr:uid="{00000000-0005-0000-0000-000017760000}"/>
    <cellStyle name="Note 2 3 2 2 3 4" xfId="32078" xr:uid="{00000000-0005-0000-0000-000018760000}"/>
    <cellStyle name="Note 2 3 2 2 4" xfId="7819" xr:uid="{00000000-0005-0000-0000-000019760000}"/>
    <cellStyle name="Note 2 3 2 2 4 2" xfId="7820" xr:uid="{00000000-0005-0000-0000-00001A760000}"/>
    <cellStyle name="Note 2 3 2 2 4 2 2" xfId="15735" xr:uid="{00000000-0005-0000-0000-00001B760000}"/>
    <cellStyle name="Note 2 3 2 2 4 2 3" xfId="32081" xr:uid="{00000000-0005-0000-0000-00001C760000}"/>
    <cellStyle name="Note 2 3 2 2 4 3" xfId="13905" xr:uid="{00000000-0005-0000-0000-00001D760000}"/>
    <cellStyle name="Note 2 3 2 2 4 3 2" xfId="27454" xr:uid="{00000000-0005-0000-0000-00001E760000}"/>
    <cellStyle name="Note 2 3 2 2 4 4" xfId="32080" xr:uid="{00000000-0005-0000-0000-00001F760000}"/>
    <cellStyle name="Note 2 3 2 2 5" xfId="7821" xr:uid="{00000000-0005-0000-0000-000020760000}"/>
    <cellStyle name="Note 2 3 2 2 5 2" xfId="14486" xr:uid="{00000000-0005-0000-0000-000021760000}"/>
    <cellStyle name="Note 2 3 2 2 5 2 2" xfId="28035" xr:uid="{00000000-0005-0000-0000-000022760000}"/>
    <cellStyle name="Note 2 3 2 2 5 3" xfId="32082" xr:uid="{00000000-0005-0000-0000-000023760000}"/>
    <cellStyle name="Note 2 3 2 2 6" xfId="7822" xr:uid="{00000000-0005-0000-0000-000024760000}"/>
    <cellStyle name="Note 2 3 2 2 6 2" xfId="16372" xr:uid="{00000000-0005-0000-0000-000025760000}"/>
    <cellStyle name="Note 2 3 2 2 6 2 2" xfId="29779" xr:uid="{00000000-0005-0000-0000-000026760000}"/>
    <cellStyle name="Note 2 3 2 2 6 3" xfId="32083" xr:uid="{00000000-0005-0000-0000-000027760000}"/>
    <cellStyle name="Note 2 3 2 2 7" xfId="10269" xr:uid="{00000000-0005-0000-0000-000028760000}"/>
    <cellStyle name="Note 2 3 2 2 8" xfId="32074" xr:uid="{00000000-0005-0000-0000-000029760000}"/>
    <cellStyle name="Note 2 3 2 3" xfId="7823" xr:uid="{00000000-0005-0000-0000-00002A760000}"/>
    <cellStyle name="Note 2 3 2 3 2" xfId="7824" xr:uid="{00000000-0005-0000-0000-00002B760000}"/>
    <cellStyle name="Note 2 3 2 3 2 2" xfId="11622" xr:uid="{00000000-0005-0000-0000-00002C760000}"/>
    <cellStyle name="Note 2 3 2 3 2 3" xfId="32085" xr:uid="{00000000-0005-0000-0000-00002D760000}"/>
    <cellStyle name="Note 2 3 2 3 3" xfId="7825" xr:uid="{00000000-0005-0000-0000-00002E760000}"/>
    <cellStyle name="Note 2 3 2 3 3 2" xfId="16664" xr:uid="{00000000-0005-0000-0000-00002F760000}"/>
    <cellStyle name="Note 2 3 2 3 3 2 2" xfId="30071" xr:uid="{00000000-0005-0000-0000-000030760000}"/>
    <cellStyle name="Note 2 3 2 3 3 3" xfId="32086" xr:uid="{00000000-0005-0000-0000-000031760000}"/>
    <cellStyle name="Note 2 3 2 3 4" xfId="10271" xr:uid="{00000000-0005-0000-0000-000032760000}"/>
    <cellStyle name="Note 2 3 2 3 5" xfId="32084" xr:uid="{00000000-0005-0000-0000-000033760000}"/>
    <cellStyle name="Note 2 3 2 4" xfId="7826" xr:uid="{00000000-0005-0000-0000-000034760000}"/>
    <cellStyle name="Note 2 3 2 4 2" xfId="7827" xr:uid="{00000000-0005-0000-0000-000035760000}"/>
    <cellStyle name="Note 2 3 2 4 2 2" xfId="13301" xr:uid="{00000000-0005-0000-0000-000036760000}"/>
    <cellStyle name="Note 2 3 2 4 2 3" xfId="32088" xr:uid="{00000000-0005-0000-0000-000037760000}"/>
    <cellStyle name="Note 2 3 2 4 3" xfId="12041" xr:uid="{00000000-0005-0000-0000-000038760000}"/>
    <cellStyle name="Note 2 3 2 4 3 2" xfId="25756" xr:uid="{00000000-0005-0000-0000-000039760000}"/>
    <cellStyle name="Note 2 3 2 4 4" xfId="32087" xr:uid="{00000000-0005-0000-0000-00003A760000}"/>
    <cellStyle name="Note 2 3 2 5" xfId="7828" xr:uid="{00000000-0005-0000-0000-00003B760000}"/>
    <cellStyle name="Note 2 3 2 5 2" xfId="7829" xr:uid="{00000000-0005-0000-0000-00003C760000}"/>
    <cellStyle name="Note 2 3 2 5 2 2" xfId="15736" xr:uid="{00000000-0005-0000-0000-00003D760000}"/>
    <cellStyle name="Note 2 3 2 5 2 3" xfId="32090" xr:uid="{00000000-0005-0000-0000-00003E760000}"/>
    <cellStyle name="Note 2 3 2 5 3" xfId="13616" xr:uid="{00000000-0005-0000-0000-00003F760000}"/>
    <cellStyle name="Note 2 3 2 5 3 2" xfId="27165" xr:uid="{00000000-0005-0000-0000-000040760000}"/>
    <cellStyle name="Note 2 3 2 5 4" xfId="32089" xr:uid="{00000000-0005-0000-0000-000041760000}"/>
    <cellStyle name="Note 2 3 2 6" xfId="7830" xr:uid="{00000000-0005-0000-0000-000042760000}"/>
    <cellStyle name="Note 2 3 2 6 2" xfId="14197" xr:uid="{00000000-0005-0000-0000-000043760000}"/>
    <cellStyle name="Note 2 3 2 6 2 2" xfId="27746" xr:uid="{00000000-0005-0000-0000-000044760000}"/>
    <cellStyle name="Note 2 3 2 6 3" xfId="32091" xr:uid="{00000000-0005-0000-0000-000045760000}"/>
    <cellStyle name="Note 2 3 2 7" xfId="7831" xr:uid="{00000000-0005-0000-0000-000046760000}"/>
    <cellStyle name="Note 2 3 2 7 2" xfId="16083" xr:uid="{00000000-0005-0000-0000-000047760000}"/>
    <cellStyle name="Note 2 3 2 7 2 2" xfId="29490" xr:uid="{00000000-0005-0000-0000-000048760000}"/>
    <cellStyle name="Note 2 3 2 7 3" xfId="32092" xr:uid="{00000000-0005-0000-0000-000049760000}"/>
    <cellStyle name="Note 2 3 2 8" xfId="10268" xr:uid="{00000000-0005-0000-0000-00004A760000}"/>
    <cellStyle name="Note 2 3 2 9" xfId="32073" xr:uid="{00000000-0005-0000-0000-00004B760000}"/>
    <cellStyle name="Note 2 3 3" xfId="7832" xr:uid="{00000000-0005-0000-0000-00004C760000}"/>
    <cellStyle name="Note 2 3 3 2" xfId="7833" xr:uid="{00000000-0005-0000-0000-00004D760000}"/>
    <cellStyle name="Note 2 3 3 2 2" xfId="7834" xr:uid="{00000000-0005-0000-0000-00004E760000}"/>
    <cellStyle name="Note 2 3 3 2 2 2" xfId="11623" xr:uid="{00000000-0005-0000-0000-00004F760000}"/>
    <cellStyle name="Note 2 3 3 2 2 3" xfId="32095" xr:uid="{00000000-0005-0000-0000-000050760000}"/>
    <cellStyle name="Note 2 3 3 2 3" xfId="7835" xr:uid="{00000000-0005-0000-0000-000051760000}"/>
    <cellStyle name="Note 2 3 3 2 3 2" xfId="16810" xr:uid="{00000000-0005-0000-0000-000052760000}"/>
    <cellStyle name="Note 2 3 3 2 3 2 2" xfId="30217" xr:uid="{00000000-0005-0000-0000-000053760000}"/>
    <cellStyle name="Note 2 3 3 2 3 3" xfId="32096" xr:uid="{00000000-0005-0000-0000-000054760000}"/>
    <cellStyle name="Note 2 3 3 2 4" xfId="10273" xr:uid="{00000000-0005-0000-0000-000055760000}"/>
    <cellStyle name="Note 2 3 3 2 5" xfId="32094" xr:uid="{00000000-0005-0000-0000-000056760000}"/>
    <cellStyle name="Note 2 3 3 3" xfId="7836" xr:uid="{00000000-0005-0000-0000-000057760000}"/>
    <cellStyle name="Note 2 3 3 3 2" xfId="7837" xr:uid="{00000000-0005-0000-0000-000058760000}"/>
    <cellStyle name="Note 2 3 3 3 2 2" xfId="13302" xr:uid="{00000000-0005-0000-0000-000059760000}"/>
    <cellStyle name="Note 2 3 3 3 2 3" xfId="32098" xr:uid="{00000000-0005-0000-0000-00005A760000}"/>
    <cellStyle name="Note 2 3 3 3 3" xfId="12198" xr:uid="{00000000-0005-0000-0000-00005B760000}"/>
    <cellStyle name="Note 2 3 3 3 3 2" xfId="25910" xr:uid="{00000000-0005-0000-0000-00005C760000}"/>
    <cellStyle name="Note 2 3 3 3 4" xfId="32097" xr:uid="{00000000-0005-0000-0000-00005D760000}"/>
    <cellStyle name="Note 2 3 3 4" xfId="7838" xr:uid="{00000000-0005-0000-0000-00005E760000}"/>
    <cellStyle name="Note 2 3 3 4 2" xfId="7839" xr:uid="{00000000-0005-0000-0000-00005F760000}"/>
    <cellStyle name="Note 2 3 3 4 2 2" xfId="15737" xr:uid="{00000000-0005-0000-0000-000060760000}"/>
    <cellStyle name="Note 2 3 3 4 2 3" xfId="32100" xr:uid="{00000000-0005-0000-0000-000061760000}"/>
    <cellStyle name="Note 2 3 3 4 3" xfId="13762" xr:uid="{00000000-0005-0000-0000-000062760000}"/>
    <cellStyle name="Note 2 3 3 4 3 2" xfId="27311" xr:uid="{00000000-0005-0000-0000-000063760000}"/>
    <cellStyle name="Note 2 3 3 4 4" xfId="32099" xr:uid="{00000000-0005-0000-0000-000064760000}"/>
    <cellStyle name="Note 2 3 3 5" xfId="7840" xr:uid="{00000000-0005-0000-0000-000065760000}"/>
    <cellStyle name="Note 2 3 3 5 2" xfId="14343" xr:uid="{00000000-0005-0000-0000-000066760000}"/>
    <cellStyle name="Note 2 3 3 5 2 2" xfId="27892" xr:uid="{00000000-0005-0000-0000-000067760000}"/>
    <cellStyle name="Note 2 3 3 5 3" xfId="32101" xr:uid="{00000000-0005-0000-0000-000068760000}"/>
    <cellStyle name="Note 2 3 3 6" xfId="7841" xr:uid="{00000000-0005-0000-0000-000069760000}"/>
    <cellStyle name="Note 2 3 3 6 2" xfId="16229" xr:uid="{00000000-0005-0000-0000-00006A760000}"/>
    <cellStyle name="Note 2 3 3 6 2 2" xfId="29636" xr:uid="{00000000-0005-0000-0000-00006B760000}"/>
    <cellStyle name="Note 2 3 3 6 3" xfId="32102" xr:uid="{00000000-0005-0000-0000-00006C760000}"/>
    <cellStyle name="Note 2 3 3 7" xfId="10272" xr:uid="{00000000-0005-0000-0000-00006D760000}"/>
    <cellStyle name="Note 2 3 3 8" xfId="32093" xr:uid="{00000000-0005-0000-0000-00006E760000}"/>
    <cellStyle name="Note 2 3 4" xfId="7842" xr:uid="{00000000-0005-0000-0000-00006F760000}"/>
    <cellStyle name="Note 2 3 4 2" xfId="7843" xr:uid="{00000000-0005-0000-0000-000070760000}"/>
    <cellStyle name="Note 2 3 4 2 2" xfId="17157" xr:uid="{00000000-0005-0000-0000-000071760000}"/>
    <cellStyle name="Note 2 3 4 2 2 2" xfId="30516" xr:uid="{00000000-0005-0000-0000-000072760000}"/>
    <cellStyle name="Note 2 3 4 2 3" xfId="32104" xr:uid="{00000000-0005-0000-0000-000073760000}"/>
    <cellStyle name="Note 2 3 4 3" xfId="10274" xr:uid="{00000000-0005-0000-0000-000074760000}"/>
    <cellStyle name="Note 2 3 4 4" xfId="32103" xr:uid="{00000000-0005-0000-0000-000075760000}"/>
    <cellStyle name="Note 2 3 5" xfId="7844" xr:uid="{00000000-0005-0000-0000-000076760000}"/>
    <cellStyle name="Note 2 3 5 2" xfId="7845" xr:uid="{00000000-0005-0000-0000-000077760000}"/>
    <cellStyle name="Note 2 3 5 2 2" xfId="11624" xr:uid="{00000000-0005-0000-0000-000078760000}"/>
    <cellStyle name="Note 2 3 5 2 3" xfId="32106" xr:uid="{00000000-0005-0000-0000-000079760000}"/>
    <cellStyle name="Note 2 3 5 3" xfId="7846" xr:uid="{00000000-0005-0000-0000-00007A760000}"/>
    <cellStyle name="Note 2 3 5 3 2" xfId="17246" xr:uid="{00000000-0005-0000-0000-00007B760000}"/>
    <cellStyle name="Note 2 3 5 3 2 2" xfId="30605" xr:uid="{00000000-0005-0000-0000-00007C760000}"/>
    <cellStyle name="Note 2 3 5 3 3" xfId="32107" xr:uid="{00000000-0005-0000-0000-00007D760000}"/>
    <cellStyle name="Note 2 3 5 4" xfId="10275" xr:uid="{00000000-0005-0000-0000-00007E760000}"/>
    <cellStyle name="Note 2 3 5 5" xfId="32105" xr:uid="{00000000-0005-0000-0000-00007F760000}"/>
    <cellStyle name="Note 2 3 6" xfId="7847" xr:uid="{00000000-0005-0000-0000-000080760000}"/>
    <cellStyle name="Note 2 3 6 2" xfId="7848" xr:uid="{00000000-0005-0000-0000-000081760000}"/>
    <cellStyle name="Note 2 3 6 2 2" xfId="13303" xr:uid="{00000000-0005-0000-0000-000082760000}"/>
    <cellStyle name="Note 2 3 6 2 3" xfId="32109" xr:uid="{00000000-0005-0000-0000-000083760000}"/>
    <cellStyle name="Note 2 3 6 3" xfId="7849" xr:uid="{00000000-0005-0000-0000-000084760000}"/>
    <cellStyle name="Note 2 3 6 3 2" xfId="16521" xr:uid="{00000000-0005-0000-0000-000085760000}"/>
    <cellStyle name="Note 2 3 6 3 2 2" xfId="29928" xr:uid="{00000000-0005-0000-0000-000086760000}"/>
    <cellStyle name="Note 2 3 6 3 3" xfId="32110" xr:uid="{00000000-0005-0000-0000-000087760000}"/>
    <cellStyle name="Note 2 3 6 4" xfId="11896" xr:uid="{00000000-0005-0000-0000-000088760000}"/>
    <cellStyle name="Note 2 3 6 4 2" xfId="25611" xr:uid="{00000000-0005-0000-0000-000089760000}"/>
    <cellStyle name="Note 2 3 6 5" xfId="32108" xr:uid="{00000000-0005-0000-0000-00008A760000}"/>
    <cellStyle name="Note 2 3 7" xfId="7850" xr:uid="{00000000-0005-0000-0000-00008B760000}"/>
    <cellStyle name="Note 2 3 7 2" xfId="7851" xr:uid="{00000000-0005-0000-0000-00008C760000}"/>
    <cellStyle name="Note 2 3 7 2 2" xfId="15738" xr:uid="{00000000-0005-0000-0000-00008D760000}"/>
    <cellStyle name="Note 2 3 7 2 3" xfId="32112" xr:uid="{00000000-0005-0000-0000-00008E760000}"/>
    <cellStyle name="Note 2 3 7 3" xfId="13473" xr:uid="{00000000-0005-0000-0000-00008F760000}"/>
    <cellStyle name="Note 2 3 7 3 2" xfId="27022" xr:uid="{00000000-0005-0000-0000-000090760000}"/>
    <cellStyle name="Note 2 3 7 4" xfId="32111" xr:uid="{00000000-0005-0000-0000-000091760000}"/>
    <cellStyle name="Note 2 3 8" xfId="7852" xr:uid="{00000000-0005-0000-0000-000092760000}"/>
    <cellStyle name="Note 2 3 8 2" xfId="14054" xr:uid="{00000000-0005-0000-0000-000093760000}"/>
    <cellStyle name="Note 2 3 8 2 2" xfId="27603" xr:uid="{00000000-0005-0000-0000-000094760000}"/>
    <cellStyle name="Note 2 3 8 3" xfId="32113" xr:uid="{00000000-0005-0000-0000-000095760000}"/>
    <cellStyle name="Note 2 3 9" xfId="7853" xr:uid="{00000000-0005-0000-0000-000096760000}"/>
    <cellStyle name="Note 2 3 9 2" xfId="15940" xr:uid="{00000000-0005-0000-0000-000097760000}"/>
    <cellStyle name="Note 2 3 9 2 2" xfId="29347" xr:uid="{00000000-0005-0000-0000-000098760000}"/>
    <cellStyle name="Note 2 3 9 3" xfId="32114" xr:uid="{00000000-0005-0000-0000-000099760000}"/>
    <cellStyle name="Note 2 30" xfId="33058" xr:uid="{00000000-0005-0000-0000-00009A760000}"/>
    <cellStyle name="Note 2 4" xfId="7854" xr:uid="{00000000-0005-0000-0000-00009B760000}"/>
    <cellStyle name="Note 2 4 10" xfId="32115" xr:uid="{00000000-0005-0000-0000-00009C760000}"/>
    <cellStyle name="Note 2 4 2" xfId="7855" xr:uid="{00000000-0005-0000-0000-00009D760000}"/>
    <cellStyle name="Note 2 4 2 2" xfId="7856" xr:uid="{00000000-0005-0000-0000-00009E760000}"/>
    <cellStyle name="Note 2 4 2 2 2" xfId="7857" xr:uid="{00000000-0005-0000-0000-00009F760000}"/>
    <cellStyle name="Note 2 4 2 2 2 2" xfId="7858" xr:uid="{00000000-0005-0000-0000-0000A0760000}"/>
    <cellStyle name="Note 2 4 2 2 2 2 2" xfId="11625" xr:uid="{00000000-0005-0000-0000-0000A1760000}"/>
    <cellStyle name="Note 2 4 2 2 2 2 3" xfId="32119" xr:uid="{00000000-0005-0000-0000-0000A2760000}"/>
    <cellStyle name="Note 2 4 2 2 2 3" xfId="7859" xr:uid="{00000000-0005-0000-0000-0000A3760000}"/>
    <cellStyle name="Note 2 4 2 2 2 3 2" xfId="16907" xr:uid="{00000000-0005-0000-0000-0000A4760000}"/>
    <cellStyle name="Note 2 4 2 2 2 3 2 2" xfId="30314" xr:uid="{00000000-0005-0000-0000-0000A5760000}"/>
    <cellStyle name="Note 2 4 2 2 2 3 3" xfId="32120" xr:uid="{00000000-0005-0000-0000-0000A6760000}"/>
    <cellStyle name="Note 2 4 2 2 2 4" xfId="10279" xr:uid="{00000000-0005-0000-0000-0000A7760000}"/>
    <cellStyle name="Note 2 4 2 2 2 5" xfId="32118" xr:uid="{00000000-0005-0000-0000-0000A8760000}"/>
    <cellStyle name="Note 2 4 2 2 3" xfId="7860" xr:uid="{00000000-0005-0000-0000-0000A9760000}"/>
    <cellStyle name="Note 2 4 2 2 3 2" xfId="7861" xr:uid="{00000000-0005-0000-0000-0000AA760000}"/>
    <cellStyle name="Note 2 4 2 2 3 2 2" xfId="13304" xr:uid="{00000000-0005-0000-0000-0000AB760000}"/>
    <cellStyle name="Note 2 4 2 2 3 2 3" xfId="32122" xr:uid="{00000000-0005-0000-0000-0000AC760000}"/>
    <cellStyle name="Note 2 4 2 2 3 3" xfId="12295" xr:uid="{00000000-0005-0000-0000-0000AD760000}"/>
    <cellStyle name="Note 2 4 2 2 3 3 2" xfId="26007" xr:uid="{00000000-0005-0000-0000-0000AE760000}"/>
    <cellStyle name="Note 2 4 2 2 3 4" xfId="32121" xr:uid="{00000000-0005-0000-0000-0000AF760000}"/>
    <cellStyle name="Note 2 4 2 2 4" xfId="7862" xr:uid="{00000000-0005-0000-0000-0000B0760000}"/>
    <cellStyle name="Note 2 4 2 2 4 2" xfId="7863" xr:uid="{00000000-0005-0000-0000-0000B1760000}"/>
    <cellStyle name="Note 2 4 2 2 4 2 2" xfId="15739" xr:uid="{00000000-0005-0000-0000-0000B2760000}"/>
    <cellStyle name="Note 2 4 2 2 4 2 3" xfId="32124" xr:uid="{00000000-0005-0000-0000-0000B3760000}"/>
    <cellStyle name="Note 2 4 2 2 4 3" xfId="13859" xr:uid="{00000000-0005-0000-0000-0000B4760000}"/>
    <cellStyle name="Note 2 4 2 2 4 3 2" xfId="27408" xr:uid="{00000000-0005-0000-0000-0000B5760000}"/>
    <cellStyle name="Note 2 4 2 2 4 4" xfId="32123" xr:uid="{00000000-0005-0000-0000-0000B6760000}"/>
    <cellStyle name="Note 2 4 2 2 5" xfId="7864" xr:uid="{00000000-0005-0000-0000-0000B7760000}"/>
    <cellStyle name="Note 2 4 2 2 5 2" xfId="14440" xr:uid="{00000000-0005-0000-0000-0000B8760000}"/>
    <cellStyle name="Note 2 4 2 2 5 2 2" xfId="27989" xr:uid="{00000000-0005-0000-0000-0000B9760000}"/>
    <cellStyle name="Note 2 4 2 2 5 3" xfId="32125" xr:uid="{00000000-0005-0000-0000-0000BA760000}"/>
    <cellStyle name="Note 2 4 2 2 6" xfId="7865" xr:uid="{00000000-0005-0000-0000-0000BB760000}"/>
    <cellStyle name="Note 2 4 2 2 6 2" xfId="16326" xr:uid="{00000000-0005-0000-0000-0000BC760000}"/>
    <cellStyle name="Note 2 4 2 2 6 2 2" xfId="29733" xr:uid="{00000000-0005-0000-0000-0000BD760000}"/>
    <cellStyle name="Note 2 4 2 2 6 3" xfId="32126" xr:uid="{00000000-0005-0000-0000-0000BE760000}"/>
    <cellStyle name="Note 2 4 2 2 7" xfId="10278" xr:uid="{00000000-0005-0000-0000-0000BF760000}"/>
    <cellStyle name="Note 2 4 2 2 8" xfId="32117" xr:uid="{00000000-0005-0000-0000-0000C0760000}"/>
    <cellStyle name="Note 2 4 2 3" xfId="7866" xr:uid="{00000000-0005-0000-0000-0000C1760000}"/>
    <cellStyle name="Note 2 4 2 3 2" xfId="7867" xr:uid="{00000000-0005-0000-0000-0000C2760000}"/>
    <cellStyle name="Note 2 4 2 3 2 2" xfId="11626" xr:uid="{00000000-0005-0000-0000-0000C3760000}"/>
    <cellStyle name="Note 2 4 2 3 2 3" xfId="32128" xr:uid="{00000000-0005-0000-0000-0000C4760000}"/>
    <cellStyle name="Note 2 4 2 3 3" xfId="7868" xr:uid="{00000000-0005-0000-0000-0000C5760000}"/>
    <cellStyle name="Note 2 4 2 3 3 2" xfId="16618" xr:uid="{00000000-0005-0000-0000-0000C6760000}"/>
    <cellStyle name="Note 2 4 2 3 3 2 2" xfId="30025" xr:uid="{00000000-0005-0000-0000-0000C7760000}"/>
    <cellStyle name="Note 2 4 2 3 3 3" xfId="32129" xr:uid="{00000000-0005-0000-0000-0000C8760000}"/>
    <cellStyle name="Note 2 4 2 3 4" xfId="10280" xr:uid="{00000000-0005-0000-0000-0000C9760000}"/>
    <cellStyle name="Note 2 4 2 3 5" xfId="32127" xr:uid="{00000000-0005-0000-0000-0000CA760000}"/>
    <cellStyle name="Note 2 4 2 4" xfId="7869" xr:uid="{00000000-0005-0000-0000-0000CB760000}"/>
    <cellStyle name="Note 2 4 2 4 2" xfId="7870" xr:uid="{00000000-0005-0000-0000-0000CC760000}"/>
    <cellStyle name="Note 2 4 2 4 2 2" xfId="13305" xr:uid="{00000000-0005-0000-0000-0000CD760000}"/>
    <cellStyle name="Note 2 4 2 4 2 3" xfId="32131" xr:uid="{00000000-0005-0000-0000-0000CE760000}"/>
    <cellStyle name="Note 2 4 2 4 3" xfId="11995" xr:uid="{00000000-0005-0000-0000-0000CF760000}"/>
    <cellStyle name="Note 2 4 2 4 3 2" xfId="25710" xr:uid="{00000000-0005-0000-0000-0000D0760000}"/>
    <cellStyle name="Note 2 4 2 4 4" xfId="32130" xr:uid="{00000000-0005-0000-0000-0000D1760000}"/>
    <cellStyle name="Note 2 4 2 5" xfId="7871" xr:uid="{00000000-0005-0000-0000-0000D2760000}"/>
    <cellStyle name="Note 2 4 2 5 2" xfId="7872" xr:uid="{00000000-0005-0000-0000-0000D3760000}"/>
    <cellStyle name="Note 2 4 2 5 2 2" xfId="15740" xr:uid="{00000000-0005-0000-0000-0000D4760000}"/>
    <cellStyle name="Note 2 4 2 5 2 3" xfId="32133" xr:uid="{00000000-0005-0000-0000-0000D5760000}"/>
    <cellStyle name="Note 2 4 2 5 3" xfId="13570" xr:uid="{00000000-0005-0000-0000-0000D6760000}"/>
    <cellStyle name="Note 2 4 2 5 3 2" xfId="27119" xr:uid="{00000000-0005-0000-0000-0000D7760000}"/>
    <cellStyle name="Note 2 4 2 5 4" xfId="32132" xr:uid="{00000000-0005-0000-0000-0000D8760000}"/>
    <cellStyle name="Note 2 4 2 6" xfId="7873" xr:uid="{00000000-0005-0000-0000-0000D9760000}"/>
    <cellStyle name="Note 2 4 2 6 2" xfId="14151" xr:uid="{00000000-0005-0000-0000-0000DA760000}"/>
    <cellStyle name="Note 2 4 2 6 2 2" xfId="27700" xr:uid="{00000000-0005-0000-0000-0000DB760000}"/>
    <cellStyle name="Note 2 4 2 6 3" xfId="32134" xr:uid="{00000000-0005-0000-0000-0000DC760000}"/>
    <cellStyle name="Note 2 4 2 7" xfId="7874" xr:uid="{00000000-0005-0000-0000-0000DD760000}"/>
    <cellStyle name="Note 2 4 2 7 2" xfId="16037" xr:uid="{00000000-0005-0000-0000-0000DE760000}"/>
    <cellStyle name="Note 2 4 2 7 2 2" xfId="29444" xr:uid="{00000000-0005-0000-0000-0000DF760000}"/>
    <cellStyle name="Note 2 4 2 7 3" xfId="32135" xr:uid="{00000000-0005-0000-0000-0000E0760000}"/>
    <cellStyle name="Note 2 4 2 8" xfId="10277" xr:uid="{00000000-0005-0000-0000-0000E1760000}"/>
    <cellStyle name="Note 2 4 2 9" xfId="32116" xr:uid="{00000000-0005-0000-0000-0000E2760000}"/>
    <cellStyle name="Note 2 4 3" xfId="7875" xr:uid="{00000000-0005-0000-0000-0000E3760000}"/>
    <cellStyle name="Note 2 4 3 2" xfId="7876" xr:uid="{00000000-0005-0000-0000-0000E4760000}"/>
    <cellStyle name="Note 2 4 3 2 2" xfId="7877" xr:uid="{00000000-0005-0000-0000-0000E5760000}"/>
    <cellStyle name="Note 2 4 3 2 2 2" xfId="11627" xr:uid="{00000000-0005-0000-0000-0000E6760000}"/>
    <cellStyle name="Note 2 4 3 2 2 3" xfId="32138" xr:uid="{00000000-0005-0000-0000-0000E7760000}"/>
    <cellStyle name="Note 2 4 3 2 3" xfId="7878" xr:uid="{00000000-0005-0000-0000-0000E8760000}"/>
    <cellStyle name="Note 2 4 3 2 3 2" xfId="16767" xr:uid="{00000000-0005-0000-0000-0000E9760000}"/>
    <cellStyle name="Note 2 4 3 2 3 2 2" xfId="30174" xr:uid="{00000000-0005-0000-0000-0000EA760000}"/>
    <cellStyle name="Note 2 4 3 2 3 3" xfId="32139" xr:uid="{00000000-0005-0000-0000-0000EB760000}"/>
    <cellStyle name="Note 2 4 3 2 4" xfId="10282" xr:uid="{00000000-0005-0000-0000-0000EC760000}"/>
    <cellStyle name="Note 2 4 3 2 5" xfId="32137" xr:uid="{00000000-0005-0000-0000-0000ED760000}"/>
    <cellStyle name="Note 2 4 3 3" xfId="7879" xr:uid="{00000000-0005-0000-0000-0000EE760000}"/>
    <cellStyle name="Note 2 4 3 3 2" xfId="7880" xr:uid="{00000000-0005-0000-0000-0000EF760000}"/>
    <cellStyle name="Note 2 4 3 3 2 2" xfId="13306" xr:uid="{00000000-0005-0000-0000-0000F0760000}"/>
    <cellStyle name="Note 2 4 3 3 2 3" xfId="32141" xr:uid="{00000000-0005-0000-0000-0000F1760000}"/>
    <cellStyle name="Note 2 4 3 3 3" xfId="12155" xr:uid="{00000000-0005-0000-0000-0000F2760000}"/>
    <cellStyle name="Note 2 4 3 3 3 2" xfId="25867" xr:uid="{00000000-0005-0000-0000-0000F3760000}"/>
    <cellStyle name="Note 2 4 3 3 4" xfId="32140" xr:uid="{00000000-0005-0000-0000-0000F4760000}"/>
    <cellStyle name="Note 2 4 3 4" xfId="7881" xr:uid="{00000000-0005-0000-0000-0000F5760000}"/>
    <cellStyle name="Note 2 4 3 4 2" xfId="7882" xr:uid="{00000000-0005-0000-0000-0000F6760000}"/>
    <cellStyle name="Note 2 4 3 4 2 2" xfId="15741" xr:uid="{00000000-0005-0000-0000-0000F7760000}"/>
    <cellStyle name="Note 2 4 3 4 2 3" xfId="32143" xr:uid="{00000000-0005-0000-0000-0000F8760000}"/>
    <cellStyle name="Note 2 4 3 4 3" xfId="13719" xr:uid="{00000000-0005-0000-0000-0000F9760000}"/>
    <cellStyle name="Note 2 4 3 4 3 2" xfId="27268" xr:uid="{00000000-0005-0000-0000-0000FA760000}"/>
    <cellStyle name="Note 2 4 3 4 4" xfId="32142" xr:uid="{00000000-0005-0000-0000-0000FB760000}"/>
    <cellStyle name="Note 2 4 3 5" xfId="7883" xr:uid="{00000000-0005-0000-0000-0000FC760000}"/>
    <cellStyle name="Note 2 4 3 5 2" xfId="14300" xr:uid="{00000000-0005-0000-0000-0000FD760000}"/>
    <cellStyle name="Note 2 4 3 5 2 2" xfId="27849" xr:uid="{00000000-0005-0000-0000-0000FE760000}"/>
    <cellStyle name="Note 2 4 3 5 3" xfId="32144" xr:uid="{00000000-0005-0000-0000-0000FF760000}"/>
    <cellStyle name="Note 2 4 3 6" xfId="7884" xr:uid="{00000000-0005-0000-0000-000000770000}"/>
    <cellStyle name="Note 2 4 3 6 2" xfId="16186" xr:uid="{00000000-0005-0000-0000-000001770000}"/>
    <cellStyle name="Note 2 4 3 6 2 2" xfId="29593" xr:uid="{00000000-0005-0000-0000-000002770000}"/>
    <cellStyle name="Note 2 4 3 6 3" xfId="32145" xr:uid="{00000000-0005-0000-0000-000003770000}"/>
    <cellStyle name="Note 2 4 3 7" xfId="10281" xr:uid="{00000000-0005-0000-0000-000004770000}"/>
    <cellStyle name="Note 2 4 3 8" xfId="32136" xr:uid="{00000000-0005-0000-0000-000005770000}"/>
    <cellStyle name="Note 2 4 4" xfId="7885" xr:uid="{00000000-0005-0000-0000-000006770000}"/>
    <cellStyle name="Note 2 4 4 2" xfId="7886" xr:uid="{00000000-0005-0000-0000-000007770000}"/>
    <cellStyle name="Note 2 4 4 2 2" xfId="11628" xr:uid="{00000000-0005-0000-0000-000008770000}"/>
    <cellStyle name="Note 2 4 4 2 3" xfId="32147" xr:uid="{00000000-0005-0000-0000-000009770000}"/>
    <cellStyle name="Note 2 4 4 3" xfId="7887" xr:uid="{00000000-0005-0000-0000-00000A770000}"/>
    <cellStyle name="Note 2 4 4 3 2" xfId="16475" xr:uid="{00000000-0005-0000-0000-00000B770000}"/>
    <cellStyle name="Note 2 4 4 3 2 2" xfId="29882" xr:uid="{00000000-0005-0000-0000-00000C770000}"/>
    <cellStyle name="Note 2 4 4 3 3" xfId="32148" xr:uid="{00000000-0005-0000-0000-00000D770000}"/>
    <cellStyle name="Note 2 4 4 4" xfId="10283" xr:uid="{00000000-0005-0000-0000-00000E770000}"/>
    <cellStyle name="Note 2 4 4 5" xfId="32146" xr:uid="{00000000-0005-0000-0000-00000F770000}"/>
    <cellStyle name="Note 2 4 5" xfId="7888" xr:uid="{00000000-0005-0000-0000-000010770000}"/>
    <cellStyle name="Note 2 4 5 2" xfId="7889" xr:uid="{00000000-0005-0000-0000-000011770000}"/>
    <cellStyle name="Note 2 4 5 2 2" xfId="13307" xr:uid="{00000000-0005-0000-0000-000012770000}"/>
    <cellStyle name="Note 2 4 5 2 3" xfId="32150" xr:uid="{00000000-0005-0000-0000-000013770000}"/>
    <cellStyle name="Note 2 4 5 3" xfId="11826" xr:uid="{00000000-0005-0000-0000-000014770000}"/>
    <cellStyle name="Note 2 4 5 3 2" xfId="25541" xr:uid="{00000000-0005-0000-0000-000015770000}"/>
    <cellStyle name="Note 2 4 5 4" xfId="32149" xr:uid="{00000000-0005-0000-0000-000016770000}"/>
    <cellStyle name="Note 2 4 6" xfId="7890" xr:uid="{00000000-0005-0000-0000-000017770000}"/>
    <cellStyle name="Note 2 4 6 2" xfId="7891" xr:uid="{00000000-0005-0000-0000-000018770000}"/>
    <cellStyle name="Note 2 4 6 2 2" xfId="15742" xr:uid="{00000000-0005-0000-0000-000019770000}"/>
    <cellStyle name="Note 2 4 6 2 3" xfId="32152" xr:uid="{00000000-0005-0000-0000-00001A770000}"/>
    <cellStyle name="Note 2 4 6 3" xfId="13427" xr:uid="{00000000-0005-0000-0000-00001B770000}"/>
    <cellStyle name="Note 2 4 6 3 2" xfId="26976" xr:uid="{00000000-0005-0000-0000-00001C770000}"/>
    <cellStyle name="Note 2 4 6 4" xfId="32151" xr:uid="{00000000-0005-0000-0000-00001D770000}"/>
    <cellStyle name="Note 2 4 7" xfId="7892" xr:uid="{00000000-0005-0000-0000-00001E770000}"/>
    <cellStyle name="Note 2 4 7 2" xfId="14008" xr:uid="{00000000-0005-0000-0000-00001F770000}"/>
    <cellStyle name="Note 2 4 7 2 2" xfId="27557" xr:uid="{00000000-0005-0000-0000-000020770000}"/>
    <cellStyle name="Note 2 4 7 3" xfId="32153" xr:uid="{00000000-0005-0000-0000-000021770000}"/>
    <cellStyle name="Note 2 4 8" xfId="7893" xr:uid="{00000000-0005-0000-0000-000022770000}"/>
    <cellStyle name="Note 2 4 8 2" xfId="15894" xr:uid="{00000000-0005-0000-0000-000023770000}"/>
    <cellStyle name="Note 2 4 8 2 2" xfId="29301" xr:uid="{00000000-0005-0000-0000-000024770000}"/>
    <cellStyle name="Note 2 4 8 3" xfId="32154" xr:uid="{00000000-0005-0000-0000-000025770000}"/>
    <cellStyle name="Note 2 4 9" xfId="10276" xr:uid="{00000000-0005-0000-0000-000026770000}"/>
    <cellStyle name="Note 2 5" xfId="7894" xr:uid="{00000000-0005-0000-0000-000027770000}"/>
    <cellStyle name="Note 2 5 10" xfId="32155" xr:uid="{00000000-0005-0000-0000-000028770000}"/>
    <cellStyle name="Note 2 5 2" xfId="7895" xr:uid="{00000000-0005-0000-0000-000029770000}"/>
    <cellStyle name="Note 2 5 2 2" xfId="7896" xr:uid="{00000000-0005-0000-0000-00002A770000}"/>
    <cellStyle name="Note 2 5 2 2 2" xfId="7897" xr:uid="{00000000-0005-0000-0000-00002B770000}"/>
    <cellStyle name="Note 2 5 2 2 2 2" xfId="7898" xr:uid="{00000000-0005-0000-0000-00002C770000}"/>
    <cellStyle name="Note 2 5 2 2 2 2 2" xfId="11629" xr:uid="{00000000-0005-0000-0000-00002D770000}"/>
    <cellStyle name="Note 2 5 2 2 2 2 3" xfId="32159" xr:uid="{00000000-0005-0000-0000-00002E770000}"/>
    <cellStyle name="Note 2 5 2 2 2 3" xfId="7899" xr:uid="{00000000-0005-0000-0000-00002F770000}"/>
    <cellStyle name="Note 2 5 2 2 2 3 2" xfId="16890" xr:uid="{00000000-0005-0000-0000-000030770000}"/>
    <cellStyle name="Note 2 5 2 2 2 3 2 2" xfId="30297" xr:uid="{00000000-0005-0000-0000-000031770000}"/>
    <cellStyle name="Note 2 5 2 2 2 3 3" xfId="32160" xr:uid="{00000000-0005-0000-0000-000032770000}"/>
    <cellStyle name="Note 2 5 2 2 2 4" xfId="10287" xr:uid="{00000000-0005-0000-0000-000033770000}"/>
    <cellStyle name="Note 2 5 2 2 2 5" xfId="32158" xr:uid="{00000000-0005-0000-0000-000034770000}"/>
    <cellStyle name="Note 2 5 2 2 3" xfId="7900" xr:uid="{00000000-0005-0000-0000-000035770000}"/>
    <cellStyle name="Note 2 5 2 2 3 2" xfId="7901" xr:uid="{00000000-0005-0000-0000-000036770000}"/>
    <cellStyle name="Note 2 5 2 2 3 2 2" xfId="13308" xr:uid="{00000000-0005-0000-0000-000037770000}"/>
    <cellStyle name="Note 2 5 2 2 3 2 3" xfId="32162" xr:uid="{00000000-0005-0000-0000-000038770000}"/>
    <cellStyle name="Note 2 5 2 2 3 3" xfId="12278" xr:uid="{00000000-0005-0000-0000-000039770000}"/>
    <cellStyle name="Note 2 5 2 2 3 3 2" xfId="25990" xr:uid="{00000000-0005-0000-0000-00003A770000}"/>
    <cellStyle name="Note 2 5 2 2 3 4" xfId="32161" xr:uid="{00000000-0005-0000-0000-00003B770000}"/>
    <cellStyle name="Note 2 5 2 2 4" xfId="7902" xr:uid="{00000000-0005-0000-0000-00003C770000}"/>
    <cellStyle name="Note 2 5 2 2 4 2" xfId="7903" xr:uid="{00000000-0005-0000-0000-00003D770000}"/>
    <cellStyle name="Note 2 5 2 2 4 2 2" xfId="15743" xr:uid="{00000000-0005-0000-0000-00003E770000}"/>
    <cellStyle name="Note 2 5 2 2 4 2 3" xfId="32164" xr:uid="{00000000-0005-0000-0000-00003F770000}"/>
    <cellStyle name="Note 2 5 2 2 4 3" xfId="13842" xr:uid="{00000000-0005-0000-0000-000040770000}"/>
    <cellStyle name="Note 2 5 2 2 4 3 2" xfId="27391" xr:uid="{00000000-0005-0000-0000-000041770000}"/>
    <cellStyle name="Note 2 5 2 2 4 4" xfId="32163" xr:uid="{00000000-0005-0000-0000-000042770000}"/>
    <cellStyle name="Note 2 5 2 2 5" xfId="7904" xr:uid="{00000000-0005-0000-0000-000043770000}"/>
    <cellStyle name="Note 2 5 2 2 5 2" xfId="14423" xr:uid="{00000000-0005-0000-0000-000044770000}"/>
    <cellStyle name="Note 2 5 2 2 5 2 2" xfId="27972" xr:uid="{00000000-0005-0000-0000-000045770000}"/>
    <cellStyle name="Note 2 5 2 2 5 3" xfId="32165" xr:uid="{00000000-0005-0000-0000-000046770000}"/>
    <cellStyle name="Note 2 5 2 2 6" xfId="7905" xr:uid="{00000000-0005-0000-0000-000047770000}"/>
    <cellStyle name="Note 2 5 2 2 6 2" xfId="16309" xr:uid="{00000000-0005-0000-0000-000048770000}"/>
    <cellStyle name="Note 2 5 2 2 6 2 2" xfId="29716" xr:uid="{00000000-0005-0000-0000-000049770000}"/>
    <cellStyle name="Note 2 5 2 2 6 3" xfId="32166" xr:uid="{00000000-0005-0000-0000-00004A770000}"/>
    <cellStyle name="Note 2 5 2 2 7" xfId="10286" xr:uid="{00000000-0005-0000-0000-00004B770000}"/>
    <cellStyle name="Note 2 5 2 2 8" xfId="32157" xr:uid="{00000000-0005-0000-0000-00004C770000}"/>
    <cellStyle name="Note 2 5 2 3" xfId="7906" xr:uid="{00000000-0005-0000-0000-00004D770000}"/>
    <cellStyle name="Note 2 5 2 3 2" xfId="7907" xr:uid="{00000000-0005-0000-0000-00004E770000}"/>
    <cellStyle name="Note 2 5 2 3 2 2" xfId="11630" xr:uid="{00000000-0005-0000-0000-00004F770000}"/>
    <cellStyle name="Note 2 5 2 3 2 3" xfId="32168" xr:uid="{00000000-0005-0000-0000-000050770000}"/>
    <cellStyle name="Note 2 5 2 3 3" xfId="7908" xr:uid="{00000000-0005-0000-0000-000051770000}"/>
    <cellStyle name="Note 2 5 2 3 3 2" xfId="16601" xr:uid="{00000000-0005-0000-0000-000052770000}"/>
    <cellStyle name="Note 2 5 2 3 3 2 2" xfId="30008" xr:uid="{00000000-0005-0000-0000-000053770000}"/>
    <cellStyle name="Note 2 5 2 3 3 3" xfId="32169" xr:uid="{00000000-0005-0000-0000-000054770000}"/>
    <cellStyle name="Note 2 5 2 3 4" xfId="10288" xr:uid="{00000000-0005-0000-0000-000055770000}"/>
    <cellStyle name="Note 2 5 2 3 5" xfId="32167" xr:uid="{00000000-0005-0000-0000-000056770000}"/>
    <cellStyle name="Note 2 5 2 4" xfId="7909" xr:uid="{00000000-0005-0000-0000-000057770000}"/>
    <cellStyle name="Note 2 5 2 4 2" xfId="7910" xr:uid="{00000000-0005-0000-0000-000058770000}"/>
    <cellStyle name="Note 2 5 2 4 2 2" xfId="13309" xr:uid="{00000000-0005-0000-0000-000059770000}"/>
    <cellStyle name="Note 2 5 2 4 2 3" xfId="32171" xr:uid="{00000000-0005-0000-0000-00005A770000}"/>
    <cellStyle name="Note 2 5 2 4 3" xfId="11978" xr:uid="{00000000-0005-0000-0000-00005B770000}"/>
    <cellStyle name="Note 2 5 2 4 3 2" xfId="25693" xr:uid="{00000000-0005-0000-0000-00005C770000}"/>
    <cellStyle name="Note 2 5 2 4 4" xfId="32170" xr:uid="{00000000-0005-0000-0000-00005D770000}"/>
    <cellStyle name="Note 2 5 2 5" xfId="7911" xr:uid="{00000000-0005-0000-0000-00005E770000}"/>
    <cellStyle name="Note 2 5 2 5 2" xfId="7912" xr:uid="{00000000-0005-0000-0000-00005F770000}"/>
    <cellStyle name="Note 2 5 2 5 2 2" xfId="15744" xr:uid="{00000000-0005-0000-0000-000060770000}"/>
    <cellStyle name="Note 2 5 2 5 2 3" xfId="32173" xr:uid="{00000000-0005-0000-0000-000061770000}"/>
    <cellStyle name="Note 2 5 2 5 3" xfId="13553" xr:uid="{00000000-0005-0000-0000-000062770000}"/>
    <cellStyle name="Note 2 5 2 5 3 2" xfId="27102" xr:uid="{00000000-0005-0000-0000-000063770000}"/>
    <cellStyle name="Note 2 5 2 5 4" xfId="32172" xr:uid="{00000000-0005-0000-0000-000064770000}"/>
    <cellStyle name="Note 2 5 2 6" xfId="7913" xr:uid="{00000000-0005-0000-0000-000065770000}"/>
    <cellStyle name="Note 2 5 2 6 2" xfId="14134" xr:uid="{00000000-0005-0000-0000-000066770000}"/>
    <cellStyle name="Note 2 5 2 6 2 2" xfId="27683" xr:uid="{00000000-0005-0000-0000-000067770000}"/>
    <cellStyle name="Note 2 5 2 6 3" xfId="32174" xr:uid="{00000000-0005-0000-0000-000068770000}"/>
    <cellStyle name="Note 2 5 2 7" xfId="7914" xr:uid="{00000000-0005-0000-0000-000069770000}"/>
    <cellStyle name="Note 2 5 2 7 2" xfId="16020" xr:uid="{00000000-0005-0000-0000-00006A770000}"/>
    <cellStyle name="Note 2 5 2 7 2 2" xfId="29427" xr:uid="{00000000-0005-0000-0000-00006B770000}"/>
    <cellStyle name="Note 2 5 2 7 3" xfId="32175" xr:uid="{00000000-0005-0000-0000-00006C770000}"/>
    <cellStyle name="Note 2 5 2 8" xfId="10285" xr:uid="{00000000-0005-0000-0000-00006D770000}"/>
    <cellStyle name="Note 2 5 2 9" xfId="32156" xr:uid="{00000000-0005-0000-0000-00006E770000}"/>
    <cellStyle name="Note 2 5 3" xfId="7915" xr:uid="{00000000-0005-0000-0000-00006F770000}"/>
    <cellStyle name="Note 2 5 3 2" xfId="7916" xr:uid="{00000000-0005-0000-0000-000070770000}"/>
    <cellStyle name="Note 2 5 3 2 2" xfId="7917" xr:uid="{00000000-0005-0000-0000-000071770000}"/>
    <cellStyle name="Note 2 5 3 2 2 2" xfId="11631" xr:uid="{00000000-0005-0000-0000-000072770000}"/>
    <cellStyle name="Note 2 5 3 2 2 3" xfId="32178" xr:uid="{00000000-0005-0000-0000-000073770000}"/>
    <cellStyle name="Note 2 5 3 2 3" xfId="7918" xr:uid="{00000000-0005-0000-0000-000074770000}"/>
    <cellStyle name="Note 2 5 3 2 3 2" xfId="16750" xr:uid="{00000000-0005-0000-0000-000075770000}"/>
    <cellStyle name="Note 2 5 3 2 3 2 2" xfId="30157" xr:uid="{00000000-0005-0000-0000-000076770000}"/>
    <cellStyle name="Note 2 5 3 2 3 3" xfId="32179" xr:uid="{00000000-0005-0000-0000-000077770000}"/>
    <cellStyle name="Note 2 5 3 2 4" xfId="10290" xr:uid="{00000000-0005-0000-0000-000078770000}"/>
    <cellStyle name="Note 2 5 3 2 5" xfId="32177" xr:uid="{00000000-0005-0000-0000-000079770000}"/>
    <cellStyle name="Note 2 5 3 3" xfId="7919" xr:uid="{00000000-0005-0000-0000-00007A770000}"/>
    <cellStyle name="Note 2 5 3 3 2" xfId="7920" xr:uid="{00000000-0005-0000-0000-00007B770000}"/>
    <cellStyle name="Note 2 5 3 3 2 2" xfId="13310" xr:uid="{00000000-0005-0000-0000-00007C770000}"/>
    <cellStyle name="Note 2 5 3 3 2 3" xfId="32181" xr:uid="{00000000-0005-0000-0000-00007D770000}"/>
    <cellStyle name="Note 2 5 3 3 3" xfId="12138" xr:uid="{00000000-0005-0000-0000-00007E770000}"/>
    <cellStyle name="Note 2 5 3 3 3 2" xfId="25850" xr:uid="{00000000-0005-0000-0000-00007F770000}"/>
    <cellStyle name="Note 2 5 3 3 4" xfId="32180" xr:uid="{00000000-0005-0000-0000-000080770000}"/>
    <cellStyle name="Note 2 5 3 4" xfId="7921" xr:uid="{00000000-0005-0000-0000-000081770000}"/>
    <cellStyle name="Note 2 5 3 4 2" xfId="7922" xr:uid="{00000000-0005-0000-0000-000082770000}"/>
    <cellStyle name="Note 2 5 3 4 2 2" xfId="15745" xr:uid="{00000000-0005-0000-0000-000083770000}"/>
    <cellStyle name="Note 2 5 3 4 2 3" xfId="32183" xr:uid="{00000000-0005-0000-0000-000084770000}"/>
    <cellStyle name="Note 2 5 3 4 3" xfId="13702" xr:uid="{00000000-0005-0000-0000-000085770000}"/>
    <cellStyle name="Note 2 5 3 4 3 2" xfId="27251" xr:uid="{00000000-0005-0000-0000-000086770000}"/>
    <cellStyle name="Note 2 5 3 4 4" xfId="32182" xr:uid="{00000000-0005-0000-0000-000087770000}"/>
    <cellStyle name="Note 2 5 3 5" xfId="7923" xr:uid="{00000000-0005-0000-0000-000088770000}"/>
    <cellStyle name="Note 2 5 3 5 2" xfId="14283" xr:uid="{00000000-0005-0000-0000-000089770000}"/>
    <cellStyle name="Note 2 5 3 5 2 2" xfId="27832" xr:uid="{00000000-0005-0000-0000-00008A770000}"/>
    <cellStyle name="Note 2 5 3 5 3" xfId="32184" xr:uid="{00000000-0005-0000-0000-00008B770000}"/>
    <cellStyle name="Note 2 5 3 6" xfId="7924" xr:uid="{00000000-0005-0000-0000-00008C770000}"/>
    <cellStyle name="Note 2 5 3 6 2" xfId="16169" xr:uid="{00000000-0005-0000-0000-00008D770000}"/>
    <cellStyle name="Note 2 5 3 6 2 2" xfId="29576" xr:uid="{00000000-0005-0000-0000-00008E770000}"/>
    <cellStyle name="Note 2 5 3 6 3" xfId="32185" xr:uid="{00000000-0005-0000-0000-00008F770000}"/>
    <cellStyle name="Note 2 5 3 7" xfId="10289" xr:uid="{00000000-0005-0000-0000-000090770000}"/>
    <cellStyle name="Note 2 5 3 8" xfId="32176" xr:uid="{00000000-0005-0000-0000-000091770000}"/>
    <cellStyle name="Note 2 5 4" xfId="7925" xr:uid="{00000000-0005-0000-0000-000092770000}"/>
    <cellStyle name="Note 2 5 4 2" xfId="7926" xr:uid="{00000000-0005-0000-0000-000093770000}"/>
    <cellStyle name="Note 2 5 4 2 2" xfId="11632" xr:uid="{00000000-0005-0000-0000-000094770000}"/>
    <cellStyle name="Note 2 5 4 2 3" xfId="32187" xr:uid="{00000000-0005-0000-0000-000095770000}"/>
    <cellStyle name="Note 2 5 4 3" xfId="7927" xr:uid="{00000000-0005-0000-0000-000096770000}"/>
    <cellStyle name="Note 2 5 4 3 2" xfId="16458" xr:uid="{00000000-0005-0000-0000-000097770000}"/>
    <cellStyle name="Note 2 5 4 3 2 2" xfId="29865" xr:uid="{00000000-0005-0000-0000-000098770000}"/>
    <cellStyle name="Note 2 5 4 3 3" xfId="32188" xr:uid="{00000000-0005-0000-0000-000099770000}"/>
    <cellStyle name="Note 2 5 4 4" xfId="10291" xr:uid="{00000000-0005-0000-0000-00009A770000}"/>
    <cellStyle name="Note 2 5 4 5" xfId="32186" xr:uid="{00000000-0005-0000-0000-00009B770000}"/>
    <cellStyle name="Note 2 5 5" xfId="7928" xr:uid="{00000000-0005-0000-0000-00009C770000}"/>
    <cellStyle name="Note 2 5 5 2" xfId="7929" xr:uid="{00000000-0005-0000-0000-00009D770000}"/>
    <cellStyle name="Note 2 5 5 2 2" xfId="13311" xr:uid="{00000000-0005-0000-0000-00009E770000}"/>
    <cellStyle name="Note 2 5 5 2 3" xfId="32190" xr:uid="{00000000-0005-0000-0000-00009F770000}"/>
    <cellStyle name="Note 2 5 5 3" xfId="11809" xr:uid="{00000000-0005-0000-0000-0000A0770000}"/>
    <cellStyle name="Note 2 5 5 3 2" xfId="25524" xr:uid="{00000000-0005-0000-0000-0000A1770000}"/>
    <cellStyle name="Note 2 5 5 4" xfId="32189" xr:uid="{00000000-0005-0000-0000-0000A2770000}"/>
    <cellStyle name="Note 2 5 6" xfId="7930" xr:uid="{00000000-0005-0000-0000-0000A3770000}"/>
    <cellStyle name="Note 2 5 6 2" xfId="7931" xr:uid="{00000000-0005-0000-0000-0000A4770000}"/>
    <cellStyle name="Note 2 5 6 2 2" xfId="15746" xr:uid="{00000000-0005-0000-0000-0000A5770000}"/>
    <cellStyle name="Note 2 5 6 2 3" xfId="32192" xr:uid="{00000000-0005-0000-0000-0000A6770000}"/>
    <cellStyle name="Note 2 5 6 3" xfId="13410" xr:uid="{00000000-0005-0000-0000-0000A7770000}"/>
    <cellStyle name="Note 2 5 6 3 2" xfId="26959" xr:uid="{00000000-0005-0000-0000-0000A8770000}"/>
    <cellStyle name="Note 2 5 6 4" xfId="32191" xr:uid="{00000000-0005-0000-0000-0000A9770000}"/>
    <cellStyle name="Note 2 5 7" xfId="7932" xr:uid="{00000000-0005-0000-0000-0000AA770000}"/>
    <cellStyle name="Note 2 5 7 2" xfId="13991" xr:uid="{00000000-0005-0000-0000-0000AB770000}"/>
    <cellStyle name="Note 2 5 7 2 2" xfId="27540" xr:uid="{00000000-0005-0000-0000-0000AC770000}"/>
    <cellStyle name="Note 2 5 7 3" xfId="32193" xr:uid="{00000000-0005-0000-0000-0000AD770000}"/>
    <cellStyle name="Note 2 5 8" xfId="7933" xr:uid="{00000000-0005-0000-0000-0000AE770000}"/>
    <cellStyle name="Note 2 5 8 2" xfId="15877" xr:uid="{00000000-0005-0000-0000-0000AF770000}"/>
    <cellStyle name="Note 2 5 8 2 2" xfId="29284" xr:uid="{00000000-0005-0000-0000-0000B0770000}"/>
    <cellStyle name="Note 2 5 8 3" xfId="32194" xr:uid="{00000000-0005-0000-0000-0000B1770000}"/>
    <cellStyle name="Note 2 5 9" xfId="10284" xr:uid="{00000000-0005-0000-0000-0000B2770000}"/>
    <cellStyle name="Note 2 6" xfId="7934" xr:uid="{00000000-0005-0000-0000-0000B3770000}"/>
    <cellStyle name="Note 2 6 10" xfId="32195" xr:uid="{00000000-0005-0000-0000-0000B4770000}"/>
    <cellStyle name="Note 2 6 2" xfId="7935" xr:uid="{00000000-0005-0000-0000-0000B5770000}"/>
    <cellStyle name="Note 2 6 2 2" xfId="7936" xr:uid="{00000000-0005-0000-0000-0000B6770000}"/>
    <cellStyle name="Note 2 6 2 2 2" xfId="7937" xr:uid="{00000000-0005-0000-0000-0000B7770000}"/>
    <cellStyle name="Note 2 6 2 2 2 2" xfId="7938" xr:uid="{00000000-0005-0000-0000-0000B8770000}"/>
    <cellStyle name="Note 2 6 2 2 2 2 2" xfId="11633" xr:uid="{00000000-0005-0000-0000-0000B9770000}"/>
    <cellStyle name="Note 2 6 2 2 2 2 3" xfId="32199" xr:uid="{00000000-0005-0000-0000-0000BA770000}"/>
    <cellStyle name="Note 2 6 2 2 2 3" xfId="7939" xr:uid="{00000000-0005-0000-0000-0000BB770000}"/>
    <cellStyle name="Note 2 6 2 2 2 3 2" xfId="16996" xr:uid="{00000000-0005-0000-0000-0000BC770000}"/>
    <cellStyle name="Note 2 6 2 2 2 3 2 2" xfId="30403" xr:uid="{00000000-0005-0000-0000-0000BD770000}"/>
    <cellStyle name="Note 2 6 2 2 2 3 3" xfId="32200" xr:uid="{00000000-0005-0000-0000-0000BE770000}"/>
    <cellStyle name="Note 2 6 2 2 2 4" xfId="10295" xr:uid="{00000000-0005-0000-0000-0000BF770000}"/>
    <cellStyle name="Note 2 6 2 2 2 5" xfId="32198" xr:uid="{00000000-0005-0000-0000-0000C0770000}"/>
    <cellStyle name="Note 2 6 2 2 3" xfId="7940" xr:uid="{00000000-0005-0000-0000-0000C1770000}"/>
    <cellStyle name="Note 2 6 2 2 3 2" xfId="7941" xr:uid="{00000000-0005-0000-0000-0000C2770000}"/>
    <cellStyle name="Note 2 6 2 2 3 2 2" xfId="13312" xr:uid="{00000000-0005-0000-0000-0000C3770000}"/>
    <cellStyle name="Note 2 6 2 2 3 2 3" xfId="32202" xr:uid="{00000000-0005-0000-0000-0000C4770000}"/>
    <cellStyle name="Note 2 6 2 2 3 3" xfId="12384" xr:uid="{00000000-0005-0000-0000-0000C5770000}"/>
    <cellStyle name="Note 2 6 2 2 3 3 2" xfId="26096" xr:uid="{00000000-0005-0000-0000-0000C6770000}"/>
    <cellStyle name="Note 2 6 2 2 3 4" xfId="32201" xr:uid="{00000000-0005-0000-0000-0000C7770000}"/>
    <cellStyle name="Note 2 6 2 2 4" xfId="7942" xr:uid="{00000000-0005-0000-0000-0000C8770000}"/>
    <cellStyle name="Note 2 6 2 2 4 2" xfId="7943" xr:uid="{00000000-0005-0000-0000-0000C9770000}"/>
    <cellStyle name="Note 2 6 2 2 4 2 2" xfId="15747" xr:uid="{00000000-0005-0000-0000-0000CA770000}"/>
    <cellStyle name="Note 2 6 2 2 4 2 3" xfId="32204" xr:uid="{00000000-0005-0000-0000-0000CB770000}"/>
    <cellStyle name="Note 2 6 2 2 4 3" xfId="13948" xr:uid="{00000000-0005-0000-0000-0000CC770000}"/>
    <cellStyle name="Note 2 6 2 2 4 3 2" xfId="27497" xr:uid="{00000000-0005-0000-0000-0000CD770000}"/>
    <cellStyle name="Note 2 6 2 2 4 4" xfId="32203" xr:uid="{00000000-0005-0000-0000-0000CE770000}"/>
    <cellStyle name="Note 2 6 2 2 5" xfId="7944" xr:uid="{00000000-0005-0000-0000-0000CF770000}"/>
    <cellStyle name="Note 2 6 2 2 5 2" xfId="14529" xr:uid="{00000000-0005-0000-0000-0000D0770000}"/>
    <cellStyle name="Note 2 6 2 2 5 2 2" xfId="28078" xr:uid="{00000000-0005-0000-0000-0000D1770000}"/>
    <cellStyle name="Note 2 6 2 2 5 3" xfId="32205" xr:uid="{00000000-0005-0000-0000-0000D2770000}"/>
    <cellStyle name="Note 2 6 2 2 6" xfId="7945" xr:uid="{00000000-0005-0000-0000-0000D3770000}"/>
    <cellStyle name="Note 2 6 2 2 6 2" xfId="16415" xr:uid="{00000000-0005-0000-0000-0000D4770000}"/>
    <cellStyle name="Note 2 6 2 2 6 2 2" xfId="29822" xr:uid="{00000000-0005-0000-0000-0000D5770000}"/>
    <cellStyle name="Note 2 6 2 2 6 3" xfId="32206" xr:uid="{00000000-0005-0000-0000-0000D6770000}"/>
    <cellStyle name="Note 2 6 2 2 7" xfId="10294" xr:uid="{00000000-0005-0000-0000-0000D7770000}"/>
    <cellStyle name="Note 2 6 2 2 8" xfId="32197" xr:uid="{00000000-0005-0000-0000-0000D8770000}"/>
    <cellStyle name="Note 2 6 2 3" xfId="7946" xr:uid="{00000000-0005-0000-0000-0000D9770000}"/>
    <cellStyle name="Note 2 6 2 3 2" xfId="7947" xr:uid="{00000000-0005-0000-0000-0000DA770000}"/>
    <cellStyle name="Note 2 6 2 3 2 2" xfId="11634" xr:uid="{00000000-0005-0000-0000-0000DB770000}"/>
    <cellStyle name="Note 2 6 2 3 2 3" xfId="32208" xr:uid="{00000000-0005-0000-0000-0000DC770000}"/>
    <cellStyle name="Note 2 6 2 3 3" xfId="7948" xr:uid="{00000000-0005-0000-0000-0000DD770000}"/>
    <cellStyle name="Note 2 6 2 3 3 2" xfId="16707" xr:uid="{00000000-0005-0000-0000-0000DE770000}"/>
    <cellStyle name="Note 2 6 2 3 3 2 2" xfId="30114" xr:uid="{00000000-0005-0000-0000-0000DF770000}"/>
    <cellStyle name="Note 2 6 2 3 3 3" xfId="32209" xr:uid="{00000000-0005-0000-0000-0000E0770000}"/>
    <cellStyle name="Note 2 6 2 3 4" xfId="10296" xr:uid="{00000000-0005-0000-0000-0000E1770000}"/>
    <cellStyle name="Note 2 6 2 3 5" xfId="32207" xr:uid="{00000000-0005-0000-0000-0000E2770000}"/>
    <cellStyle name="Note 2 6 2 4" xfId="7949" xr:uid="{00000000-0005-0000-0000-0000E3770000}"/>
    <cellStyle name="Note 2 6 2 4 2" xfId="7950" xr:uid="{00000000-0005-0000-0000-0000E4770000}"/>
    <cellStyle name="Note 2 6 2 4 2 2" xfId="13313" xr:uid="{00000000-0005-0000-0000-0000E5770000}"/>
    <cellStyle name="Note 2 6 2 4 2 3" xfId="32211" xr:uid="{00000000-0005-0000-0000-0000E6770000}"/>
    <cellStyle name="Note 2 6 2 4 3" xfId="12084" xr:uid="{00000000-0005-0000-0000-0000E7770000}"/>
    <cellStyle name="Note 2 6 2 4 3 2" xfId="25799" xr:uid="{00000000-0005-0000-0000-0000E8770000}"/>
    <cellStyle name="Note 2 6 2 4 4" xfId="32210" xr:uid="{00000000-0005-0000-0000-0000E9770000}"/>
    <cellStyle name="Note 2 6 2 5" xfId="7951" xr:uid="{00000000-0005-0000-0000-0000EA770000}"/>
    <cellStyle name="Note 2 6 2 5 2" xfId="7952" xr:uid="{00000000-0005-0000-0000-0000EB770000}"/>
    <cellStyle name="Note 2 6 2 5 2 2" xfId="15748" xr:uid="{00000000-0005-0000-0000-0000EC770000}"/>
    <cellStyle name="Note 2 6 2 5 2 3" xfId="32213" xr:uid="{00000000-0005-0000-0000-0000ED770000}"/>
    <cellStyle name="Note 2 6 2 5 3" xfId="13659" xr:uid="{00000000-0005-0000-0000-0000EE770000}"/>
    <cellStyle name="Note 2 6 2 5 3 2" xfId="27208" xr:uid="{00000000-0005-0000-0000-0000EF770000}"/>
    <cellStyle name="Note 2 6 2 5 4" xfId="32212" xr:uid="{00000000-0005-0000-0000-0000F0770000}"/>
    <cellStyle name="Note 2 6 2 6" xfId="7953" xr:uid="{00000000-0005-0000-0000-0000F1770000}"/>
    <cellStyle name="Note 2 6 2 6 2" xfId="14240" xr:uid="{00000000-0005-0000-0000-0000F2770000}"/>
    <cellStyle name="Note 2 6 2 6 2 2" xfId="27789" xr:uid="{00000000-0005-0000-0000-0000F3770000}"/>
    <cellStyle name="Note 2 6 2 6 3" xfId="32214" xr:uid="{00000000-0005-0000-0000-0000F4770000}"/>
    <cellStyle name="Note 2 6 2 7" xfId="7954" xr:uid="{00000000-0005-0000-0000-0000F5770000}"/>
    <cellStyle name="Note 2 6 2 7 2" xfId="16126" xr:uid="{00000000-0005-0000-0000-0000F6770000}"/>
    <cellStyle name="Note 2 6 2 7 2 2" xfId="29533" xr:uid="{00000000-0005-0000-0000-0000F7770000}"/>
    <cellStyle name="Note 2 6 2 7 3" xfId="32215" xr:uid="{00000000-0005-0000-0000-0000F8770000}"/>
    <cellStyle name="Note 2 6 2 8" xfId="10293" xr:uid="{00000000-0005-0000-0000-0000F9770000}"/>
    <cellStyle name="Note 2 6 2 9" xfId="32196" xr:uid="{00000000-0005-0000-0000-0000FA770000}"/>
    <cellStyle name="Note 2 6 3" xfId="7955" xr:uid="{00000000-0005-0000-0000-0000FB770000}"/>
    <cellStyle name="Note 2 6 3 2" xfId="7956" xr:uid="{00000000-0005-0000-0000-0000FC770000}"/>
    <cellStyle name="Note 2 6 3 2 2" xfId="7957" xr:uid="{00000000-0005-0000-0000-0000FD770000}"/>
    <cellStyle name="Note 2 6 3 2 2 2" xfId="11635" xr:uid="{00000000-0005-0000-0000-0000FE770000}"/>
    <cellStyle name="Note 2 6 3 2 2 3" xfId="32218" xr:uid="{00000000-0005-0000-0000-0000FF770000}"/>
    <cellStyle name="Note 2 6 3 2 3" xfId="7958" xr:uid="{00000000-0005-0000-0000-000000780000}"/>
    <cellStyle name="Note 2 6 3 2 3 2" xfId="16853" xr:uid="{00000000-0005-0000-0000-000001780000}"/>
    <cellStyle name="Note 2 6 3 2 3 2 2" xfId="30260" xr:uid="{00000000-0005-0000-0000-000002780000}"/>
    <cellStyle name="Note 2 6 3 2 3 3" xfId="32219" xr:uid="{00000000-0005-0000-0000-000003780000}"/>
    <cellStyle name="Note 2 6 3 2 4" xfId="10298" xr:uid="{00000000-0005-0000-0000-000004780000}"/>
    <cellStyle name="Note 2 6 3 2 5" xfId="32217" xr:uid="{00000000-0005-0000-0000-000005780000}"/>
    <cellStyle name="Note 2 6 3 3" xfId="7959" xr:uid="{00000000-0005-0000-0000-000006780000}"/>
    <cellStyle name="Note 2 6 3 3 2" xfId="7960" xr:uid="{00000000-0005-0000-0000-000007780000}"/>
    <cellStyle name="Note 2 6 3 3 2 2" xfId="13314" xr:uid="{00000000-0005-0000-0000-000008780000}"/>
    <cellStyle name="Note 2 6 3 3 2 3" xfId="32221" xr:uid="{00000000-0005-0000-0000-000009780000}"/>
    <cellStyle name="Note 2 6 3 3 3" xfId="12241" xr:uid="{00000000-0005-0000-0000-00000A780000}"/>
    <cellStyle name="Note 2 6 3 3 3 2" xfId="25953" xr:uid="{00000000-0005-0000-0000-00000B780000}"/>
    <cellStyle name="Note 2 6 3 3 4" xfId="32220" xr:uid="{00000000-0005-0000-0000-00000C780000}"/>
    <cellStyle name="Note 2 6 3 4" xfId="7961" xr:uid="{00000000-0005-0000-0000-00000D780000}"/>
    <cellStyle name="Note 2 6 3 4 2" xfId="7962" xr:uid="{00000000-0005-0000-0000-00000E780000}"/>
    <cellStyle name="Note 2 6 3 4 2 2" xfId="15749" xr:uid="{00000000-0005-0000-0000-00000F780000}"/>
    <cellStyle name="Note 2 6 3 4 2 3" xfId="32223" xr:uid="{00000000-0005-0000-0000-000010780000}"/>
    <cellStyle name="Note 2 6 3 4 3" xfId="13805" xr:uid="{00000000-0005-0000-0000-000011780000}"/>
    <cellStyle name="Note 2 6 3 4 3 2" xfId="27354" xr:uid="{00000000-0005-0000-0000-000012780000}"/>
    <cellStyle name="Note 2 6 3 4 4" xfId="32222" xr:uid="{00000000-0005-0000-0000-000013780000}"/>
    <cellStyle name="Note 2 6 3 5" xfId="7963" xr:uid="{00000000-0005-0000-0000-000014780000}"/>
    <cellStyle name="Note 2 6 3 5 2" xfId="14386" xr:uid="{00000000-0005-0000-0000-000015780000}"/>
    <cellStyle name="Note 2 6 3 5 2 2" xfId="27935" xr:uid="{00000000-0005-0000-0000-000016780000}"/>
    <cellStyle name="Note 2 6 3 5 3" xfId="32224" xr:uid="{00000000-0005-0000-0000-000017780000}"/>
    <cellStyle name="Note 2 6 3 6" xfId="7964" xr:uid="{00000000-0005-0000-0000-000018780000}"/>
    <cellStyle name="Note 2 6 3 6 2" xfId="16272" xr:uid="{00000000-0005-0000-0000-000019780000}"/>
    <cellStyle name="Note 2 6 3 6 2 2" xfId="29679" xr:uid="{00000000-0005-0000-0000-00001A780000}"/>
    <cellStyle name="Note 2 6 3 6 3" xfId="32225" xr:uid="{00000000-0005-0000-0000-00001B780000}"/>
    <cellStyle name="Note 2 6 3 7" xfId="10297" xr:uid="{00000000-0005-0000-0000-00001C780000}"/>
    <cellStyle name="Note 2 6 3 8" xfId="32216" xr:uid="{00000000-0005-0000-0000-00001D780000}"/>
    <cellStyle name="Note 2 6 4" xfId="7965" xr:uid="{00000000-0005-0000-0000-00001E780000}"/>
    <cellStyle name="Note 2 6 4 2" xfId="7966" xr:uid="{00000000-0005-0000-0000-00001F780000}"/>
    <cellStyle name="Note 2 6 4 2 2" xfId="11636" xr:uid="{00000000-0005-0000-0000-000020780000}"/>
    <cellStyle name="Note 2 6 4 2 3" xfId="32227" xr:uid="{00000000-0005-0000-0000-000021780000}"/>
    <cellStyle name="Note 2 6 4 3" xfId="7967" xr:uid="{00000000-0005-0000-0000-000022780000}"/>
    <cellStyle name="Note 2 6 4 3 2" xfId="16564" xr:uid="{00000000-0005-0000-0000-000023780000}"/>
    <cellStyle name="Note 2 6 4 3 2 2" xfId="29971" xr:uid="{00000000-0005-0000-0000-000024780000}"/>
    <cellStyle name="Note 2 6 4 3 3" xfId="32228" xr:uid="{00000000-0005-0000-0000-000025780000}"/>
    <cellStyle name="Note 2 6 4 4" xfId="10299" xr:uid="{00000000-0005-0000-0000-000026780000}"/>
    <cellStyle name="Note 2 6 4 5" xfId="32226" xr:uid="{00000000-0005-0000-0000-000027780000}"/>
    <cellStyle name="Note 2 6 5" xfId="7968" xr:uid="{00000000-0005-0000-0000-000028780000}"/>
    <cellStyle name="Note 2 6 5 2" xfId="7969" xr:uid="{00000000-0005-0000-0000-000029780000}"/>
    <cellStyle name="Note 2 6 5 2 2" xfId="13315" xr:uid="{00000000-0005-0000-0000-00002A780000}"/>
    <cellStyle name="Note 2 6 5 2 3" xfId="32230" xr:uid="{00000000-0005-0000-0000-00002B780000}"/>
    <cellStyle name="Note 2 6 5 3" xfId="11939" xr:uid="{00000000-0005-0000-0000-00002C780000}"/>
    <cellStyle name="Note 2 6 5 3 2" xfId="25654" xr:uid="{00000000-0005-0000-0000-00002D780000}"/>
    <cellStyle name="Note 2 6 5 4" xfId="32229" xr:uid="{00000000-0005-0000-0000-00002E780000}"/>
    <cellStyle name="Note 2 6 6" xfId="7970" xr:uid="{00000000-0005-0000-0000-00002F780000}"/>
    <cellStyle name="Note 2 6 6 2" xfId="7971" xr:uid="{00000000-0005-0000-0000-000030780000}"/>
    <cellStyle name="Note 2 6 6 2 2" xfId="15750" xr:uid="{00000000-0005-0000-0000-000031780000}"/>
    <cellStyle name="Note 2 6 6 2 3" xfId="32232" xr:uid="{00000000-0005-0000-0000-000032780000}"/>
    <cellStyle name="Note 2 6 6 3" xfId="13516" xr:uid="{00000000-0005-0000-0000-000033780000}"/>
    <cellStyle name="Note 2 6 6 3 2" xfId="27065" xr:uid="{00000000-0005-0000-0000-000034780000}"/>
    <cellStyle name="Note 2 6 6 4" xfId="32231" xr:uid="{00000000-0005-0000-0000-000035780000}"/>
    <cellStyle name="Note 2 6 7" xfId="7972" xr:uid="{00000000-0005-0000-0000-000036780000}"/>
    <cellStyle name="Note 2 6 7 2" xfId="14097" xr:uid="{00000000-0005-0000-0000-000037780000}"/>
    <cellStyle name="Note 2 6 7 2 2" xfId="27646" xr:uid="{00000000-0005-0000-0000-000038780000}"/>
    <cellStyle name="Note 2 6 7 3" xfId="32233" xr:uid="{00000000-0005-0000-0000-000039780000}"/>
    <cellStyle name="Note 2 6 8" xfId="7973" xr:uid="{00000000-0005-0000-0000-00003A780000}"/>
    <cellStyle name="Note 2 6 8 2" xfId="15983" xr:uid="{00000000-0005-0000-0000-00003B780000}"/>
    <cellStyle name="Note 2 6 8 2 2" xfId="29390" xr:uid="{00000000-0005-0000-0000-00003C780000}"/>
    <cellStyle name="Note 2 6 8 3" xfId="32234" xr:uid="{00000000-0005-0000-0000-00003D780000}"/>
    <cellStyle name="Note 2 6 9" xfId="10292" xr:uid="{00000000-0005-0000-0000-00003E780000}"/>
    <cellStyle name="Note 2 7" xfId="7974" xr:uid="{00000000-0005-0000-0000-00003F780000}"/>
    <cellStyle name="Note 2 7 2" xfId="7975" xr:uid="{00000000-0005-0000-0000-000040780000}"/>
    <cellStyle name="Note 2 7 2 2" xfId="7976" xr:uid="{00000000-0005-0000-0000-000041780000}"/>
    <cellStyle name="Note 2 7 2 2 2" xfId="7977" xr:uid="{00000000-0005-0000-0000-000042780000}"/>
    <cellStyle name="Note 2 7 2 2 2 2" xfId="11637" xr:uid="{00000000-0005-0000-0000-000043780000}"/>
    <cellStyle name="Note 2 7 2 2 2 3" xfId="32238" xr:uid="{00000000-0005-0000-0000-000044780000}"/>
    <cellStyle name="Note 2 7 2 2 3" xfId="7978" xr:uid="{00000000-0005-0000-0000-000045780000}"/>
    <cellStyle name="Note 2 7 2 2 3 2" xfId="16873" xr:uid="{00000000-0005-0000-0000-000046780000}"/>
    <cellStyle name="Note 2 7 2 2 3 2 2" xfId="30280" xr:uid="{00000000-0005-0000-0000-000047780000}"/>
    <cellStyle name="Note 2 7 2 2 3 3" xfId="32239" xr:uid="{00000000-0005-0000-0000-000048780000}"/>
    <cellStyle name="Note 2 7 2 2 4" xfId="10302" xr:uid="{00000000-0005-0000-0000-000049780000}"/>
    <cellStyle name="Note 2 7 2 2 5" xfId="32237" xr:uid="{00000000-0005-0000-0000-00004A780000}"/>
    <cellStyle name="Note 2 7 2 3" xfId="7979" xr:uid="{00000000-0005-0000-0000-00004B780000}"/>
    <cellStyle name="Note 2 7 2 3 2" xfId="7980" xr:uid="{00000000-0005-0000-0000-00004C780000}"/>
    <cellStyle name="Note 2 7 2 3 2 2" xfId="13316" xr:uid="{00000000-0005-0000-0000-00004D780000}"/>
    <cellStyle name="Note 2 7 2 3 2 3" xfId="32241" xr:uid="{00000000-0005-0000-0000-00004E780000}"/>
    <cellStyle name="Note 2 7 2 3 3" xfId="12261" xr:uid="{00000000-0005-0000-0000-00004F780000}"/>
    <cellStyle name="Note 2 7 2 3 3 2" xfId="25973" xr:uid="{00000000-0005-0000-0000-000050780000}"/>
    <cellStyle name="Note 2 7 2 3 4" xfId="32240" xr:uid="{00000000-0005-0000-0000-000051780000}"/>
    <cellStyle name="Note 2 7 2 4" xfId="7981" xr:uid="{00000000-0005-0000-0000-000052780000}"/>
    <cellStyle name="Note 2 7 2 4 2" xfId="7982" xr:uid="{00000000-0005-0000-0000-000053780000}"/>
    <cellStyle name="Note 2 7 2 4 2 2" xfId="15751" xr:uid="{00000000-0005-0000-0000-000054780000}"/>
    <cellStyle name="Note 2 7 2 4 2 3" xfId="32243" xr:uid="{00000000-0005-0000-0000-000055780000}"/>
    <cellStyle name="Note 2 7 2 4 3" xfId="13825" xr:uid="{00000000-0005-0000-0000-000056780000}"/>
    <cellStyle name="Note 2 7 2 4 3 2" xfId="27374" xr:uid="{00000000-0005-0000-0000-000057780000}"/>
    <cellStyle name="Note 2 7 2 4 4" xfId="32242" xr:uid="{00000000-0005-0000-0000-000058780000}"/>
    <cellStyle name="Note 2 7 2 5" xfId="7983" xr:uid="{00000000-0005-0000-0000-000059780000}"/>
    <cellStyle name="Note 2 7 2 5 2" xfId="14406" xr:uid="{00000000-0005-0000-0000-00005A780000}"/>
    <cellStyle name="Note 2 7 2 5 2 2" xfId="27955" xr:uid="{00000000-0005-0000-0000-00005B780000}"/>
    <cellStyle name="Note 2 7 2 5 3" xfId="32244" xr:uid="{00000000-0005-0000-0000-00005C780000}"/>
    <cellStyle name="Note 2 7 2 6" xfId="7984" xr:uid="{00000000-0005-0000-0000-00005D780000}"/>
    <cellStyle name="Note 2 7 2 6 2" xfId="16292" xr:uid="{00000000-0005-0000-0000-00005E780000}"/>
    <cellStyle name="Note 2 7 2 6 2 2" xfId="29699" xr:uid="{00000000-0005-0000-0000-00005F780000}"/>
    <cellStyle name="Note 2 7 2 6 3" xfId="32245" xr:uid="{00000000-0005-0000-0000-000060780000}"/>
    <cellStyle name="Note 2 7 2 7" xfId="10301" xr:uid="{00000000-0005-0000-0000-000061780000}"/>
    <cellStyle name="Note 2 7 2 8" xfId="32236" xr:uid="{00000000-0005-0000-0000-000062780000}"/>
    <cellStyle name="Note 2 7 3" xfId="7985" xr:uid="{00000000-0005-0000-0000-000063780000}"/>
    <cellStyle name="Note 2 7 3 2" xfId="7986" xr:uid="{00000000-0005-0000-0000-000064780000}"/>
    <cellStyle name="Note 2 7 3 2 2" xfId="11638" xr:uid="{00000000-0005-0000-0000-000065780000}"/>
    <cellStyle name="Note 2 7 3 2 3" xfId="32247" xr:uid="{00000000-0005-0000-0000-000066780000}"/>
    <cellStyle name="Note 2 7 3 3" xfId="7987" xr:uid="{00000000-0005-0000-0000-000067780000}"/>
    <cellStyle name="Note 2 7 3 3 2" xfId="16584" xr:uid="{00000000-0005-0000-0000-000068780000}"/>
    <cellStyle name="Note 2 7 3 3 2 2" xfId="29991" xr:uid="{00000000-0005-0000-0000-000069780000}"/>
    <cellStyle name="Note 2 7 3 3 3" xfId="32248" xr:uid="{00000000-0005-0000-0000-00006A780000}"/>
    <cellStyle name="Note 2 7 3 4" xfId="10303" xr:uid="{00000000-0005-0000-0000-00006B780000}"/>
    <cellStyle name="Note 2 7 3 5" xfId="32246" xr:uid="{00000000-0005-0000-0000-00006C780000}"/>
    <cellStyle name="Note 2 7 4" xfId="7988" xr:uid="{00000000-0005-0000-0000-00006D780000}"/>
    <cellStyle name="Note 2 7 4 2" xfId="7989" xr:uid="{00000000-0005-0000-0000-00006E780000}"/>
    <cellStyle name="Note 2 7 4 2 2" xfId="13317" xr:uid="{00000000-0005-0000-0000-00006F780000}"/>
    <cellStyle name="Note 2 7 4 2 3" xfId="32250" xr:uid="{00000000-0005-0000-0000-000070780000}"/>
    <cellStyle name="Note 2 7 4 3" xfId="11961" xr:uid="{00000000-0005-0000-0000-000071780000}"/>
    <cellStyle name="Note 2 7 4 3 2" xfId="25676" xr:uid="{00000000-0005-0000-0000-000072780000}"/>
    <cellStyle name="Note 2 7 4 4" xfId="32249" xr:uid="{00000000-0005-0000-0000-000073780000}"/>
    <cellStyle name="Note 2 7 5" xfId="7990" xr:uid="{00000000-0005-0000-0000-000074780000}"/>
    <cellStyle name="Note 2 7 5 2" xfId="7991" xr:uid="{00000000-0005-0000-0000-000075780000}"/>
    <cellStyle name="Note 2 7 5 2 2" xfId="15752" xr:uid="{00000000-0005-0000-0000-000076780000}"/>
    <cellStyle name="Note 2 7 5 2 3" xfId="32252" xr:uid="{00000000-0005-0000-0000-000077780000}"/>
    <cellStyle name="Note 2 7 5 3" xfId="13536" xr:uid="{00000000-0005-0000-0000-000078780000}"/>
    <cellStyle name="Note 2 7 5 3 2" xfId="27085" xr:uid="{00000000-0005-0000-0000-000079780000}"/>
    <cellStyle name="Note 2 7 5 4" xfId="32251" xr:uid="{00000000-0005-0000-0000-00007A780000}"/>
    <cellStyle name="Note 2 7 6" xfId="7992" xr:uid="{00000000-0005-0000-0000-00007B780000}"/>
    <cellStyle name="Note 2 7 6 2" xfId="14117" xr:uid="{00000000-0005-0000-0000-00007C780000}"/>
    <cellStyle name="Note 2 7 6 2 2" xfId="27666" xr:uid="{00000000-0005-0000-0000-00007D780000}"/>
    <cellStyle name="Note 2 7 6 3" xfId="32253" xr:uid="{00000000-0005-0000-0000-00007E780000}"/>
    <cellStyle name="Note 2 7 7" xfId="7993" xr:uid="{00000000-0005-0000-0000-00007F780000}"/>
    <cellStyle name="Note 2 7 7 2" xfId="16003" xr:uid="{00000000-0005-0000-0000-000080780000}"/>
    <cellStyle name="Note 2 7 7 2 2" xfId="29410" xr:uid="{00000000-0005-0000-0000-000081780000}"/>
    <cellStyle name="Note 2 7 7 3" xfId="32254" xr:uid="{00000000-0005-0000-0000-000082780000}"/>
    <cellStyle name="Note 2 7 8" xfId="10300" xr:uid="{00000000-0005-0000-0000-000083780000}"/>
    <cellStyle name="Note 2 7 9" xfId="32235" xr:uid="{00000000-0005-0000-0000-000084780000}"/>
    <cellStyle name="Note 2 8" xfId="7994" xr:uid="{00000000-0005-0000-0000-000085780000}"/>
    <cellStyle name="Note 2 8 2" xfId="7995" xr:uid="{00000000-0005-0000-0000-000086780000}"/>
    <cellStyle name="Note 2 8 2 2" xfId="7996" xr:uid="{00000000-0005-0000-0000-000087780000}"/>
    <cellStyle name="Note 2 8 2 2 2" xfId="11639" xr:uid="{00000000-0005-0000-0000-000088780000}"/>
    <cellStyle name="Note 2 8 2 2 3" xfId="32257" xr:uid="{00000000-0005-0000-0000-000089780000}"/>
    <cellStyle name="Note 2 8 2 3" xfId="7997" xr:uid="{00000000-0005-0000-0000-00008A780000}"/>
    <cellStyle name="Note 2 8 2 3 2" xfId="16729" xr:uid="{00000000-0005-0000-0000-00008B780000}"/>
    <cellStyle name="Note 2 8 2 3 2 2" xfId="30136" xr:uid="{00000000-0005-0000-0000-00008C780000}"/>
    <cellStyle name="Note 2 8 2 3 3" xfId="32258" xr:uid="{00000000-0005-0000-0000-00008D780000}"/>
    <cellStyle name="Note 2 8 2 4" xfId="10305" xr:uid="{00000000-0005-0000-0000-00008E780000}"/>
    <cellStyle name="Note 2 8 2 5" xfId="32256" xr:uid="{00000000-0005-0000-0000-00008F780000}"/>
    <cellStyle name="Note 2 8 3" xfId="7998" xr:uid="{00000000-0005-0000-0000-000090780000}"/>
    <cellStyle name="Note 2 8 3 2" xfId="7999" xr:uid="{00000000-0005-0000-0000-000091780000}"/>
    <cellStyle name="Note 2 8 3 2 2" xfId="13318" xr:uid="{00000000-0005-0000-0000-000092780000}"/>
    <cellStyle name="Note 2 8 3 2 3" xfId="32260" xr:uid="{00000000-0005-0000-0000-000093780000}"/>
    <cellStyle name="Note 2 8 3 3" xfId="12117" xr:uid="{00000000-0005-0000-0000-000094780000}"/>
    <cellStyle name="Note 2 8 3 3 2" xfId="25829" xr:uid="{00000000-0005-0000-0000-000095780000}"/>
    <cellStyle name="Note 2 8 3 4" xfId="32259" xr:uid="{00000000-0005-0000-0000-000096780000}"/>
    <cellStyle name="Note 2 8 4" xfId="8000" xr:uid="{00000000-0005-0000-0000-000097780000}"/>
    <cellStyle name="Note 2 8 4 2" xfId="8001" xr:uid="{00000000-0005-0000-0000-000098780000}"/>
    <cellStyle name="Note 2 8 4 2 2" xfId="15753" xr:uid="{00000000-0005-0000-0000-000099780000}"/>
    <cellStyle name="Note 2 8 4 2 3" xfId="32262" xr:uid="{00000000-0005-0000-0000-00009A780000}"/>
    <cellStyle name="Note 2 8 4 3" xfId="13681" xr:uid="{00000000-0005-0000-0000-00009B780000}"/>
    <cellStyle name="Note 2 8 4 3 2" xfId="27230" xr:uid="{00000000-0005-0000-0000-00009C780000}"/>
    <cellStyle name="Note 2 8 4 4" xfId="32261" xr:uid="{00000000-0005-0000-0000-00009D780000}"/>
    <cellStyle name="Note 2 8 5" xfId="8002" xr:uid="{00000000-0005-0000-0000-00009E780000}"/>
    <cellStyle name="Note 2 8 5 2" xfId="14262" xr:uid="{00000000-0005-0000-0000-00009F780000}"/>
    <cellStyle name="Note 2 8 5 2 2" xfId="27811" xr:uid="{00000000-0005-0000-0000-0000A0780000}"/>
    <cellStyle name="Note 2 8 5 3" xfId="32263" xr:uid="{00000000-0005-0000-0000-0000A1780000}"/>
    <cellStyle name="Note 2 8 6" xfId="8003" xr:uid="{00000000-0005-0000-0000-0000A2780000}"/>
    <cellStyle name="Note 2 8 6 2" xfId="16148" xr:uid="{00000000-0005-0000-0000-0000A3780000}"/>
    <cellStyle name="Note 2 8 6 2 2" xfId="29555" xr:uid="{00000000-0005-0000-0000-0000A4780000}"/>
    <cellStyle name="Note 2 8 6 3" xfId="32264" xr:uid="{00000000-0005-0000-0000-0000A5780000}"/>
    <cellStyle name="Note 2 8 7" xfId="10304" xr:uid="{00000000-0005-0000-0000-0000A6780000}"/>
    <cellStyle name="Note 2 8 8" xfId="32255" xr:uid="{00000000-0005-0000-0000-0000A7780000}"/>
    <cellStyle name="Note 2 9" xfId="8004" xr:uid="{00000000-0005-0000-0000-0000A8780000}"/>
    <cellStyle name="Note 2 9 2" xfId="8005" xr:uid="{00000000-0005-0000-0000-0000A9780000}"/>
    <cellStyle name="Note 2 9 2 2" xfId="13319" xr:uid="{00000000-0005-0000-0000-0000AA780000}"/>
    <cellStyle name="Note 2 9 2 3" xfId="32266" xr:uid="{00000000-0005-0000-0000-0000AB780000}"/>
    <cellStyle name="Note 2 9 3" xfId="8006" xr:uid="{00000000-0005-0000-0000-0000AC780000}"/>
    <cellStyle name="Note 2 9 3 2" xfId="17052" xr:uid="{00000000-0005-0000-0000-0000AD780000}"/>
    <cellStyle name="Note 2 9 3 2 2" xfId="30451" xr:uid="{00000000-0005-0000-0000-0000AE780000}"/>
    <cellStyle name="Note 2 9 3 3" xfId="32267" xr:uid="{00000000-0005-0000-0000-0000AF780000}"/>
    <cellStyle name="Note 2 9 4" xfId="10306" xr:uid="{00000000-0005-0000-0000-0000B0780000}"/>
    <cellStyle name="Note 2 9 5" xfId="32265" xr:uid="{00000000-0005-0000-0000-0000B1780000}"/>
    <cellStyle name="Note 3" xfId="8007" xr:uid="{00000000-0005-0000-0000-0000B2780000}"/>
    <cellStyle name="Note 3 10" xfId="10307" xr:uid="{00000000-0005-0000-0000-0000B3780000}"/>
    <cellStyle name="Note 3 11" xfId="32268" xr:uid="{00000000-0005-0000-0000-0000B4780000}"/>
    <cellStyle name="Note 3 2" xfId="8008" xr:uid="{00000000-0005-0000-0000-0000B5780000}"/>
    <cellStyle name="Note 3 2 10" xfId="32269" xr:uid="{00000000-0005-0000-0000-0000B6780000}"/>
    <cellStyle name="Note 3 2 2" xfId="8009" xr:uid="{00000000-0005-0000-0000-0000B7780000}"/>
    <cellStyle name="Note 3 2 2 2" xfId="8010" xr:uid="{00000000-0005-0000-0000-0000B8780000}"/>
    <cellStyle name="Note 3 2 2 2 2" xfId="8011" xr:uid="{00000000-0005-0000-0000-0000B9780000}"/>
    <cellStyle name="Note 3 2 2 2 2 2" xfId="8012" xr:uid="{00000000-0005-0000-0000-0000BA780000}"/>
    <cellStyle name="Note 3 2 2 2 2 2 2" xfId="11640" xr:uid="{00000000-0005-0000-0000-0000BB780000}"/>
    <cellStyle name="Note 3 2 2 2 2 2 3" xfId="32273" xr:uid="{00000000-0005-0000-0000-0000BC780000}"/>
    <cellStyle name="Note 3 2 2 2 2 3" xfId="8013" xr:uid="{00000000-0005-0000-0000-0000BD780000}"/>
    <cellStyle name="Note 3 2 2 2 2 3 2" xfId="16960" xr:uid="{00000000-0005-0000-0000-0000BE780000}"/>
    <cellStyle name="Note 3 2 2 2 2 3 2 2" xfId="30367" xr:uid="{00000000-0005-0000-0000-0000BF780000}"/>
    <cellStyle name="Note 3 2 2 2 2 3 3" xfId="32274" xr:uid="{00000000-0005-0000-0000-0000C0780000}"/>
    <cellStyle name="Note 3 2 2 2 2 4" xfId="10311" xr:uid="{00000000-0005-0000-0000-0000C1780000}"/>
    <cellStyle name="Note 3 2 2 2 2 5" xfId="32272" xr:uid="{00000000-0005-0000-0000-0000C2780000}"/>
    <cellStyle name="Note 3 2 2 2 3" xfId="8014" xr:uid="{00000000-0005-0000-0000-0000C3780000}"/>
    <cellStyle name="Note 3 2 2 2 3 2" xfId="8015" xr:uid="{00000000-0005-0000-0000-0000C4780000}"/>
    <cellStyle name="Note 3 2 2 2 3 2 2" xfId="13320" xr:uid="{00000000-0005-0000-0000-0000C5780000}"/>
    <cellStyle name="Note 3 2 2 2 3 2 3" xfId="32276" xr:uid="{00000000-0005-0000-0000-0000C6780000}"/>
    <cellStyle name="Note 3 2 2 2 3 3" xfId="12348" xr:uid="{00000000-0005-0000-0000-0000C7780000}"/>
    <cellStyle name="Note 3 2 2 2 3 3 2" xfId="26060" xr:uid="{00000000-0005-0000-0000-0000C8780000}"/>
    <cellStyle name="Note 3 2 2 2 3 4" xfId="32275" xr:uid="{00000000-0005-0000-0000-0000C9780000}"/>
    <cellStyle name="Note 3 2 2 2 4" xfId="8016" xr:uid="{00000000-0005-0000-0000-0000CA780000}"/>
    <cellStyle name="Note 3 2 2 2 4 2" xfId="8017" xr:uid="{00000000-0005-0000-0000-0000CB780000}"/>
    <cellStyle name="Note 3 2 2 2 4 2 2" xfId="15754" xr:uid="{00000000-0005-0000-0000-0000CC780000}"/>
    <cellStyle name="Note 3 2 2 2 4 2 3" xfId="32278" xr:uid="{00000000-0005-0000-0000-0000CD780000}"/>
    <cellStyle name="Note 3 2 2 2 4 3" xfId="13912" xr:uid="{00000000-0005-0000-0000-0000CE780000}"/>
    <cellStyle name="Note 3 2 2 2 4 3 2" xfId="27461" xr:uid="{00000000-0005-0000-0000-0000CF780000}"/>
    <cellStyle name="Note 3 2 2 2 4 4" xfId="32277" xr:uid="{00000000-0005-0000-0000-0000D0780000}"/>
    <cellStyle name="Note 3 2 2 2 5" xfId="8018" xr:uid="{00000000-0005-0000-0000-0000D1780000}"/>
    <cellStyle name="Note 3 2 2 2 5 2" xfId="14493" xr:uid="{00000000-0005-0000-0000-0000D2780000}"/>
    <cellStyle name="Note 3 2 2 2 5 2 2" xfId="28042" xr:uid="{00000000-0005-0000-0000-0000D3780000}"/>
    <cellStyle name="Note 3 2 2 2 5 3" xfId="32279" xr:uid="{00000000-0005-0000-0000-0000D4780000}"/>
    <cellStyle name="Note 3 2 2 2 6" xfId="8019" xr:uid="{00000000-0005-0000-0000-0000D5780000}"/>
    <cellStyle name="Note 3 2 2 2 6 2" xfId="16379" xr:uid="{00000000-0005-0000-0000-0000D6780000}"/>
    <cellStyle name="Note 3 2 2 2 6 2 2" xfId="29786" xr:uid="{00000000-0005-0000-0000-0000D7780000}"/>
    <cellStyle name="Note 3 2 2 2 6 3" xfId="32280" xr:uid="{00000000-0005-0000-0000-0000D8780000}"/>
    <cellStyle name="Note 3 2 2 2 7" xfId="10310" xr:uid="{00000000-0005-0000-0000-0000D9780000}"/>
    <cellStyle name="Note 3 2 2 2 8" xfId="32271" xr:uid="{00000000-0005-0000-0000-0000DA780000}"/>
    <cellStyle name="Note 3 2 2 3" xfId="8020" xr:uid="{00000000-0005-0000-0000-0000DB780000}"/>
    <cellStyle name="Note 3 2 2 3 2" xfId="8021" xr:uid="{00000000-0005-0000-0000-0000DC780000}"/>
    <cellStyle name="Note 3 2 2 3 2 2" xfId="11641" xr:uid="{00000000-0005-0000-0000-0000DD780000}"/>
    <cellStyle name="Note 3 2 2 3 2 3" xfId="32282" xr:uid="{00000000-0005-0000-0000-0000DE780000}"/>
    <cellStyle name="Note 3 2 2 3 3" xfId="8022" xr:uid="{00000000-0005-0000-0000-0000DF780000}"/>
    <cellStyle name="Note 3 2 2 3 3 2" xfId="16671" xr:uid="{00000000-0005-0000-0000-0000E0780000}"/>
    <cellStyle name="Note 3 2 2 3 3 2 2" xfId="30078" xr:uid="{00000000-0005-0000-0000-0000E1780000}"/>
    <cellStyle name="Note 3 2 2 3 3 3" xfId="32283" xr:uid="{00000000-0005-0000-0000-0000E2780000}"/>
    <cellStyle name="Note 3 2 2 3 4" xfId="10312" xr:uid="{00000000-0005-0000-0000-0000E3780000}"/>
    <cellStyle name="Note 3 2 2 3 5" xfId="32281" xr:uid="{00000000-0005-0000-0000-0000E4780000}"/>
    <cellStyle name="Note 3 2 2 4" xfId="8023" xr:uid="{00000000-0005-0000-0000-0000E5780000}"/>
    <cellStyle name="Note 3 2 2 4 2" xfId="8024" xr:uid="{00000000-0005-0000-0000-0000E6780000}"/>
    <cellStyle name="Note 3 2 2 4 2 2" xfId="13321" xr:uid="{00000000-0005-0000-0000-0000E7780000}"/>
    <cellStyle name="Note 3 2 2 4 2 3" xfId="32285" xr:uid="{00000000-0005-0000-0000-0000E8780000}"/>
    <cellStyle name="Note 3 2 2 4 3" xfId="12048" xr:uid="{00000000-0005-0000-0000-0000E9780000}"/>
    <cellStyle name="Note 3 2 2 4 3 2" xfId="25763" xr:uid="{00000000-0005-0000-0000-0000EA780000}"/>
    <cellStyle name="Note 3 2 2 4 4" xfId="32284" xr:uid="{00000000-0005-0000-0000-0000EB780000}"/>
    <cellStyle name="Note 3 2 2 5" xfId="8025" xr:uid="{00000000-0005-0000-0000-0000EC780000}"/>
    <cellStyle name="Note 3 2 2 5 2" xfId="8026" xr:uid="{00000000-0005-0000-0000-0000ED780000}"/>
    <cellStyle name="Note 3 2 2 5 2 2" xfId="15755" xr:uid="{00000000-0005-0000-0000-0000EE780000}"/>
    <cellStyle name="Note 3 2 2 5 2 3" xfId="32287" xr:uid="{00000000-0005-0000-0000-0000EF780000}"/>
    <cellStyle name="Note 3 2 2 5 3" xfId="13623" xr:uid="{00000000-0005-0000-0000-0000F0780000}"/>
    <cellStyle name="Note 3 2 2 5 3 2" xfId="27172" xr:uid="{00000000-0005-0000-0000-0000F1780000}"/>
    <cellStyle name="Note 3 2 2 5 4" xfId="32286" xr:uid="{00000000-0005-0000-0000-0000F2780000}"/>
    <cellStyle name="Note 3 2 2 6" xfId="8027" xr:uid="{00000000-0005-0000-0000-0000F3780000}"/>
    <cellStyle name="Note 3 2 2 6 2" xfId="14204" xr:uid="{00000000-0005-0000-0000-0000F4780000}"/>
    <cellStyle name="Note 3 2 2 6 2 2" xfId="27753" xr:uid="{00000000-0005-0000-0000-0000F5780000}"/>
    <cellStyle name="Note 3 2 2 6 3" xfId="32288" xr:uid="{00000000-0005-0000-0000-0000F6780000}"/>
    <cellStyle name="Note 3 2 2 7" xfId="8028" xr:uid="{00000000-0005-0000-0000-0000F7780000}"/>
    <cellStyle name="Note 3 2 2 7 2" xfId="16090" xr:uid="{00000000-0005-0000-0000-0000F8780000}"/>
    <cellStyle name="Note 3 2 2 7 2 2" xfId="29497" xr:uid="{00000000-0005-0000-0000-0000F9780000}"/>
    <cellStyle name="Note 3 2 2 7 3" xfId="32289" xr:uid="{00000000-0005-0000-0000-0000FA780000}"/>
    <cellStyle name="Note 3 2 2 8" xfId="10309" xr:uid="{00000000-0005-0000-0000-0000FB780000}"/>
    <cellStyle name="Note 3 2 2 9" xfId="32270" xr:uid="{00000000-0005-0000-0000-0000FC780000}"/>
    <cellStyle name="Note 3 2 3" xfId="8029" xr:uid="{00000000-0005-0000-0000-0000FD780000}"/>
    <cellStyle name="Note 3 2 3 2" xfId="8030" xr:uid="{00000000-0005-0000-0000-0000FE780000}"/>
    <cellStyle name="Note 3 2 3 2 2" xfId="8031" xr:uid="{00000000-0005-0000-0000-0000FF780000}"/>
    <cellStyle name="Note 3 2 3 2 2 2" xfId="11642" xr:uid="{00000000-0005-0000-0000-000000790000}"/>
    <cellStyle name="Note 3 2 3 2 2 3" xfId="32292" xr:uid="{00000000-0005-0000-0000-000001790000}"/>
    <cellStyle name="Note 3 2 3 2 3" xfId="8032" xr:uid="{00000000-0005-0000-0000-000002790000}"/>
    <cellStyle name="Note 3 2 3 2 3 2" xfId="16817" xr:uid="{00000000-0005-0000-0000-000003790000}"/>
    <cellStyle name="Note 3 2 3 2 3 2 2" xfId="30224" xr:uid="{00000000-0005-0000-0000-000004790000}"/>
    <cellStyle name="Note 3 2 3 2 3 3" xfId="32293" xr:uid="{00000000-0005-0000-0000-000005790000}"/>
    <cellStyle name="Note 3 2 3 2 4" xfId="10314" xr:uid="{00000000-0005-0000-0000-000006790000}"/>
    <cellStyle name="Note 3 2 3 2 5" xfId="32291" xr:uid="{00000000-0005-0000-0000-000007790000}"/>
    <cellStyle name="Note 3 2 3 3" xfId="8033" xr:uid="{00000000-0005-0000-0000-000008790000}"/>
    <cellStyle name="Note 3 2 3 3 2" xfId="8034" xr:uid="{00000000-0005-0000-0000-000009790000}"/>
    <cellStyle name="Note 3 2 3 3 2 2" xfId="13322" xr:uid="{00000000-0005-0000-0000-00000A790000}"/>
    <cellStyle name="Note 3 2 3 3 2 3" xfId="32295" xr:uid="{00000000-0005-0000-0000-00000B790000}"/>
    <cellStyle name="Note 3 2 3 3 3" xfId="12205" xr:uid="{00000000-0005-0000-0000-00000C790000}"/>
    <cellStyle name="Note 3 2 3 3 3 2" xfId="25917" xr:uid="{00000000-0005-0000-0000-00000D790000}"/>
    <cellStyle name="Note 3 2 3 3 4" xfId="32294" xr:uid="{00000000-0005-0000-0000-00000E790000}"/>
    <cellStyle name="Note 3 2 3 4" xfId="8035" xr:uid="{00000000-0005-0000-0000-00000F790000}"/>
    <cellStyle name="Note 3 2 3 4 2" xfId="8036" xr:uid="{00000000-0005-0000-0000-000010790000}"/>
    <cellStyle name="Note 3 2 3 4 2 2" xfId="15756" xr:uid="{00000000-0005-0000-0000-000011790000}"/>
    <cellStyle name="Note 3 2 3 4 2 3" xfId="32297" xr:uid="{00000000-0005-0000-0000-000012790000}"/>
    <cellStyle name="Note 3 2 3 4 3" xfId="13769" xr:uid="{00000000-0005-0000-0000-000013790000}"/>
    <cellStyle name="Note 3 2 3 4 3 2" xfId="27318" xr:uid="{00000000-0005-0000-0000-000014790000}"/>
    <cellStyle name="Note 3 2 3 4 4" xfId="32296" xr:uid="{00000000-0005-0000-0000-000015790000}"/>
    <cellStyle name="Note 3 2 3 5" xfId="8037" xr:uid="{00000000-0005-0000-0000-000016790000}"/>
    <cellStyle name="Note 3 2 3 5 2" xfId="14350" xr:uid="{00000000-0005-0000-0000-000017790000}"/>
    <cellStyle name="Note 3 2 3 5 2 2" xfId="27899" xr:uid="{00000000-0005-0000-0000-000018790000}"/>
    <cellStyle name="Note 3 2 3 5 3" xfId="32298" xr:uid="{00000000-0005-0000-0000-000019790000}"/>
    <cellStyle name="Note 3 2 3 6" xfId="8038" xr:uid="{00000000-0005-0000-0000-00001A790000}"/>
    <cellStyle name="Note 3 2 3 6 2" xfId="16236" xr:uid="{00000000-0005-0000-0000-00001B790000}"/>
    <cellStyle name="Note 3 2 3 6 2 2" xfId="29643" xr:uid="{00000000-0005-0000-0000-00001C790000}"/>
    <cellStyle name="Note 3 2 3 6 3" xfId="32299" xr:uid="{00000000-0005-0000-0000-00001D790000}"/>
    <cellStyle name="Note 3 2 3 7" xfId="10313" xr:uid="{00000000-0005-0000-0000-00001E790000}"/>
    <cellStyle name="Note 3 2 3 8" xfId="32290" xr:uid="{00000000-0005-0000-0000-00001F790000}"/>
    <cellStyle name="Note 3 2 4" xfId="8039" xr:uid="{00000000-0005-0000-0000-000020790000}"/>
    <cellStyle name="Note 3 2 4 2" xfId="8040" xr:uid="{00000000-0005-0000-0000-000021790000}"/>
    <cellStyle name="Note 3 2 4 2 2" xfId="11643" xr:uid="{00000000-0005-0000-0000-000022790000}"/>
    <cellStyle name="Note 3 2 4 2 3" xfId="32301" xr:uid="{00000000-0005-0000-0000-000023790000}"/>
    <cellStyle name="Note 3 2 4 3" xfId="8041" xr:uid="{00000000-0005-0000-0000-000024790000}"/>
    <cellStyle name="Note 3 2 4 3 2" xfId="17164" xr:uid="{00000000-0005-0000-0000-000025790000}"/>
    <cellStyle name="Note 3 2 4 3 2 2" xfId="30523" xr:uid="{00000000-0005-0000-0000-000026790000}"/>
    <cellStyle name="Note 3 2 4 3 3" xfId="32302" xr:uid="{00000000-0005-0000-0000-000027790000}"/>
    <cellStyle name="Note 3 2 4 4" xfId="10315" xr:uid="{00000000-0005-0000-0000-000028790000}"/>
    <cellStyle name="Note 3 2 4 5" xfId="32300" xr:uid="{00000000-0005-0000-0000-000029790000}"/>
    <cellStyle name="Note 3 2 5" xfId="8042" xr:uid="{00000000-0005-0000-0000-00002A790000}"/>
    <cellStyle name="Note 3 2 5 2" xfId="8043" xr:uid="{00000000-0005-0000-0000-00002B790000}"/>
    <cellStyle name="Note 3 2 5 2 2" xfId="13323" xr:uid="{00000000-0005-0000-0000-00002C790000}"/>
    <cellStyle name="Note 3 2 5 2 3" xfId="32304" xr:uid="{00000000-0005-0000-0000-00002D790000}"/>
    <cellStyle name="Note 3 2 5 3" xfId="8044" xr:uid="{00000000-0005-0000-0000-00002E790000}"/>
    <cellStyle name="Note 3 2 5 3 2" xfId="17253" xr:uid="{00000000-0005-0000-0000-00002F790000}"/>
    <cellStyle name="Note 3 2 5 3 2 2" xfId="30612" xr:uid="{00000000-0005-0000-0000-000030790000}"/>
    <cellStyle name="Note 3 2 5 3 3" xfId="32305" xr:uid="{00000000-0005-0000-0000-000031790000}"/>
    <cellStyle name="Note 3 2 5 4" xfId="11903" xr:uid="{00000000-0005-0000-0000-000032790000}"/>
    <cellStyle name="Note 3 2 5 4 2" xfId="25618" xr:uid="{00000000-0005-0000-0000-000033790000}"/>
    <cellStyle name="Note 3 2 5 5" xfId="32303" xr:uid="{00000000-0005-0000-0000-000034790000}"/>
    <cellStyle name="Note 3 2 6" xfId="8045" xr:uid="{00000000-0005-0000-0000-000035790000}"/>
    <cellStyle name="Note 3 2 6 2" xfId="8046" xr:uid="{00000000-0005-0000-0000-000036790000}"/>
    <cellStyle name="Note 3 2 6 2 2" xfId="15757" xr:uid="{00000000-0005-0000-0000-000037790000}"/>
    <cellStyle name="Note 3 2 6 2 3" xfId="32307" xr:uid="{00000000-0005-0000-0000-000038790000}"/>
    <cellStyle name="Note 3 2 6 3" xfId="8047" xr:uid="{00000000-0005-0000-0000-000039790000}"/>
    <cellStyle name="Note 3 2 6 3 2" xfId="16528" xr:uid="{00000000-0005-0000-0000-00003A790000}"/>
    <cellStyle name="Note 3 2 6 3 2 2" xfId="29935" xr:uid="{00000000-0005-0000-0000-00003B790000}"/>
    <cellStyle name="Note 3 2 6 3 3" xfId="32308" xr:uid="{00000000-0005-0000-0000-00003C790000}"/>
    <cellStyle name="Note 3 2 6 4" xfId="13480" xr:uid="{00000000-0005-0000-0000-00003D790000}"/>
    <cellStyle name="Note 3 2 6 4 2" xfId="27029" xr:uid="{00000000-0005-0000-0000-00003E790000}"/>
    <cellStyle name="Note 3 2 6 5" xfId="32306" xr:uid="{00000000-0005-0000-0000-00003F790000}"/>
    <cellStyle name="Note 3 2 7" xfId="8048" xr:uid="{00000000-0005-0000-0000-000040790000}"/>
    <cellStyle name="Note 3 2 7 2" xfId="14061" xr:uid="{00000000-0005-0000-0000-000041790000}"/>
    <cellStyle name="Note 3 2 7 2 2" xfId="27610" xr:uid="{00000000-0005-0000-0000-000042790000}"/>
    <cellStyle name="Note 3 2 7 3" xfId="32309" xr:uid="{00000000-0005-0000-0000-000043790000}"/>
    <cellStyle name="Note 3 2 8" xfId="8049" xr:uid="{00000000-0005-0000-0000-000044790000}"/>
    <cellStyle name="Note 3 2 8 2" xfId="15947" xr:uid="{00000000-0005-0000-0000-000045790000}"/>
    <cellStyle name="Note 3 2 8 2 2" xfId="29354" xr:uid="{00000000-0005-0000-0000-000046790000}"/>
    <cellStyle name="Note 3 2 8 3" xfId="32310" xr:uid="{00000000-0005-0000-0000-000047790000}"/>
    <cellStyle name="Note 3 2 9" xfId="10308" xr:uid="{00000000-0005-0000-0000-000048790000}"/>
    <cellStyle name="Note 3 3" xfId="8050" xr:uid="{00000000-0005-0000-0000-000049790000}"/>
    <cellStyle name="Note 3 3 2" xfId="8051" xr:uid="{00000000-0005-0000-0000-00004A790000}"/>
    <cellStyle name="Note 3 3 2 2" xfId="8052" xr:uid="{00000000-0005-0000-0000-00004B790000}"/>
    <cellStyle name="Note 3 3 2 2 2" xfId="8053" xr:uid="{00000000-0005-0000-0000-00004C790000}"/>
    <cellStyle name="Note 3 3 2 2 2 2" xfId="11644" xr:uid="{00000000-0005-0000-0000-00004D790000}"/>
    <cellStyle name="Note 3 3 2 2 2 3" xfId="32314" xr:uid="{00000000-0005-0000-0000-00004E790000}"/>
    <cellStyle name="Note 3 3 2 2 3" xfId="8054" xr:uid="{00000000-0005-0000-0000-00004F790000}"/>
    <cellStyle name="Note 3 3 2 2 3 2" xfId="16914" xr:uid="{00000000-0005-0000-0000-000050790000}"/>
    <cellStyle name="Note 3 3 2 2 3 2 2" xfId="30321" xr:uid="{00000000-0005-0000-0000-000051790000}"/>
    <cellStyle name="Note 3 3 2 2 3 3" xfId="32315" xr:uid="{00000000-0005-0000-0000-000052790000}"/>
    <cellStyle name="Note 3 3 2 2 4" xfId="10318" xr:uid="{00000000-0005-0000-0000-000053790000}"/>
    <cellStyle name="Note 3 3 2 2 5" xfId="32313" xr:uid="{00000000-0005-0000-0000-000054790000}"/>
    <cellStyle name="Note 3 3 2 3" xfId="8055" xr:uid="{00000000-0005-0000-0000-000055790000}"/>
    <cellStyle name="Note 3 3 2 3 2" xfId="8056" xr:uid="{00000000-0005-0000-0000-000056790000}"/>
    <cellStyle name="Note 3 3 2 3 2 2" xfId="13324" xr:uid="{00000000-0005-0000-0000-000057790000}"/>
    <cellStyle name="Note 3 3 2 3 2 3" xfId="32317" xr:uid="{00000000-0005-0000-0000-000058790000}"/>
    <cellStyle name="Note 3 3 2 3 3" xfId="12302" xr:uid="{00000000-0005-0000-0000-000059790000}"/>
    <cellStyle name="Note 3 3 2 3 3 2" xfId="26014" xr:uid="{00000000-0005-0000-0000-00005A790000}"/>
    <cellStyle name="Note 3 3 2 3 4" xfId="32316" xr:uid="{00000000-0005-0000-0000-00005B790000}"/>
    <cellStyle name="Note 3 3 2 4" xfId="8057" xr:uid="{00000000-0005-0000-0000-00005C790000}"/>
    <cellStyle name="Note 3 3 2 4 2" xfId="8058" xr:uid="{00000000-0005-0000-0000-00005D790000}"/>
    <cellStyle name="Note 3 3 2 4 2 2" xfId="15758" xr:uid="{00000000-0005-0000-0000-00005E790000}"/>
    <cellStyle name="Note 3 3 2 4 2 3" xfId="32319" xr:uid="{00000000-0005-0000-0000-00005F790000}"/>
    <cellStyle name="Note 3 3 2 4 3" xfId="13866" xr:uid="{00000000-0005-0000-0000-000060790000}"/>
    <cellStyle name="Note 3 3 2 4 3 2" xfId="27415" xr:uid="{00000000-0005-0000-0000-000061790000}"/>
    <cellStyle name="Note 3 3 2 4 4" xfId="32318" xr:uid="{00000000-0005-0000-0000-000062790000}"/>
    <cellStyle name="Note 3 3 2 5" xfId="8059" xr:uid="{00000000-0005-0000-0000-000063790000}"/>
    <cellStyle name="Note 3 3 2 5 2" xfId="14447" xr:uid="{00000000-0005-0000-0000-000064790000}"/>
    <cellStyle name="Note 3 3 2 5 2 2" xfId="27996" xr:uid="{00000000-0005-0000-0000-000065790000}"/>
    <cellStyle name="Note 3 3 2 5 3" xfId="32320" xr:uid="{00000000-0005-0000-0000-000066790000}"/>
    <cellStyle name="Note 3 3 2 6" xfId="8060" xr:uid="{00000000-0005-0000-0000-000067790000}"/>
    <cellStyle name="Note 3 3 2 6 2" xfId="16333" xr:uid="{00000000-0005-0000-0000-000068790000}"/>
    <cellStyle name="Note 3 3 2 6 2 2" xfId="29740" xr:uid="{00000000-0005-0000-0000-000069790000}"/>
    <cellStyle name="Note 3 3 2 6 3" xfId="32321" xr:uid="{00000000-0005-0000-0000-00006A790000}"/>
    <cellStyle name="Note 3 3 2 7" xfId="10317" xr:uid="{00000000-0005-0000-0000-00006B790000}"/>
    <cellStyle name="Note 3 3 2 8" xfId="32312" xr:uid="{00000000-0005-0000-0000-00006C790000}"/>
    <cellStyle name="Note 3 3 3" xfId="8061" xr:uid="{00000000-0005-0000-0000-00006D790000}"/>
    <cellStyle name="Note 3 3 3 2" xfId="8062" xr:uid="{00000000-0005-0000-0000-00006E790000}"/>
    <cellStyle name="Note 3 3 3 2 2" xfId="11645" xr:uid="{00000000-0005-0000-0000-00006F790000}"/>
    <cellStyle name="Note 3 3 3 2 3" xfId="32323" xr:uid="{00000000-0005-0000-0000-000070790000}"/>
    <cellStyle name="Note 3 3 3 3" xfId="8063" xr:uid="{00000000-0005-0000-0000-000071790000}"/>
    <cellStyle name="Note 3 3 3 3 2" xfId="16625" xr:uid="{00000000-0005-0000-0000-000072790000}"/>
    <cellStyle name="Note 3 3 3 3 2 2" xfId="30032" xr:uid="{00000000-0005-0000-0000-000073790000}"/>
    <cellStyle name="Note 3 3 3 3 3" xfId="32324" xr:uid="{00000000-0005-0000-0000-000074790000}"/>
    <cellStyle name="Note 3 3 3 4" xfId="10319" xr:uid="{00000000-0005-0000-0000-000075790000}"/>
    <cellStyle name="Note 3 3 3 5" xfId="32322" xr:uid="{00000000-0005-0000-0000-000076790000}"/>
    <cellStyle name="Note 3 3 4" xfId="8064" xr:uid="{00000000-0005-0000-0000-000077790000}"/>
    <cellStyle name="Note 3 3 4 2" xfId="8065" xr:uid="{00000000-0005-0000-0000-000078790000}"/>
    <cellStyle name="Note 3 3 4 2 2" xfId="13325" xr:uid="{00000000-0005-0000-0000-000079790000}"/>
    <cellStyle name="Note 3 3 4 2 3" xfId="32326" xr:uid="{00000000-0005-0000-0000-00007A790000}"/>
    <cellStyle name="Note 3 3 4 3" xfId="12002" xr:uid="{00000000-0005-0000-0000-00007B790000}"/>
    <cellStyle name="Note 3 3 4 3 2" xfId="25717" xr:uid="{00000000-0005-0000-0000-00007C790000}"/>
    <cellStyle name="Note 3 3 4 4" xfId="32325" xr:uid="{00000000-0005-0000-0000-00007D790000}"/>
    <cellStyle name="Note 3 3 5" xfId="8066" xr:uid="{00000000-0005-0000-0000-00007E790000}"/>
    <cellStyle name="Note 3 3 5 2" xfId="8067" xr:uid="{00000000-0005-0000-0000-00007F790000}"/>
    <cellStyle name="Note 3 3 5 2 2" xfId="15759" xr:uid="{00000000-0005-0000-0000-000080790000}"/>
    <cellStyle name="Note 3 3 5 2 3" xfId="32328" xr:uid="{00000000-0005-0000-0000-000081790000}"/>
    <cellStyle name="Note 3 3 5 3" xfId="13577" xr:uid="{00000000-0005-0000-0000-000082790000}"/>
    <cellStyle name="Note 3 3 5 3 2" xfId="27126" xr:uid="{00000000-0005-0000-0000-000083790000}"/>
    <cellStyle name="Note 3 3 5 4" xfId="32327" xr:uid="{00000000-0005-0000-0000-000084790000}"/>
    <cellStyle name="Note 3 3 6" xfId="8068" xr:uid="{00000000-0005-0000-0000-000085790000}"/>
    <cellStyle name="Note 3 3 6 2" xfId="14158" xr:uid="{00000000-0005-0000-0000-000086790000}"/>
    <cellStyle name="Note 3 3 6 2 2" xfId="27707" xr:uid="{00000000-0005-0000-0000-000087790000}"/>
    <cellStyle name="Note 3 3 6 3" xfId="32329" xr:uid="{00000000-0005-0000-0000-000088790000}"/>
    <cellStyle name="Note 3 3 7" xfId="8069" xr:uid="{00000000-0005-0000-0000-000089790000}"/>
    <cellStyle name="Note 3 3 7 2" xfId="16044" xr:uid="{00000000-0005-0000-0000-00008A790000}"/>
    <cellStyle name="Note 3 3 7 2 2" xfId="29451" xr:uid="{00000000-0005-0000-0000-00008B790000}"/>
    <cellStyle name="Note 3 3 7 3" xfId="32330" xr:uid="{00000000-0005-0000-0000-00008C790000}"/>
    <cellStyle name="Note 3 3 8" xfId="10316" xr:uid="{00000000-0005-0000-0000-00008D790000}"/>
    <cellStyle name="Note 3 3 9" xfId="32311" xr:uid="{00000000-0005-0000-0000-00008E790000}"/>
    <cellStyle name="Note 3 4" xfId="8070" xr:uid="{00000000-0005-0000-0000-00008F790000}"/>
    <cellStyle name="Note 3 4 2" xfId="8071" xr:uid="{00000000-0005-0000-0000-000090790000}"/>
    <cellStyle name="Note 3 4 2 2" xfId="8072" xr:uid="{00000000-0005-0000-0000-000091790000}"/>
    <cellStyle name="Note 3 4 2 2 2" xfId="11646" xr:uid="{00000000-0005-0000-0000-000092790000}"/>
    <cellStyle name="Note 3 4 2 2 3" xfId="32333" xr:uid="{00000000-0005-0000-0000-000093790000}"/>
    <cellStyle name="Note 3 4 2 3" xfId="8073" xr:uid="{00000000-0005-0000-0000-000094790000}"/>
    <cellStyle name="Note 3 4 2 3 2" xfId="16771" xr:uid="{00000000-0005-0000-0000-000095790000}"/>
    <cellStyle name="Note 3 4 2 3 2 2" xfId="30178" xr:uid="{00000000-0005-0000-0000-000096790000}"/>
    <cellStyle name="Note 3 4 2 3 3" xfId="32334" xr:uid="{00000000-0005-0000-0000-000097790000}"/>
    <cellStyle name="Note 3 4 2 4" xfId="10321" xr:uid="{00000000-0005-0000-0000-000098790000}"/>
    <cellStyle name="Note 3 4 2 5" xfId="32332" xr:uid="{00000000-0005-0000-0000-000099790000}"/>
    <cellStyle name="Note 3 4 3" xfId="8074" xr:uid="{00000000-0005-0000-0000-00009A790000}"/>
    <cellStyle name="Note 3 4 3 2" xfId="8075" xr:uid="{00000000-0005-0000-0000-00009B790000}"/>
    <cellStyle name="Note 3 4 3 2 2" xfId="13326" xr:uid="{00000000-0005-0000-0000-00009C790000}"/>
    <cellStyle name="Note 3 4 3 2 3" xfId="32336" xr:uid="{00000000-0005-0000-0000-00009D790000}"/>
    <cellStyle name="Note 3 4 3 3" xfId="12159" xr:uid="{00000000-0005-0000-0000-00009E790000}"/>
    <cellStyle name="Note 3 4 3 3 2" xfId="25871" xr:uid="{00000000-0005-0000-0000-00009F790000}"/>
    <cellStyle name="Note 3 4 3 4" xfId="32335" xr:uid="{00000000-0005-0000-0000-0000A0790000}"/>
    <cellStyle name="Note 3 4 4" xfId="8076" xr:uid="{00000000-0005-0000-0000-0000A1790000}"/>
    <cellStyle name="Note 3 4 4 2" xfId="8077" xr:uid="{00000000-0005-0000-0000-0000A2790000}"/>
    <cellStyle name="Note 3 4 4 2 2" xfId="15760" xr:uid="{00000000-0005-0000-0000-0000A3790000}"/>
    <cellStyle name="Note 3 4 4 2 3" xfId="32338" xr:uid="{00000000-0005-0000-0000-0000A4790000}"/>
    <cellStyle name="Note 3 4 4 3" xfId="13723" xr:uid="{00000000-0005-0000-0000-0000A5790000}"/>
    <cellStyle name="Note 3 4 4 3 2" xfId="27272" xr:uid="{00000000-0005-0000-0000-0000A6790000}"/>
    <cellStyle name="Note 3 4 4 4" xfId="32337" xr:uid="{00000000-0005-0000-0000-0000A7790000}"/>
    <cellStyle name="Note 3 4 5" xfId="8078" xr:uid="{00000000-0005-0000-0000-0000A8790000}"/>
    <cellStyle name="Note 3 4 5 2" xfId="14304" xr:uid="{00000000-0005-0000-0000-0000A9790000}"/>
    <cellStyle name="Note 3 4 5 2 2" xfId="27853" xr:uid="{00000000-0005-0000-0000-0000AA790000}"/>
    <cellStyle name="Note 3 4 5 3" xfId="32339" xr:uid="{00000000-0005-0000-0000-0000AB790000}"/>
    <cellStyle name="Note 3 4 6" xfId="8079" xr:uid="{00000000-0005-0000-0000-0000AC790000}"/>
    <cellStyle name="Note 3 4 6 2" xfId="16190" xr:uid="{00000000-0005-0000-0000-0000AD790000}"/>
    <cellStyle name="Note 3 4 6 2 2" xfId="29597" xr:uid="{00000000-0005-0000-0000-0000AE790000}"/>
    <cellStyle name="Note 3 4 6 3" xfId="32340" xr:uid="{00000000-0005-0000-0000-0000AF790000}"/>
    <cellStyle name="Note 3 4 7" xfId="10320" xr:uid="{00000000-0005-0000-0000-0000B0790000}"/>
    <cellStyle name="Note 3 4 8" xfId="32331" xr:uid="{00000000-0005-0000-0000-0000B1790000}"/>
    <cellStyle name="Note 3 5" xfId="8080" xr:uid="{00000000-0005-0000-0000-0000B2790000}"/>
    <cellStyle name="Note 3 5 2" xfId="8081" xr:uid="{00000000-0005-0000-0000-0000B3790000}"/>
    <cellStyle name="Note 3 5 2 2" xfId="11647" xr:uid="{00000000-0005-0000-0000-0000B4790000}"/>
    <cellStyle name="Note 3 5 2 3" xfId="32342" xr:uid="{00000000-0005-0000-0000-0000B5790000}"/>
    <cellStyle name="Note 3 5 3" xfId="8082" xr:uid="{00000000-0005-0000-0000-0000B6790000}"/>
    <cellStyle name="Note 3 5 3 2" xfId="17118" xr:uid="{00000000-0005-0000-0000-0000B7790000}"/>
    <cellStyle name="Note 3 5 3 2 2" xfId="30477" xr:uid="{00000000-0005-0000-0000-0000B8790000}"/>
    <cellStyle name="Note 3 5 3 3" xfId="32343" xr:uid="{00000000-0005-0000-0000-0000B9790000}"/>
    <cellStyle name="Note 3 5 4" xfId="10322" xr:uid="{00000000-0005-0000-0000-0000BA790000}"/>
    <cellStyle name="Note 3 5 5" xfId="32341" xr:uid="{00000000-0005-0000-0000-0000BB790000}"/>
    <cellStyle name="Note 3 6" xfId="8083" xr:uid="{00000000-0005-0000-0000-0000BC790000}"/>
    <cellStyle name="Note 3 6 2" xfId="8084" xr:uid="{00000000-0005-0000-0000-0000BD790000}"/>
    <cellStyle name="Note 3 6 2 2" xfId="13327" xr:uid="{00000000-0005-0000-0000-0000BE790000}"/>
    <cellStyle name="Note 3 6 2 3" xfId="32345" xr:uid="{00000000-0005-0000-0000-0000BF790000}"/>
    <cellStyle name="Note 3 6 3" xfId="8085" xr:uid="{00000000-0005-0000-0000-0000C0790000}"/>
    <cellStyle name="Note 3 6 3 2" xfId="17207" xr:uid="{00000000-0005-0000-0000-0000C1790000}"/>
    <cellStyle name="Note 3 6 3 2 2" xfId="30566" xr:uid="{00000000-0005-0000-0000-0000C2790000}"/>
    <cellStyle name="Note 3 6 3 3" xfId="32346" xr:uid="{00000000-0005-0000-0000-0000C3790000}"/>
    <cellStyle name="Note 3 6 4" xfId="11834" xr:uid="{00000000-0005-0000-0000-0000C4790000}"/>
    <cellStyle name="Note 3 6 4 2" xfId="25549" xr:uid="{00000000-0005-0000-0000-0000C5790000}"/>
    <cellStyle name="Note 3 6 5" xfId="32344" xr:uid="{00000000-0005-0000-0000-0000C6790000}"/>
    <cellStyle name="Note 3 7" xfId="8086" xr:uid="{00000000-0005-0000-0000-0000C7790000}"/>
    <cellStyle name="Note 3 7 2" xfId="8087" xr:uid="{00000000-0005-0000-0000-0000C8790000}"/>
    <cellStyle name="Note 3 7 2 2" xfId="15761" xr:uid="{00000000-0005-0000-0000-0000C9790000}"/>
    <cellStyle name="Note 3 7 2 3" xfId="32348" xr:uid="{00000000-0005-0000-0000-0000CA790000}"/>
    <cellStyle name="Note 3 7 3" xfId="8088" xr:uid="{00000000-0005-0000-0000-0000CB790000}"/>
    <cellStyle name="Note 3 7 3 2" xfId="16482" xr:uid="{00000000-0005-0000-0000-0000CC790000}"/>
    <cellStyle name="Note 3 7 3 2 2" xfId="29889" xr:uid="{00000000-0005-0000-0000-0000CD790000}"/>
    <cellStyle name="Note 3 7 3 3" xfId="32349" xr:uid="{00000000-0005-0000-0000-0000CE790000}"/>
    <cellStyle name="Note 3 7 4" xfId="13434" xr:uid="{00000000-0005-0000-0000-0000CF790000}"/>
    <cellStyle name="Note 3 7 4 2" xfId="26983" xr:uid="{00000000-0005-0000-0000-0000D0790000}"/>
    <cellStyle name="Note 3 7 5" xfId="32347" xr:uid="{00000000-0005-0000-0000-0000D1790000}"/>
    <cellStyle name="Note 3 8" xfId="8089" xr:uid="{00000000-0005-0000-0000-0000D2790000}"/>
    <cellStyle name="Note 3 8 2" xfId="14015" xr:uid="{00000000-0005-0000-0000-0000D3790000}"/>
    <cellStyle name="Note 3 8 2 2" xfId="27564" xr:uid="{00000000-0005-0000-0000-0000D4790000}"/>
    <cellStyle name="Note 3 8 3" xfId="32350" xr:uid="{00000000-0005-0000-0000-0000D5790000}"/>
    <cellStyle name="Note 3 9" xfId="8090" xr:uid="{00000000-0005-0000-0000-0000D6790000}"/>
    <cellStyle name="Note 3 9 2" xfId="15901" xr:uid="{00000000-0005-0000-0000-0000D7790000}"/>
    <cellStyle name="Note 3 9 2 2" xfId="29308" xr:uid="{00000000-0005-0000-0000-0000D8790000}"/>
    <cellStyle name="Note 3 9 3" xfId="32351" xr:uid="{00000000-0005-0000-0000-0000D9790000}"/>
    <cellStyle name="Note 4" xfId="17373" xr:uid="{00000000-0005-0000-0000-0000DA790000}"/>
    <cellStyle name="Note 4 2" xfId="30689" xr:uid="{00000000-0005-0000-0000-0000DB790000}"/>
    <cellStyle name="Note 5" xfId="17294" xr:uid="{00000000-0005-0000-0000-0000DC790000}"/>
    <cellStyle name="Note 5 2" xfId="30653" xr:uid="{00000000-0005-0000-0000-0000DD790000}"/>
    <cellStyle name="Output" xfId="23" builtinId="21" customBuiltin="1"/>
    <cellStyle name="Output 10" xfId="8091" xr:uid="{00000000-0005-0000-0000-0000DF790000}"/>
    <cellStyle name="Output 10 2" xfId="10324" xr:uid="{00000000-0005-0000-0000-0000E0790000}"/>
    <cellStyle name="Output 10 3" xfId="32352" xr:uid="{00000000-0005-0000-0000-0000E1790000}"/>
    <cellStyle name="Output 11" xfId="8092" xr:uid="{00000000-0005-0000-0000-0000E2790000}"/>
    <cellStyle name="Output 11 2" xfId="10325" xr:uid="{00000000-0005-0000-0000-0000E3790000}"/>
    <cellStyle name="Output 11 3" xfId="32353" xr:uid="{00000000-0005-0000-0000-0000E4790000}"/>
    <cellStyle name="Output 12" xfId="8093" xr:uid="{00000000-0005-0000-0000-0000E5790000}"/>
    <cellStyle name="Output 12 2" xfId="8094" xr:uid="{00000000-0005-0000-0000-0000E6790000}"/>
    <cellStyle name="Output 12 2 2" xfId="15762" xr:uid="{00000000-0005-0000-0000-0000E7790000}"/>
    <cellStyle name="Output 12 2 3" xfId="32355" xr:uid="{00000000-0005-0000-0000-0000E8790000}"/>
    <cellStyle name="Output 12 3" xfId="10499" xr:uid="{00000000-0005-0000-0000-0000E9790000}"/>
    <cellStyle name="Output 12 4" xfId="32354" xr:uid="{00000000-0005-0000-0000-0000EA790000}"/>
    <cellStyle name="Output 13" xfId="8095" xr:uid="{00000000-0005-0000-0000-0000EB790000}"/>
    <cellStyle name="Output 13 2" xfId="11648" xr:uid="{00000000-0005-0000-0000-0000EC790000}"/>
    <cellStyle name="Output 13 3" xfId="32356" xr:uid="{00000000-0005-0000-0000-0000ED790000}"/>
    <cellStyle name="Output 14" xfId="8096" xr:uid="{00000000-0005-0000-0000-0000EE790000}"/>
    <cellStyle name="Output 14 2" xfId="10323" xr:uid="{00000000-0005-0000-0000-0000EF790000}"/>
    <cellStyle name="Output 14 3" xfId="32357" xr:uid="{00000000-0005-0000-0000-0000F0790000}"/>
    <cellStyle name="Output 2" xfId="8097" xr:uid="{00000000-0005-0000-0000-0000F1790000}"/>
    <cellStyle name="Output 2 2" xfId="10326" xr:uid="{00000000-0005-0000-0000-0000F2790000}"/>
    <cellStyle name="Output 2 3" xfId="32358" xr:uid="{00000000-0005-0000-0000-0000F3790000}"/>
    <cellStyle name="Output 2 4" xfId="33053" xr:uid="{00000000-0005-0000-0000-0000F4790000}"/>
    <cellStyle name="Output 3" xfId="8098" xr:uid="{00000000-0005-0000-0000-0000F5790000}"/>
    <cellStyle name="Output 3 2" xfId="8099" xr:uid="{00000000-0005-0000-0000-0000F6790000}"/>
    <cellStyle name="Output 3 2 2" xfId="10328" xr:uid="{00000000-0005-0000-0000-0000F7790000}"/>
    <cellStyle name="Output 3 2 3" xfId="32360" xr:uid="{00000000-0005-0000-0000-0000F8790000}"/>
    <cellStyle name="Output 3 3" xfId="10327" xr:uid="{00000000-0005-0000-0000-0000F9790000}"/>
    <cellStyle name="Output 3 4" xfId="32359" xr:uid="{00000000-0005-0000-0000-0000FA790000}"/>
    <cellStyle name="Output 4" xfId="8100" xr:uid="{00000000-0005-0000-0000-0000FB790000}"/>
    <cellStyle name="Output 4 2" xfId="8101" xr:uid="{00000000-0005-0000-0000-0000FC790000}"/>
    <cellStyle name="Output 4 2 2" xfId="13329" xr:uid="{00000000-0005-0000-0000-0000FD790000}"/>
    <cellStyle name="Output 4 2 3" xfId="32362" xr:uid="{00000000-0005-0000-0000-0000FE790000}"/>
    <cellStyle name="Output 4 3" xfId="8102" xr:uid="{00000000-0005-0000-0000-0000FF790000}"/>
    <cellStyle name="Output 4 3 2" xfId="13328" xr:uid="{00000000-0005-0000-0000-0000007A0000}"/>
    <cellStyle name="Output 4 3 3" xfId="32363" xr:uid="{00000000-0005-0000-0000-0000017A0000}"/>
    <cellStyle name="Output 4 4" xfId="10329" xr:uid="{00000000-0005-0000-0000-0000027A0000}"/>
    <cellStyle name="Output 4 5" xfId="32361" xr:uid="{00000000-0005-0000-0000-0000037A0000}"/>
    <cellStyle name="Output 5" xfId="8103" xr:uid="{00000000-0005-0000-0000-0000047A0000}"/>
    <cellStyle name="Output 5 2" xfId="8104" xr:uid="{00000000-0005-0000-0000-0000057A0000}"/>
    <cellStyle name="Output 5 2 2" xfId="10331" xr:uid="{00000000-0005-0000-0000-0000067A0000}"/>
    <cellStyle name="Output 5 2 3" xfId="32365" xr:uid="{00000000-0005-0000-0000-0000077A0000}"/>
    <cellStyle name="Output 5 3" xfId="10330" xr:uid="{00000000-0005-0000-0000-0000087A0000}"/>
    <cellStyle name="Output 5 4" xfId="32364" xr:uid="{00000000-0005-0000-0000-0000097A0000}"/>
    <cellStyle name="Output 6" xfId="8105" xr:uid="{00000000-0005-0000-0000-00000A7A0000}"/>
    <cellStyle name="Output 6 2" xfId="10332" xr:uid="{00000000-0005-0000-0000-00000B7A0000}"/>
    <cellStyle name="Output 6 3" xfId="32366" xr:uid="{00000000-0005-0000-0000-00000C7A0000}"/>
    <cellStyle name="Output 7" xfId="8106" xr:uid="{00000000-0005-0000-0000-00000D7A0000}"/>
    <cellStyle name="Output 7 2" xfId="10333" xr:uid="{00000000-0005-0000-0000-00000E7A0000}"/>
    <cellStyle name="Output 7 3" xfId="32367" xr:uid="{00000000-0005-0000-0000-00000F7A0000}"/>
    <cellStyle name="Output 8" xfId="8107" xr:uid="{00000000-0005-0000-0000-0000107A0000}"/>
    <cellStyle name="Output 8 2" xfId="10334" xr:uid="{00000000-0005-0000-0000-0000117A0000}"/>
    <cellStyle name="Output 8 3" xfId="32368" xr:uid="{00000000-0005-0000-0000-0000127A0000}"/>
    <cellStyle name="Output 9" xfId="8108" xr:uid="{00000000-0005-0000-0000-0000137A0000}"/>
    <cellStyle name="Output 9 2" xfId="10335" xr:uid="{00000000-0005-0000-0000-0000147A0000}"/>
    <cellStyle name="Output 9 3" xfId="32369" xr:uid="{00000000-0005-0000-0000-0000157A0000}"/>
    <cellStyle name="Percent" xfId="9" builtinId="5"/>
    <cellStyle name="Percent 10" xfId="10336" xr:uid="{00000000-0005-0000-0000-0000177A0000}"/>
    <cellStyle name="Percent 11" xfId="17374" xr:uid="{00000000-0005-0000-0000-0000187A0000}"/>
    <cellStyle name="Percent 11 2" xfId="30690" xr:uid="{00000000-0005-0000-0000-0000197A0000}"/>
    <cellStyle name="Percent 12" xfId="8787" xr:uid="{00000000-0005-0000-0000-00001A7A0000}"/>
    <cellStyle name="Percent 13" xfId="51" xr:uid="{00000000-0005-0000-0000-00001B7A0000}"/>
    <cellStyle name="Percent 2" xfId="10" xr:uid="{00000000-0005-0000-0000-00001C7A0000}"/>
    <cellStyle name="Percent 2 10" xfId="8110" xr:uid="{00000000-0005-0000-0000-00001D7A0000}"/>
    <cellStyle name="Percent 2 10 2" xfId="10338" xr:uid="{00000000-0005-0000-0000-00001E7A0000}"/>
    <cellStyle name="Percent 2 10 3" xfId="32370" xr:uid="{00000000-0005-0000-0000-00001F7A0000}"/>
    <cellStyle name="Percent 2 11" xfId="8111" xr:uid="{00000000-0005-0000-0000-0000207A0000}"/>
    <cellStyle name="Percent 2 11 2" xfId="8112" xr:uid="{00000000-0005-0000-0000-0000217A0000}"/>
    <cellStyle name="Percent 2 11 2 2" xfId="13330" xr:uid="{00000000-0005-0000-0000-0000227A0000}"/>
    <cellStyle name="Percent 2 11 2 3" xfId="32372" xr:uid="{00000000-0005-0000-0000-0000237A0000}"/>
    <cellStyle name="Percent 2 11 3" xfId="8113" xr:uid="{00000000-0005-0000-0000-0000247A0000}"/>
    <cellStyle name="Percent 2 11 3 2" xfId="17054" xr:uid="{00000000-0005-0000-0000-0000257A0000}"/>
    <cellStyle name="Percent 2 11 3 2 2" xfId="30453" xr:uid="{00000000-0005-0000-0000-0000267A0000}"/>
    <cellStyle name="Percent 2 11 3 3" xfId="32373" xr:uid="{00000000-0005-0000-0000-0000277A0000}"/>
    <cellStyle name="Percent 2 11 4" xfId="10339" xr:uid="{00000000-0005-0000-0000-0000287A0000}"/>
    <cellStyle name="Percent 2 11 5" xfId="32371" xr:uid="{00000000-0005-0000-0000-0000297A0000}"/>
    <cellStyle name="Percent 2 12" xfId="8114" xr:uid="{00000000-0005-0000-0000-00002A7A0000}"/>
    <cellStyle name="Percent 2 12 2" xfId="8115" xr:uid="{00000000-0005-0000-0000-00002B7A0000}"/>
    <cellStyle name="Percent 2 12 2 2" xfId="13332" xr:uid="{00000000-0005-0000-0000-00002C7A0000}"/>
    <cellStyle name="Percent 2 12 2 3" xfId="32375" xr:uid="{00000000-0005-0000-0000-00002D7A0000}"/>
    <cellStyle name="Percent 2 12 3" xfId="8116" xr:uid="{00000000-0005-0000-0000-00002E7A0000}"/>
    <cellStyle name="Percent 2 12 3 2" xfId="13331" xr:uid="{00000000-0005-0000-0000-00002F7A0000}"/>
    <cellStyle name="Percent 2 12 3 2 2" xfId="26922" xr:uid="{00000000-0005-0000-0000-0000307A0000}"/>
    <cellStyle name="Percent 2 12 3 3" xfId="32376" xr:uid="{00000000-0005-0000-0000-0000317A0000}"/>
    <cellStyle name="Percent 2 12 4" xfId="8117" xr:uid="{00000000-0005-0000-0000-0000327A0000}"/>
    <cellStyle name="Percent 2 12 4 2" xfId="17112" xr:uid="{00000000-0005-0000-0000-0000337A0000}"/>
    <cellStyle name="Percent 2 12 4 2 2" xfId="30471" xr:uid="{00000000-0005-0000-0000-0000347A0000}"/>
    <cellStyle name="Percent 2 12 4 3" xfId="32377" xr:uid="{00000000-0005-0000-0000-0000357A0000}"/>
    <cellStyle name="Percent 2 12 5" xfId="10340" xr:uid="{00000000-0005-0000-0000-0000367A0000}"/>
    <cellStyle name="Percent 2 12 6" xfId="32374" xr:uid="{00000000-0005-0000-0000-0000377A0000}"/>
    <cellStyle name="Percent 2 13" xfId="8118" xr:uid="{00000000-0005-0000-0000-0000387A0000}"/>
    <cellStyle name="Percent 2 13 2" xfId="8119" xr:uid="{00000000-0005-0000-0000-0000397A0000}"/>
    <cellStyle name="Percent 2 13 2 2" xfId="17201" xr:uid="{00000000-0005-0000-0000-00003A7A0000}"/>
    <cellStyle name="Percent 2 13 2 2 2" xfId="30560" xr:uid="{00000000-0005-0000-0000-00003B7A0000}"/>
    <cellStyle name="Percent 2 13 2 3" xfId="32379" xr:uid="{00000000-0005-0000-0000-00003C7A0000}"/>
    <cellStyle name="Percent 2 13 3" xfId="10341" xr:uid="{00000000-0005-0000-0000-00003D7A0000}"/>
    <cellStyle name="Percent 2 13 4" xfId="32378" xr:uid="{00000000-0005-0000-0000-00003E7A0000}"/>
    <cellStyle name="Percent 2 14" xfId="8120" xr:uid="{00000000-0005-0000-0000-00003F7A0000}"/>
    <cellStyle name="Percent 2 14 2" xfId="8121" xr:uid="{00000000-0005-0000-0000-0000407A0000}"/>
    <cellStyle name="Percent 2 14 2 2" xfId="8122" xr:uid="{00000000-0005-0000-0000-0000417A0000}"/>
    <cellStyle name="Percent 2 14 2 2 2" xfId="11651" xr:uid="{00000000-0005-0000-0000-0000427A0000}"/>
    <cellStyle name="Percent 2 14 2 2 3" xfId="32382" xr:uid="{00000000-0005-0000-0000-0000437A0000}"/>
    <cellStyle name="Percent 2 14 2 3" xfId="10343" xr:uid="{00000000-0005-0000-0000-0000447A0000}"/>
    <cellStyle name="Percent 2 14 2 4" xfId="32381" xr:uid="{00000000-0005-0000-0000-0000457A0000}"/>
    <cellStyle name="Percent 2 14 3" xfId="8123" xr:uid="{00000000-0005-0000-0000-0000467A0000}"/>
    <cellStyle name="Percent 2 14 3 2" xfId="11650" xr:uid="{00000000-0005-0000-0000-0000477A0000}"/>
    <cellStyle name="Percent 2 14 3 3" xfId="32383" xr:uid="{00000000-0005-0000-0000-0000487A0000}"/>
    <cellStyle name="Percent 2 14 4" xfId="8124" xr:uid="{00000000-0005-0000-0000-0000497A0000}"/>
    <cellStyle name="Percent 2 14 4 2" xfId="17290" xr:uid="{00000000-0005-0000-0000-00004A7A0000}"/>
    <cellStyle name="Percent 2 14 4 2 2" xfId="30649" xr:uid="{00000000-0005-0000-0000-00004B7A0000}"/>
    <cellStyle name="Percent 2 14 4 3" xfId="32384" xr:uid="{00000000-0005-0000-0000-00004C7A0000}"/>
    <cellStyle name="Percent 2 14 5" xfId="10342" xr:uid="{00000000-0005-0000-0000-00004D7A0000}"/>
    <cellStyle name="Percent 2 14 6" xfId="32380" xr:uid="{00000000-0005-0000-0000-00004E7A0000}"/>
    <cellStyle name="Percent 2 15" xfId="8125" xr:uid="{00000000-0005-0000-0000-00004F7A0000}"/>
    <cellStyle name="Percent 2 15 2" xfId="8126" xr:uid="{00000000-0005-0000-0000-0000507A0000}"/>
    <cellStyle name="Percent 2 15 2 2" xfId="11652" xr:uid="{00000000-0005-0000-0000-0000517A0000}"/>
    <cellStyle name="Percent 2 15 2 3" xfId="32386" xr:uid="{00000000-0005-0000-0000-0000527A0000}"/>
    <cellStyle name="Percent 2 15 3" xfId="8127" xr:uid="{00000000-0005-0000-0000-0000537A0000}"/>
    <cellStyle name="Percent 2 15 3 2" xfId="16442" xr:uid="{00000000-0005-0000-0000-0000547A0000}"/>
    <cellStyle name="Percent 2 15 3 2 2" xfId="29849" xr:uid="{00000000-0005-0000-0000-0000557A0000}"/>
    <cellStyle name="Percent 2 15 3 3" xfId="32387" xr:uid="{00000000-0005-0000-0000-0000567A0000}"/>
    <cellStyle name="Percent 2 15 4" xfId="10344" xr:uid="{00000000-0005-0000-0000-0000577A0000}"/>
    <cellStyle name="Percent 2 15 5" xfId="32385" xr:uid="{00000000-0005-0000-0000-0000587A0000}"/>
    <cellStyle name="Percent 2 16" xfId="8128" xr:uid="{00000000-0005-0000-0000-0000597A0000}"/>
    <cellStyle name="Percent 2 16 2" xfId="8129" xr:uid="{00000000-0005-0000-0000-00005A7A0000}"/>
    <cellStyle name="Percent 2 16 2 2" xfId="11653" xr:uid="{00000000-0005-0000-0000-00005B7A0000}"/>
    <cellStyle name="Percent 2 16 2 3" xfId="32389" xr:uid="{00000000-0005-0000-0000-00005C7A0000}"/>
    <cellStyle name="Percent 2 16 3" xfId="10345" xr:uid="{00000000-0005-0000-0000-00005D7A0000}"/>
    <cellStyle name="Percent 2 16 4" xfId="32388" xr:uid="{00000000-0005-0000-0000-00005E7A0000}"/>
    <cellStyle name="Percent 2 17" xfId="8130" xr:uid="{00000000-0005-0000-0000-00005F7A0000}"/>
    <cellStyle name="Percent 2 17 2" xfId="8131" xr:uid="{00000000-0005-0000-0000-0000607A0000}"/>
    <cellStyle name="Percent 2 17 2 2" xfId="11654" xr:uid="{00000000-0005-0000-0000-0000617A0000}"/>
    <cellStyle name="Percent 2 17 2 3" xfId="32391" xr:uid="{00000000-0005-0000-0000-0000627A0000}"/>
    <cellStyle name="Percent 2 17 3" xfId="10346" xr:uid="{00000000-0005-0000-0000-0000637A0000}"/>
    <cellStyle name="Percent 2 17 4" xfId="32390" xr:uid="{00000000-0005-0000-0000-0000647A0000}"/>
    <cellStyle name="Percent 2 18" xfId="8132" xr:uid="{00000000-0005-0000-0000-0000657A0000}"/>
    <cellStyle name="Percent 2 18 2" xfId="8133" xr:uid="{00000000-0005-0000-0000-0000667A0000}"/>
    <cellStyle name="Percent 2 18 2 2" xfId="11655" xr:uid="{00000000-0005-0000-0000-0000677A0000}"/>
    <cellStyle name="Percent 2 18 2 3" xfId="32393" xr:uid="{00000000-0005-0000-0000-0000687A0000}"/>
    <cellStyle name="Percent 2 18 3" xfId="10347" xr:uid="{00000000-0005-0000-0000-0000697A0000}"/>
    <cellStyle name="Percent 2 18 4" xfId="32392" xr:uid="{00000000-0005-0000-0000-00006A7A0000}"/>
    <cellStyle name="Percent 2 19" xfId="8134" xr:uid="{00000000-0005-0000-0000-00006B7A0000}"/>
    <cellStyle name="Percent 2 19 2" xfId="8135" xr:uid="{00000000-0005-0000-0000-00006C7A0000}"/>
    <cellStyle name="Percent 2 19 2 2" xfId="11656" xr:uid="{00000000-0005-0000-0000-00006D7A0000}"/>
    <cellStyle name="Percent 2 19 2 3" xfId="32395" xr:uid="{00000000-0005-0000-0000-00006E7A0000}"/>
    <cellStyle name="Percent 2 19 3" xfId="10348" xr:uid="{00000000-0005-0000-0000-00006F7A0000}"/>
    <cellStyle name="Percent 2 19 4" xfId="32394" xr:uid="{00000000-0005-0000-0000-0000707A0000}"/>
    <cellStyle name="Percent 2 2" xfId="8136" xr:uid="{00000000-0005-0000-0000-0000717A0000}"/>
    <cellStyle name="Percent 2 2 10" xfId="8137" xr:uid="{00000000-0005-0000-0000-0000727A0000}"/>
    <cellStyle name="Percent 2 2 10 2" xfId="11657" xr:uid="{00000000-0005-0000-0000-0000737A0000}"/>
    <cellStyle name="Percent 2 2 10 3" xfId="32397" xr:uid="{00000000-0005-0000-0000-0000747A0000}"/>
    <cellStyle name="Percent 2 2 11" xfId="8138" xr:uid="{00000000-0005-0000-0000-0000757A0000}"/>
    <cellStyle name="Percent 2 2 11 2" xfId="8139" xr:uid="{00000000-0005-0000-0000-0000767A0000}"/>
    <cellStyle name="Percent 2 2 11 2 2" xfId="13333" xr:uid="{00000000-0005-0000-0000-0000777A0000}"/>
    <cellStyle name="Percent 2 2 11 2 2 2" xfId="26923" xr:uid="{00000000-0005-0000-0000-0000787A0000}"/>
    <cellStyle name="Percent 2 2 11 2 3" xfId="32399" xr:uid="{00000000-0005-0000-0000-0000797A0000}"/>
    <cellStyle name="Percent 2 2 11 3" xfId="8140" xr:uid="{00000000-0005-0000-0000-00007A7A0000}"/>
    <cellStyle name="Percent 2 2 11 3 2" xfId="15763" xr:uid="{00000000-0005-0000-0000-00007B7A0000}"/>
    <cellStyle name="Percent 2 2 11 3 3" xfId="32400" xr:uid="{00000000-0005-0000-0000-00007C7A0000}"/>
    <cellStyle name="Percent 2 2 11 4" xfId="11733" xr:uid="{00000000-0005-0000-0000-00007D7A0000}"/>
    <cellStyle name="Percent 2 2 11 5" xfId="32398" xr:uid="{00000000-0005-0000-0000-00007E7A0000}"/>
    <cellStyle name="Percent 2 2 12" xfId="8141" xr:uid="{00000000-0005-0000-0000-00007F7A0000}"/>
    <cellStyle name="Percent 2 2 12 2" xfId="11863" xr:uid="{00000000-0005-0000-0000-0000807A0000}"/>
    <cellStyle name="Percent 2 2 12 2 2" xfId="25578" xr:uid="{00000000-0005-0000-0000-0000817A0000}"/>
    <cellStyle name="Percent 2 2 12 3" xfId="32401" xr:uid="{00000000-0005-0000-0000-0000827A0000}"/>
    <cellStyle name="Percent 2 2 13" xfId="8142" xr:uid="{00000000-0005-0000-0000-0000837A0000}"/>
    <cellStyle name="Percent 2 2 13 2" xfId="13451" xr:uid="{00000000-0005-0000-0000-0000847A0000}"/>
    <cellStyle name="Percent 2 2 13 2 2" xfId="27000" xr:uid="{00000000-0005-0000-0000-0000857A0000}"/>
    <cellStyle name="Percent 2 2 13 3" xfId="32402" xr:uid="{00000000-0005-0000-0000-0000867A0000}"/>
    <cellStyle name="Percent 2 2 14" xfId="8143" xr:uid="{00000000-0005-0000-0000-0000877A0000}"/>
    <cellStyle name="Percent 2 2 14 2" xfId="14032" xr:uid="{00000000-0005-0000-0000-0000887A0000}"/>
    <cellStyle name="Percent 2 2 14 2 2" xfId="27581" xr:uid="{00000000-0005-0000-0000-0000897A0000}"/>
    <cellStyle name="Percent 2 2 14 3" xfId="32403" xr:uid="{00000000-0005-0000-0000-00008A7A0000}"/>
    <cellStyle name="Percent 2 2 15" xfId="8144" xr:uid="{00000000-0005-0000-0000-00008B7A0000}"/>
    <cellStyle name="Percent 2 2 15 2" xfId="15918" xr:uid="{00000000-0005-0000-0000-00008C7A0000}"/>
    <cellStyle name="Percent 2 2 15 2 2" xfId="29325" xr:uid="{00000000-0005-0000-0000-00008D7A0000}"/>
    <cellStyle name="Percent 2 2 15 3" xfId="32404" xr:uid="{00000000-0005-0000-0000-00008E7A0000}"/>
    <cellStyle name="Percent 2 2 16" xfId="8145" xr:uid="{00000000-0005-0000-0000-00008F7A0000}"/>
    <cellStyle name="Percent 2 2 16 2" xfId="10349" xr:uid="{00000000-0005-0000-0000-0000907A0000}"/>
    <cellStyle name="Percent 2 2 16 3" xfId="32405" xr:uid="{00000000-0005-0000-0000-0000917A0000}"/>
    <cellStyle name="Percent 2 2 17" xfId="8709" xr:uid="{00000000-0005-0000-0000-0000927A0000}"/>
    <cellStyle name="Percent 2 2 18" xfId="32396" xr:uid="{00000000-0005-0000-0000-0000937A0000}"/>
    <cellStyle name="Percent 2 2 2" xfId="8146" xr:uid="{00000000-0005-0000-0000-0000947A0000}"/>
    <cellStyle name="Percent 2 2 2 10" xfId="10350" xr:uid="{00000000-0005-0000-0000-0000957A0000}"/>
    <cellStyle name="Percent 2 2 2 11" xfId="32406" xr:uid="{00000000-0005-0000-0000-0000967A0000}"/>
    <cellStyle name="Percent 2 2 2 2" xfId="8147" xr:uid="{00000000-0005-0000-0000-0000977A0000}"/>
    <cellStyle name="Percent 2 2 2 2 2" xfId="8148" xr:uid="{00000000-0005-0000-0000-0000987A0000}"/>
    <cellStyle name="Percent 2 2 2 2 2 2" xfId="8149" xr:uid="{00000000-0005-0000-0000-0000997A0000}"/>
    <cellStyle name="Percent 2 2 2 2 2 2 2" xfId="8150" xr:uid="{00000000-0005-0000-0000-00009A7A0000}"/>
    <cellStyle name="Percent 2 2 2 2 2 2 2 2" xfId="11658" xr:uid="{00000000-0005-0000-0000-00009B7A0000}"/>
    <cellStyle name="Percent 2 2 2 2 2 2 2 3" xfId="32410" xr:uid="{00000000-0005-0000-0000-00009C7A0000}"/>
    <cellStyle name="Percent 2 2 2 2 2 2 3" xfId="8151" xr:uid="{00000000-0005-0000-0000-00009D7A0000}"/>
    <cellStyle name="Percent 2 2 2 2 2 2 3 2" xfId="16977" xr:uid="{00000000-0005-0000-0000-00009E7A0000}"/>
    <cellStyle name="Percent 2 2 2 2 2 2 3 2 2" xfId="30384" xr:uid="{00000000-0005-0000-0000-00009F7A0000}"/>
    <cellStyle name="Percent 2 2 2 2 2 2 3 3" xfId="32411" xr:uid="{00000000-0005-0000-0000-0000A07A0000}"/>
    <cellStyle name="Percent 2 2 2 2 2 2 4" xfId="10353" xr:uid="{00000000-0005-0000-0000-0000A17A0000}"/>
    <cellStyle name="Percent 2 2 2 2 2 2 5" xfId="32409" xr:uid="{00000000-0005-0000-0000-0000A27A0000}"/>
    <cellStyle name="Percent 2 2 2 2 2 3" xfId="8152" xr:uid="{00000000-0005-0000-0000-0000A37A0000}"/>
    <cellStyle name="Percent 2 2 2 2 2 3 2" xfId="8153" xr:uid="{00000000-0005-0000-0000-0000A47A0000}"/>
    <cellStyle name="Percent 2 2 2 2 2 3 2 2" xfId="13334" xr:uid="{00000000-0005-0000-0000-0000A57A0000}"/>
    <cellStyle name="Percent 2 2 2 2 2 3 2 3" xfId="32413" xr:uid="{00000000-0005-0000-0000-0000A67A0000}"/>
    <cellStyle name="Percent 2 2 2 2 2 3 3" xfId="12365" xr:uid="{00000000-0005-0000-0000-0000A77A0000}"/>
    <cellStyle name="Percent 2 2 2 2 2 3 3 2" xfId="26077" xr:uid="{00000000-0005-0000-0000-0000A87A0000}"/>
    <cellStyle name="Percent 2 2 2 2 2 3 4" xfId="32412" xr:uid="{00000000-0005-0000-0000-0000A97A0000}"/>
    <cellStyle name="Percent 2 2 2 2 2 4" xfId="8154" xr:uid="{00000000-0005-0000-0000-0000AA7A0000}"/>
    <cellStyle name="Percent 2 2 2 2 2 4 2" xfId="8155" xr:uid="{00000000-0005-0000-0000-0000AB7A0000}"/>
    <cellStyle name="Percent 2 2 2 2 2 4 2 2" xfId="15764" xr:uid="{00000000-0005-0000-0000-0000AC7A0000}"/>
    <cellStyle name="Percent 2 2 2 2 2 4 2 3" xfId="32415" xr:uid="{00000000-0005-0000-0000-0000AD7A0000}"/>
    <cellStyle name="Percent 2 2 2 2 2 4 3" xfId="13929" xr:uid="{00000000-0005-0000-0000-0000AE7A0000}"/>
    <cellStyle name="Percent 2 2 2 2 2 4 3 2" xfId="27478" xr:uid="{00000000-0005-0000-0000-0000AF7A0000}"/>
    <cellStyle name="Percent 2 2 2 2 2 4 4" xfId="32414" xr:uid="{00000000-0005-0000-0000-0000B07A0000}"/>
    <cellStyle name="Percent 2 2 2 2 2 5" xfId="8156" xr:uid="{00000000-0005-0000-0000-0000B17A0000}"/>
    <cellStyle name="Percent 2 2 2 2 2 5 2" xfId="14510" xr:uid="{00000000-0005-0000-0000-0000B27A0000}"/>
    <cellStyle name="Percent 2 2 2 2 2 5 2 2" xfId="28059" xr:uid="{00000000-0005-0000-0000-0000B37A0000}"/>
    <cellStyle name="Percent 2 2 2 2 2 5 3" xfId="32416" xr:uid="{00000000-0005-0000-0000-0000B47A0000}"/>
    <cellStyle name="Percent 2 2 2 2 2 6" xfId="8157" xr:uid="{00000000-0005-0000-0000-0000B57A0000}"/>
    <cellStyle name="Percent 2 2 2 2 2 6 2" xfId="16396" xr:uid="{00000000-0005-0000-0000-0000B67A0000}"/>
    <cellStyle name="Percent 2 2 2 2 2 6 2 2" xfId="29803" xr:uid="{00000000-0005-0000-0000-0000B77A0000}"/>
    <cellStyle name="Percent 2 2 2 2 2 6 3" xfId="32417" xr:uid="{00000000-0005-0000-0000-0000B87A0000}"/>
    <cellStyle name="Percent 2 2 2 2 2 7" xfId="10352" xr:uid="{00000000-0005-0000-0000-0000B97A0000}"/>
    <cellStyle name="Percent 2 2 2 2 2 8" xfId="32408" xr:uid="{00000000-0005-0000-0000-0000BA7A0000}"/>
    <cellStyle name="Percent 2 2 2 2 3" xfId="8158" xr:uid="{00000000-0005-0000-0000-0000BB7A0000}"/>
    <cellStyle name="Percent 2 2 2 2 3 2" xfId="8159" xr:uid="{00000000-0005-0000-0000-0000BC7A0000}"/>
    <cellStyle name="Percent 2 2 2 2 3 2 2" xfId="11659" xr:uid="{00000000-0005-0000-0000-0000BD7A0000}"/>
    <cellStyle name="Percent 2 2 2 2 3 2 3" xfId="32419" xr:uid="{00000000-0005-0000-0000-0000BE7A0000}"/>
    <cellStyle name="Percent 2 2 2 2 3 3" xfId="8160" xr:uid="{00000000-0005-0000-0000-0000BF7A0000}"/>
    <cellStyle name="Percent 2 2 2 2 3 3 2" xfId="16688" xr:uid="{00000000-0005-0000-0000-0000C07A0000}"/>
    <cellStyle name="Percent 2 2 2 2 3 3 2 2" xfId="30095" xr:uid="{00000000-0005-0000-0000-0000C17A0000}"/>
    <cellStyle name="Percent 2 2 2 2 3 3 3" xfId="32420" xr:uid="{00000000-0005-0000-0000-0000C27A0000}"/>
    <cellStyle name="Percent 2 2 2 2 3 4" xfId="10354" xr:uid="{00000000-0005-0000-0000-0000C37A0000}"/>
    <cellStyle name="Percent 2 2 2 2 3 5" xfId="32418" xr:uid="{00000000-0005-0000-0000-0000C47A0000}"/>
    <cellStyle name="Percent 2 2 2 2 4" xfId="8161" xr:uid="{00000000-0005-0000-0000-0000C57A0000}"/>
    <cellStyle name="Percent 2 2 2 2 4 2" xfId="8162" xr:uid="{00000000-0005-0000-0000-0000C67A0000}"/>
    <cellStyle name="Percent 2 2 2 2 4 2 2" xfId="13335" xr:uid="{00000000-0005-0000-0000-0000C77A0000}"/>
    <cellStyle name="Percent 2 2 2 2 4 2 3" xfId="32422" xr:uid="{00000000-0005-0000-0000-0000C87A0000}"/>
    <cellStyle name="Percent 2 2 2 2 4 3" xfId="12065" xr:uid="{00000000-0005-0000-0000-0000C97A0000}"/>
    <cellStyle name="Percent 2 2 2 2 4 3 2" xfId="25780" xr:uid="{00000000-0005-0000-0000-0000CA7A0000}"/>
    <cellStyle name="Percent 2 2 2 2 4 4" xfId="32421" xr:uid="{00000000-0005-0000-0000-0000CB7A0000}"/>
    <cellStyle name="Percent 2 2 2 2 5" xfId="8163" xr:uid="{00000000-0005-0000-0000-0000CC7A0000}"/>
    <cellStyle name="Percent 2 2 2 2 5 2" xfId="8164" xr:uid="{00000000-0005-0000-0000-0000CD7A0000}"/>
    <cellStyle name="Percent 2 2 2 2 5 2 2" xfId="15765" xr:uid="{00000000-0005-0000-0000-0000CE7A0000}"/>
    <cellStyle name="Percent 2 2 2 2 5 2 3" xfId="32424" xr:uid="{00000000-0005-0000-0000-0000CF7A0000}"/>
    <cellStyle name="Percent 2 2 2 2 5 3" xfId="13640" xr:uid="{00000000-0005-0000-0000-0000D07A0000}"/>
    <cellStyle name="Percent 2 2 2 2 5 3 2" xfId="27189" xr:uid="{00000000-0005-0000-0000-0000D17A0000}"/>
    <cellStyle name="Percent 2 2 2 2 5 4" xfId="32423" xr:uid="{00000000-0005-0000-0000-0000D27A0000}"/>
    <cellStyle name="Percent 2 2 2 2 6" xfId="8165" xr:uid="{00000000-0005-0000-0000-0000D37A0000}"/>
    <cellStyle name="Percent 2 2 2 2 6 2" xfId="14221" xr:uid="{00000000-0005-0000-0000-0000D47A0000}"/>
    <cellStyle name="Percent 2 2 2 2 6 2 2" xfId="27770" xr:uid="{00000000-0005-0000-0000-0000D57A0000}"/>
    <cellStyle name="Percent 2 2 2 2 6 3" xfId="32425" xr:uid="{00000000-0005-0000-0000-0000D67A0000}"/>
    <cellStyle name="Percent 2 2 2 2 7" xfId="8166" xr:uid="{00000000-0005-0000-0000-0000D77A0000}"/>
    <cellStyle name="Percent 2 2 2 2 7 2" xfId="16107" xr:uid="{00000000-0005-0000-0000-0000D87A0000}"/>
    <cellStyle name="Percent 2 2 2 2 7 2 2" xfId="29514" xr:uid="{00000000-0005-0000-0000-0000D97A0000}"/>
    <cellStyle name="Percent 2 2 2 2 7 3" xfId="32426" xr:uid="{00000000-0005-0000-0000-0000DA7A0000}"/>
    <cellStyle name="Percent 2 2 2 2 8" xfId="10351" xr:uid="{00000000-0005-0000-0000-0000DB7A0000}"/>
    <cellStyle name="Percent 2 2 2 2 9" xfId="32407" xr:uid="{00000000-0005-0000-0000-0000DC7A0000}"/>
    <cellStyle name="Percent 2 2 2 3" xfId="8167" xr:uid="{00000000-0005-0000-0000-0000DD7A0000}"/>
    <cellStyle name="Percent 2 2 2 3 2" xfId="8168" xr:uid="{00000000-0005-0000-0000-0000DE7A0000}"/>
    <cellStyle name="Percent 2 2 2 3 2 2" xfId="8169" xr:uid="{00000000-0005-0000-0000-0000DF7A0000}"/>
    <cellStyle name="Percent 2 2 2 3 2 2 2" xfId="11660" xr:uid="{00000000-0005-0000-0000-0000E07A0000}"/>
    <cellStyle name="Percent 2 2 2 3 2 2 3" xfId="32429" xr:uid="{00000000-0005-0000-0000-0000E17A0000}"/>
    <cellStyle name="Percent 2 2 2 3 2 3" xfId="8170" xr:uid="{00000000-0005-0000-0000-0000E27A0000}"/>
    <cellStyle name="Percent 2 2 2 3 2 3 2" xfId="16834" xr:uid="{00000000-0005-0000-0000-0000E37A0000}"/>
    <cellStyle name="Percent 2 2 2 3 2 3 2 2" xfId="30241" xr:uid="{00000000-0005-0000-0000-0000E47A0000}"/>
    <cellStyle name="Percent 2 2 2 3 2 3 3" xfId="32430" xr:uid="{00000000-0005-0000-0000-0000E57A0000}"/>
    <cellStyle name="Percent 2 2 2 3 2 4" xfId="10356" xr:uid="{00000000-0005-0000-0000-0000E67A0000}"/>
    <cellStyle name="Percent 2 2 2 3 2 5" xfId="32428" xr:uid="{00000000-0005-0000-0000-0000E77A0000}"/>
    <cellStyle name="Percent 2 2 2 3 3" xfId="8171" xr:uid="{00000000-0005-0000-0000-0000E87A0000}"/>
    <cellStyle name="Percent 2 2 2 3 3 2" xfId="8172" xr:uid="{00000000-0005-0000-0000-0000E97A0000}"/>
    <cellStyle name="Percent 2 2 2 3 3 2 2" xfId="13336" xr:uid="{00000000-0005-0000-0000-0000EA7A0000}"/>
    <cellStyle name="Percent 2 2 2 3 3 2 3" xfId="32432" xr:uid="{00000000-0005-0000-0000-0000EB7A0000}"/>
    <cellStyle name="Percent 2 2 2 3 3 3" xfId="12222" xr:uid="{00000000-0005-0000-0000-0000EC7A0000}"/>
    <cellStyle name="Percent 2 2 2 3 3 3 2" xfId="25934" xr:uid="{00000000-0005-0000-0000-0000ED7A0000}"/>
    <cellStyle name="Percent 2 2 2 3 3 4" xfId="32431" xr:uid="{00000000-0005-0000-0000-0000EE7A0000}"/>
    <cellStyle name="Percent 2 2 2 3 4" xfId="8173" xr:uid="{00000000-0005-0000-0000-0000EF7A0000}"/>
    <cellStyle name="Percent 2 2 2 3 4 2" xfId="8174" xr:uid="{00000000-0005-0000-0000-0000F07A0000}"/>
    <cellStyle name="Percent 2 2 2 3 4 2 2" xfId="15766" xr:uid="{00000000-0005-0000-0000-0000F17A0000}"/>
    <cellStyle name="Percent 2 2 2 3 4 2 3" xfId="32434" xr:uid="{00000000-0005-0000-0000-0000F27A0000}"/>
    <cellStyle name="Percent 2 2 2 3 4 3" xfId="13786" xr:uid="{00000000-0005-0000-0000-0000F37A0000}"/>
    <cellStyle name="Percent 2 2 2 3 4 3 2" xfId="27335" xr:uid="{00000000-0005-0000-0000-0000F47A0000}"/>
    <cellStyle name="Percent 2 2 2 3 4 4" xfId="32433" xr:uid="{00000000-0005-0000-0000-0000F57A0000}"/>
    <cellStyle name="Percent 2 2 2 3 5" xfId="8175" xr:uid="{00000000-0005-0000-0000-0000F67A0000}"/>
    <cellStyle name="Percent 2 2 2 3 5 2" xfId="14367" xr:uid="{00000000-0005-0000-0000-0000F77A0000}"/>
    <cellStyle name="Percent 2 2 2 3 5 2 2" xfId="27916" xr:uid="{00000000-0005-0000-0000-0000F87A0000}"/>
    <cellStyle name="Percent 2 2 2 3 5 3" xfId="32435" xr:uid="{00000000-0005-0000-0000-0000F97A0000}"/>
    <cellStyle name="Percent 2 2 2 3 6" xfId="8176" xr:uid="{00000000-0005-0000-0000-0000FA7A0000}"/>
    <cellStyle name="Percent 2 2 2 3 6 2" xfId="16253" xr:uid="{00000000-0005-0000-0000-0000FB7A0000}"/>
    <cellStyle name="Percent 2 2 2 3 6 2 2" xfId="29660" xr:uid="{00000000-0005-0000-0000-0000FC7A0000}"/>
    <cellStyle name="Percent 2 2 2 3 6 3" xfId="32436" xr:uid="{00000000-0005-0000-0000-0000FD7A0000}"/>
    <cellStyle name="Percent 2 2 2 3 7" xfId="10355" xr:uid="{00000000-0005-0000-0000-0000FE7A0000}"/>
    <cellStyle name="Percent 2 2 2 3 8" xfId="32427" xr:uid="{00000000-0005-0000-0000-0000FF7A0000}"/>
    <cellStyle name="Percent 2 2 2 4" xfId="8177" xr:uid="{00000000-0005-0000-0000-0000007B0000}"/>
    <cellStyle name="Percent 2 2 2 4 2" xfId="8178" xr:uid="{00000000-0005-0000-0000-0000017B0000}"/>
    <cellStyle name="Percent 2 2 2 4 2 2" xfId="17181" xr:uid="{00000000-0005-0000-0000-0000027B0000}"/>
    <cellStyle name="Percent 2 2 2 4 2 2 2" xfId="30540" xr:uid="{00000000-0005-0000-0000-0000037B0000}"/>
    <cellStyle name="Percent 2 2 2 4 2 3" xfId="32438" xr:uid="{00000000-0005-0000-0000-0000047B0000}"/>
    <cellStyle name="Percent 2 2 2 4 3" xfId="10357" xr:uid="{00000000-0005-0000-0000-0000057B0000}"/>
    <cellStyle name="Percent 2 2 2 4 4" xfId="32437" xr:uid="{00000000-0005-0000-0000-0000067B0000}"/>
    <cellStyle name="Percent 2 2 2 5" xfId="8179" xr:uid="{00000000-0005-0000-0000-0000077B0000}"/>
    <cellStyle name="Percent 2 2 2 5 2" xfId="8180" xr:uid="{00000000-0005-0000-0000-0000087B0000}"/>
    <cellStyle name="Percent 2 2 2 5 2 2" xfId="11661" xr:uid="{00000000-0005-0000-0000-0000097B0000}"/>
    <cellStyle name="Percent 2 2 2 5 2 3" xfId="32440" xr:uid="{00000000-0005-0000-0000-00000A7B0000}"/>
    <cellStyle name="Percent 2 2 2 5 3" xfId="8181" xr:uid="{00000000-0005-0000-0000-00000B7B0000}"/>
    <cellStyle name="Percent 2 2 2 5 3 2" xfId="17270" xr:uid="{00000000-0005-0000-0000-00000C7B0000}"/>
    <cellStyle name="Percent 2 2 2 5 3 2 2" xfId="30629" xr:uid="{00000000-0005-0000-0000-00000D7B0000}"/>
    <cellStyle name="Percent 2 2 2 5 3 3" xfId="32441" xr:uid="{00000000-0005-0000-0000-00000E7B0000}"/>
    <cellStyle name="Percent 2 2 2 5 4" xfId="10358" xr:uid="{00000000-0005-0000-0000-00000F7B0000}"/>
    <cellStyle name="Percent 2 2 2 5 5" xfId="32439" xr:uid="{00000000-0005-0000-0000-0000107B0000}"/>
    <cellStyle name="Percent 2 2 2 6" xfId="8182" xr:uid="{00000000-0005-0000-0000-0000117B0000}"/>
    <cellStyle name="Percent 2 2 2 6 2" xfId="8183" xr:uid="{00000000-0005-0000-0000-0000127B0000}"/>
    <cellStyle name="Percent 2 2 2 6 2 2" xfId="13337" xr:uid="{00000000-0005-0000-0000-0000137B0000}"/>
    <cellStyle name="Percent 2 2 2 6 2 3" xfId="32443" xr:uid="{00000000-0005-0000-0000-0000147B0000}"/>
    <cellStyle name="Percent 2 2 2 6 3" xfId="8184" xr:uid="{00000000-0005-0000-0000-0000157B0000}"/>
    <cellStyle name="Percent 2 2 2 6 3 2" xfId="16545" xr:uid="{00000000-0005-0000-0000-0000167B0000}"/>
    <cellStyle name="Percent 2 2 2 6 3 2 2" xfId="29952" xr:uid="{00000000-0005-0000-0000-0000177B0000}"/>
    <cellStyle name="Percent 2 2 2 6 3 3" xfId="32444" xr:uid="{00000000-0005-0000-0000-0000187B0000}"/>
    <cellStyle name="Percent 2 2 2 6 4" xfId="11920" xr:uid="{00000000-0005-0000-0000-0000197B0000}"/>
    <cellStyle name="Percent 2 2 2 6 4 2" xfId="25635" xr:uid="{00000000-0005-0000-0000-00001A7B0000}"/>
    <cellStyle name="Percent 2 2 2 6 5" xfId="32442" xr:uid="{00000000-0005-0000-0000-00001B7B0000}"/>
    <cellStyle name="Percent 2 2 2 7" xfId="8185" xr:uid="{00000000-0005-0000-0000-00001C7B0000}"/>
    <cellStyle name="Percent 2 2 2 7 2" xfId="8186" xr:uid="{00000000-0005-0000-0000-00001D7B0000}"/>
    <cellStyle name="Percent 2 2 2 7 2 2" xfId="15767" xr:uid="{00000000-0005-0000-0000-00001E7B0000}"/>
    <cellStyle name="Percent 2 2 2 7 2 3" xfId="32446" xr:uid="{00000000-0005-0000-0000-00001F7B0000}"/>
    <cellStyle name="Percent 2 2 2 7 3" xfId="13497" xr:uid="{00000000-0005-0000-0000-0000207B0000}"/>
    <cellStyle name="Percent 2 2 2 7 3 2" xfId="27046" xr:uid="{00000000-0005-0000-0000-0000217B0000}"/>
    <cellStyle name="Percent 2 2 2 7 4" xfId="32445" xr:uid="{00000000-0005-0000-0000-0000227B0000}"/>
    <cellStyle name="Percent 2 2 2 8" xfId="8187" xr:uid="{00000000-0005-0000-0000-0000237B0000}"/>
    <cellStyle name="Percent 2 2 2 8 2" xfId="14078" xr:uid="{00000000-0005-0000-0000-0000247B0000}"/>
    <cellStyle name="Percent 2 2 2 8 2 2" xfId="27627" xr:uid="{00000000-0005-0000-0000-0000257B0000}"/>
    <cellStyle name="Percent 2 2 2 8 3" xfId="32447" xr:uid="{00000000-0005-0000-0000-0000267B0000}"/>
    <cellStyle name="Percent 2 2 2 9" xfId="8188" xr:uid="{00000000-0005-0000-0000-0000277B0000}"/>
    <cellStyle name="Percent 2 2 2 9 2" xfId="15964" xr:uid="{00000000-0005-0000-0000-0000287B0000}"/>
    <cellStyle name="Percent 2 2 2 9 2 2" xfId="29371" xr:uid="{00000000-0005-0000-0000-0000297B0000}"/>
    <cellStyle name="Percent 2 2 2 9 3" xfId="32448" xr:uid="{00000000-0005-0000-0000-00002A7B0000}"/>
    <cellStyle name="Percent 2 2 3" xfId="8189" xr:uid="{00000000-0005-0000-0000-00002B7B0000}"/>
    <cellStyle name="Percent 2 2 3 2" xfId="8190" xr:uid="{00000000-0005-0000-0000-00002C7B0000}"/>
    <cellStyle name="Percent 2 2 3 2 2" xfId="8191" xr:uid="{00000000-0005-0000-0000-00002D7B0000}"/>
    <cellStyle name="Percent 2 2 3 2 2 2" xfId="8192" xr:uid="{00000000-0005-0000-0000-00002E7B0000}"/>
    <cellStyle name="Percent 2 2 3 2 2 2 2" xfId="11662" xr:uid="{00000000-0005-0000-0000-00002F7B0000}"/>
    <cellStyle name="Percent 2 2 3 2 2 2 3" xfId="32452" xr:uid="{00000000-0005-0000-0000-0000307B0000}"/>
    <cellStyle name="Percent 2 2 3 2 2 3" xfId="8193" xr:uid="{00000000-0005-0000-0000-0000317B0000}"/>
    <cellStyle name="Percent 2 2 3 2 2 3 2" xfId="16931" xr:uid="{00000000-0005-0000-0000-0000327B0000}"/>
    <cellStyle name="Percent 2 2 3 2 2 3 2 2" xfId="30338" xr:uid="{00000000-0005-0000-0000-0000337B0000}"/>
    <cellStyle name="Percent 2 2 3 2 2 3 3" xfId="32453" xr:uid="{00000000-0005-0000-0000-0000347B0000}"/>
    <cellStyle name="Percent 2 2 3 2 2 4" xfId="10361" xr:uid="{00000000-0005-0000-0000-0000357B0000}"/>
    <cellStyle name="Percent 2 2 3 2 2 5" xfId="32451" xr:uid="{00000000-0005-0000-0000-0000367B0000}"/>
    <cellStyle name="Percent 2 2 3 2 3" xfId="8194" xr:uid="{00000000-0005-0000-0000-0000377B0000}"/>
    <cellStyle name="Percent 2 2 3 2 3 2" xfId="8195" xr:uid="{00000000-0005-0000-0000-0000387B0000}"/>
    <cellStyle name="Percent 2 2 3 2 3 2 2" xfId="13338" xr:uid="{00000000-0005-0000-0000-0000397B0000}"/>
    <cellStyle name="Percent 2 2 3 2 3 2 3" xfId="32455" xr:uid="{00000000-0005-0000-0000-00003A7B0000}"/>
    <cellStyle name="Percent 2 2 3 2 3 3" xfId="12319" xr:uid="{00000000-0005-0000-0000-00003B7B0000}"/>
    <cellStyle name="Percent 2 2 3 2 3 3 2" xfId="26031" xr:uid="{00000000-0005-0000-0000-00003C7B0000}"/>
    <cellStyle name="Percent 2 2 3 2 3 4" xfId="32454" xr:uid="{00000000-0005-0000-0000-00003D7B0000}"/>
    <cellStyle name="Percent 2 2 3 2 4" xfId="8196" xr:uid="{00000000-0005-0000-0000-00003E7B0000}"/>
    <cellStyle name="Percent 2 2 3 2 4 2" xfId="8197" xr:uid="{00000000-0005-0000-0000-00003F7B0000}"/>
    <cellStyle name="Percent 2 2 3 2 4 2 2" xfId="15768" xr:uid="{00000000-0005-0000-0000-0000407B0000}"/>
    <cellStyle name="Percent 2 2 3 2 4 2 3" xfId="32457" xr:uid="{00000000-0005-0000-0000-0000417B0000}"/>
    <cellStyle name="Percent 2 2 3 2 4 3" xfId="13883" xr:uid="{00000000-0005-0000-0000-0000427B0000}"/>
    <cellStyle name="Percent 2 2 3 2 4 3 2" xfId="27432" xr:uid="{00000000-0005-0000-0000-0000437B0000}"/>
    <cellStyle name="Percent 2 2 3 2 4 4" xfId="32456" xr:uid="{00000000-0005-0000-0000-0000447B0000}"/>
    <cellStyle name="Percent 2 2 3 2 5" xfId="8198" xr:uid="{00000000-0005-0000-0000-0000457B0000}"/>
    <cellStyle name="Percent 2 2 3 2 5 2" xfId="14464" xr:uid="{00000000-0005-0000-0000-0000467B0000}"/>
    <cellStyle name="Percent 2 2 3 2 5 2 2" xfId="28013" xr:uid="{00000000-0005-0000-0000-0000477B0000}"/>
    <cellStyle name="Percent 2 2 3 2 5 3" xfId="32458" xr:uid="{00000000-0005-0000-0000-0000487B0000}"/>
    <cellStyle name="Percent 2 2 3 2 6" xfId="8199" xr:uid="{00000000-0005-0000-0000-0000497B0000}"/>
    <cellStyle name="Percent 2 2 3 2 6 2" xfId="16350" xr:uid="{00000000-0005-0000-0000-00004A7B0000}"/>
    <cellStyle name="Percent 2 2 3 2 6 2 2" xfId="29757" xr:uid="{00000000-0005-0000-0000-00004B7B0000}"/>
    <cellStyle name="Percent 2 2 3 2 6 3" xfId="32459" xr:uid="{00000000-0005-0000-0000-00004C7B0000}"/>
    <cellStyle name="Percent 2 2 3 2 7" xfId="10360" xr:uid="{00000000-0005-0000-0000-00004D7B0000}"/>
    <cellStyle name="Percent 2 2 3 2 8" xfId="32450" xr:uid="{00000000-0005-0000-0000-00004E7B0000}"/>
    <cellStyle name="Percent 2 2 3 3" xfId="8200" xr:uid="{00000000-0005-0000-0000-00004F7B0000}"/>
    <cellStyle name="Percent 2 2 3 3 2" xfId="8201" xr:uid="{00000000-0005-0000-0000-0000507B0000}"/>
    <cellStyle name="Percent 2 2 3 3 2 2" xfId="11663" xr:uid="{00000000-0005-0000-0000-0000517B0000}"/>
    <cellStyle name="Percent 2 2 3 3 2 3" xfId="32461" xr:uid="{00000000-0005-0000-0000-0000527B0000}"/>
    <cellStyle name="Percent 2 2 3 3 3" xfId="8202" xr:uid="{00000000-0005-0000-0000-0000537B0000}"/>
    <cellStyle name="Percent 2 2 3 3 3 2" xfId="16642" xr:uid="{00000000-0005-0000-0000-0000547B0000}"/>
    <cellStyle name="Percent 2 2 3 3 3 2 2" xfId="30049" xr:uid="{00000000-0005-0000-0000-0000557B0000}"/>
    <cellStyle name="Percent 2 2 3 3 3 3" xfId="32462" xr:uid="{00000000-0005-0000-0000-0000567B0000}"/>
    <cellStyle name="Percent 2 2 3 3 4" xfId="10362" xr:uid="{00000000-0005-0000-0000-0000577B0000}"/>
    <cellStyle name="Percent 2 2 3 3 5" xfId="32460" xr:uid="{00000000-0005-0000-0000-0000587B0000}"/>
    <cellStyle name="Percent 2 2 3 4" xfId="8203" xr:uid="{00000000-0005-0000-0000-0000597B0000}"/>
    <cellStyle name="Percent 2 2 3 4 2" xfId="8204" xr:uid="{00000000-0005-0000-0000-00005A7B0000}"/>
    <cellStyle name="Percent 2 2 3 4 2 2" xfId="13339" xr:uid="{00000000-0005-0000-0000-00005B7B0000}"/>
    <cellStyle name="Percent 2 2 3 4 2 3" xfId="32464" xr:uid="{00000000-0005-0000-0000-00005C7B0000}"/>
    <cellStyle name="Percent 2 2 3 4 3" xfId="12019" xr:uid="{00000000-0005-0000-0000-00005D7B0000}"/>
    <cellStyle name="Percent 2 2 3 4 3 2" xfId="25734" xr:uid="{00000000-0005-0000-0000-00005E7B0000}"/>
    <cellStyle name="Percent 2 2 3 4 4" xfId="32463" xr:uid="{00000000-0005-0000-0000-00005F7B0000}"/>
    <cellStyle name="Percent 2 2 3 5" xfId="8205" xr:uid="{00000000-0005-0000-0000-0000607B0000}"/>
    <cellStyle name="Percent 2 2 3 5 2" xfId="8206" xr:uid="{00000000-0005-0000-0000-0000617B0000}"/>
    <cellStyle name="Percent 2 2 3 5 2 2" xfId="15769" xr:uid="{00000000-0005-0000-0000-0000627B0000}"/>
    <cellStyle name="Percent 2 2 3 5 2 3" xfId="32466" xr:uid="{00000000-0005-0000-0000-0000637B0000}"/>
    <cellStyle name="Percent 2 2 3 5 3" xfId="13594" xr:uid="{00000000-0005-0000-0000-0000647B0000}"/>
    <cellStyle name="Percent 2 2 3 5 3 2" xfId="27143" xr:uid="{00000000-0005-0000-0000-0000657B0000}"/>
    <cellStyle name="Percent 2 2 3 5 4" xfId="32465" xr:uid="{00000000-0005-0000-0000-0000667B0000}"/>
    <cellStyle name="Percent 2 2 3 6" xfId="8207" xr:uid="{00000000-0005-0000-0000-0000677B0000}"/>
    <cellStyle name="Percent 2 2 3 6 2" xfId="14175" xr:uid="{00000000-0005-0000-0000-0000687B0000}"/>
    <cellStyle name="Percent 2 2 3 6 2 2" xfId="27724" xr:uid="{00000000-0005-0000-0000-0000697B0000}"/>
    <cellStyle name="Percent 2 2 3 6 3" xfId="32467" xr:uid="{00000000-0005-0000-0000-00006A7B0000}"/>
    <cellStyle name="Percent 2 2 3 7" xfId="8208" xr:uid="{00000000-0005-0000-0000-00006B7B0000}"/>
    <cellStyle name="Percent 2 2 3 7 2" xfId="16061" xr:uid="{00000000-0005-0000-0000-00006C7B0000}"/>
    <cellStyle name="Percent 2 2 3 7 2 2" xfId="29468" xr:uid="{00000000-0005-0000-0000-00006D7B0000}"/>
    <cellStyle name="Percent 2 2 3 7 3" xfId="32468" xr:uid="{00000000-0005-0000-0000-00006E7B0000}"/>
    <cellStyle name="Percent 2 2 3 8" xfId="10359" xr:uid="{00000000-0005-0000-0000-00006F7B0000}"/>
    <cellStyle name="Percent 2 2 3 9" xfId="32449" xr:uid="{00000000-0005-0000-0000-0000707B0000}"/>
    <cellStyle name="Percent 2 2 4" xfId="8209" xr:uid="{00000000-0005-0000-0000-0000717B0000}"/>
    <cellStyle name="Percent 2 2 4 2" xfId="8210" xr:uid="{00000000-0005-0000-0000-0000727B0000}"/>
    <cellStyle name="Percent 2 2 4 2 2" xfId="8211" xr:uid="{00000000-0005-0000-0000-0000737B0000}"/>
    <cellStyle name="Percent 2 2 4 2 2 2" xfId="11665" xr:uid="{00000000-0005-0000-0000-0000747B0000}"/>
    <cellStyle name="Percent 2 2 4 2 2 3" xfId="32471" xr:uid="{00000000-0005-0000-0000-0000757B0000}"/>
    <cellStyle name="Percent 2 2 4 2 3" xfId="8212" xr:uid="{00000000-0005-0000-0000-0000767B0000}"/>
    <cellStyle name="Percent 2 2 4 2 3 2" xfId="16788" xr:uid="{00000000-0005-0000-0000-0000777B0000}"/>
    <cellStyle name="Percent 2 2 4 2 3 2 2" xfId="30195" xr:uid="{00000000-0005-0000-0000-0000787B0000}"/>
    <cellStyle name="Percent 2 2 4 2 3 3" xfId="32472" xr:uid="{00000000-0005-0000-0000-0000797B0000}"/>
    <cellStyle name="Percent 2 2 4 2 4" xfId="10364" xr:uid="{00000000-0005-0000-0000-00007A7B0000}"/>
    <cellStyle name="Percent 2 2 4 2 5" xfId="32470" xr:uid="{00000000-0005-0000-0000-00007B7B0000}"/>
    <cellStyle name="Percent 2 2 4 3" xfId="8213" xr:uid="{00000000-0005-0000-0000-00007C7B0000}"/>
    <cellStyle name="Percent 2 2 4 3 2" xfId="8214" xr:uid="{00000000-0005-0000-0000-00007D7B0000}"/>
    <cellStyle name="Percent 2 2 4 3 2 2" xfId="13340" xr:uid="{00000000-0005-0000-0000-00007E7B0000}"/>
    <cellStyle name="Percent 2 2 4 3 2 3" xfId="32474" xr:uid="{00000000-0005-0000-0000-00007F7B0000}"/>
    <cellStyle name="Percent 2 2 4 3 3" xfId="12176" xr:uid="{00000000-0005-0000-0000-0000807B0000}"/>
    <cellStyle name="Percent 2 2 4 3 3 2" xfId="25888" xr:uid="{00000000-0005-0000-0000-0000817B0000}"/>
    <cellStyle name="Percent 2 2 4 3 4" xfId="32473" xr:uid="{00000000-0005-0000-0000-0000827B0000}"/>
    <cellStyle name="Percent 2 2 4 4" xfId="8215" xr:uid="{00000000-0005-0000-0000-0000837B0000}"/>
    <cellStyle name="Percent 2 2 4 4 2" xfId="8216" xr:uid="{00000000-0005-0000-0000-0000847B0000}"/>
    <cellStyle name="Percent 2 2 4 4 2 2" xfId="15770" xr:uid="{00000000-0005-0000-0000-0000857B0000}"/>
    <cellStyle name="Percent 2 2 4 4 2 3" xfId="32476" xr:uid="{00000000-0005-0000-0000-0000867B0000}"/>
    <cellStyle name="Percent 2 2 4 4 3" xfId="13740" xr:uid="{00000000-0005-0000-0000-0000877B0000}"/>
    <cellStyle name="Percent 2 2 4 4 3 2" xfId="27289" xr:uid="{00000000-0005-0000-0000-0000887B0000}"/>
    <cellStyle name="Percent 2 2 4 4 4" xfId="32475" xr:uid="{00000000-0005-0000-0000-0000897B0000}"/>
    <cellStyle name="Percent 2 2 4 5" xfId="8217" xr:uid="{00000000-0005-0000-0000-00008A7B0000}"/>
    <cellStyle name="Percent 2 2 4 5 2" xfId="14321" xr:uid="{00000000-0005-0000-0000-00008B7B0000}"/>
    <cellStyle name="Percent 2 2 4 5 2 2" xfId="27870" xr:uid="{00000000-0005-0000-0000-00008C7B0000}"/>
    <cellStyle name="Percent 2 2 4 5 3" xfId="32477" xr:uid="{00000000-0005-0000-0000-00008D7B0000}"/>
    <cellStyle name="Percent 2 2 4 6" xfId="8218" xr:uid="{00000000-0005-0000-0000-00008E7B0000}"/>
    <cellStyle name="Percent 2 2 4 6 2" xfId="16207" xr:uid="{00000000-0005-0000-0000-00008F7B0000}"/>
    <cellStyle name="Percent 2 2 4 6 2 2" xfId="29614" xr:uid="{00000000-0005-0000-0000-0000907B0000}"/>
    <cellStyle name="Percent 2 2 4 6 3" xfId="32478" xr:uid="{00000000-0005-0000-0000-0000917B0000}"/>
    <cellStyle name="Percent 2 2 4 7" xfId="10363" xr:uid="{00000000-0005-0000-0000-0000927B0000}"/>
    <cellStyle name="Percent 2 2 4 8" xfId="32469" xr:uid="{00000000-0005-0000-0000-0000937B0000}"/>
    <cellStyle name="Percent 2 2 5" xfId="8219" xr:uid="{00000000-0005-0000-0000-0000947B0000}"/>
    <cellStyle name="Percent 2 2 5 2" xfId="8220" xr:uid="{00000000-0005-0000-0000-0000957B0000}"/>
    <cellStyle name="Percent 2 2 5 2 2" xfId="8221" xr:uid="{00000000-0005-0000-0000-0000967B0000}"/>
    <cellStyle name="Percent 2 2 5 2 2 2" xfId="11667" xr:uid="{00000000-0005-0000-0000-0000977B0000}"/>
    <cellStyle name="Percent 2 2 5 2 2 3" xfId="32481" xr:uid="{00000000-0005-0000-0000-0000987B0000}"/>
    <cellStyle name="Percent 2 2 5 2 3" xfId="10366" xr:uid="{00000000-0005-0000-0000-0000997B0000}"/>
    <cellStyle name="Percent 2 2 5 2 4" xfId="32480" xr:uid="{00000000-0005-0000-0000-00009A7B0000}"/>
    <cellStyle name="Percent 2 2 5 3" xfId="8222" xr:uid="{00000000-0005-0000-0000-00009B7B0000}"/>
    <cellStyle name="Percent 2 2 5 3 2" xfId="11666" xr:uid="{00000000-0005-0000-0000-00009C7B0000}"/>
    <cellStyle name="Percent 2 2 5 3 3" xfId="32482" xr:uid="{00000000-0005-0000-0000-00009D7B0000}"/>
    <cellStyle name="Percent 2 2 5 4" xfId="8223" xr:uid="{00000000-0005-0000-0000-00009E7B0000}"/>
    <cellStyle name="Percent 2 2 5 4 2" xfId="17055" xr:uid="{00000000-0005-0000-0000-00009F7B0000}"/>
    <cellStyle name="Percent 2 2 5 4 2 2" xfId="30454" xr:uid="{00000000-0005-0000-0000-0000A07B0000}"/>
    <cellStyle name="Percent 2 2 5 4 3" xfId="32483" xr:uid="{00000000-0005-0000-0000-0000A17B0000}"/>
    <cellStyle name="Percent 2 2 5 5" xfId="10365" xr:uid="{00000000-0005-0000-0000-0000A27B0000}"/>
    <cellStyle name="Percent 2 2 5 6" xfId="32479" xr:uid="{00000000-0005-0000-0000-0000A37B0000}"/>
    <cellStyle name="Percent 2 2 6" xfId="8224" xr:uid="{00000000-0005-0000-0000-0000A47B0000}"/>
    <cellStyle name="Percent 2 2 6 2" xfId="8225" xr:uid="{00000000-0005-0000-0000-0000A57B0000}"/>
    <cellStyle name="Percent 2 2 6 2 2" xfId="17135" xr:uid="{00000000-0005-0000-0000-0000A67B0000}"/>
    <cellStyle name="Percent 2 2 6 2 2 2" xfId="30494" xr:uid="{00000000-0005-0000-0000-0000A77B0000}"/>
    <cellStyle name="Percent 2 2 6 2 3" xfId="32485" xr:uid="{00000000-0005-0000-0000-0000A87B0000}"/>
    <cellStyle name="Percent 2 2 6 3" xfId="10367" xr:uid="{00000000-0005-0000-0000-0000A97B0000}"/>
    <cellStyle name="Percent 2 2 6 4" xfId="32484" xr:uid="{00000000-0005-0000-0000-0000AA7B0000}"/>
    <cellStyle name="Percent 2 2 7" xfId="8226" xr:uid="{00000000-0005-0000-0000-0000AB7B0000}"/>
    <cellStyle name="Percent 2 2 7 2" xfId="8227" xr:uid="{00000000-0005-0000-0000-0000AC7B0000}"/>
    <cellStyle name="Percent 2 2 7 2 2" xfId="11668" xr:uid="{00000000-0005-0000-0000-0000AD7B0000}"/>
    <cellStyle name="Percent 2 2 7 2 3" xfId="32487" xr:uid="{00000000-0005-0000-0000-0000AE7B0000}"/>
    <cellStyle name="Percent 2 2 7 3" xfId="8228" xr:uid="{00000000-0005-0000-0000-0000AF7B0000}"/>
    <cellStyle name="Percent 2 2 7 3 2" xfId="17224" xr:uid="{00000000-0005-0000-0000-0000B07B0000}"/>
    <cellStyle name="Percent 2 2 7 3 2 2" xfId="30583" xr:uid="{00000000-0005-0000-0000-0000B17B0000}"/>
    <cellStyle name="Percent 2 2 7 3 3" xfId="32488" xr:uid="{00000000-0005-0000-0000-0000B27B0000}"/>
    <cellStyle name="Percent 2 2 7 4" xfId="10368" xr:uid="{00000000-0005-0000-0000-0000B37B0000}"/>
    <cellStyle name="Percent 2 2 7 5" xfId="32486" xr:uid="{00000000-0005-0000-0000-0000B47B0000}"/>
    <cellStyle name="Percent 2 2 8" xfId="8229" xr:uid="{00000000-0005-0000-0000-0000B57B0000}"/>
    <cellStyle name="Percent 2 2 8 2" xfId="8230" xr:uid="{00000000-0005-0000-0000-0000B67B0000}"/>
    <cellStyle name="Percent 2 2 8 2 2" xfId="11669" xr:uid="{00000000-0005-0000-0000-0000B77B0000}"/>
    <cellStyle name="Percent 2 2 8 2 3" xfId="32490" xr:uid="{00000000-0005-0000-0000-0000B87B0000}"/>
    <cellStyle name="Percent 2 2 8 3" xfId="8231" xr:uid="{00000000-0005-0000-0000-0000B97B0000}"/>
    <cellStyle name="Percent 2 2 8 3 2" xfId="16499" xr:uid="{00000000-0005-0000-0000-0000BA7B0000}"/>
    <cellStyle name="Percent 2 2 8 3 2 2" xfId="29906" xr:uid="{00000000-0005-0000-0000-0000BB7B0000}"/>
    <cellStyle name="Percent 2 2 8 3 3" xfId="32491" xr:uid="{00000000-0005-0000-0000-0000BC7B0000}"/>
    <cellStyle name="Percent 2 2 8 4" xfId="10369" xr:uid="{00000000-0005-0000-0000-0000BD7B0000}"/>
    <cellStyle name="Percent 2 2 8 5" xfId="32489" xr:uid="{00000000-0005-0000-0000-0000BE7B0000}"/>
    <cellStyle name="Percent 2 2 9" xfId="8232" xr:uid="{00000000-0005-0000-0000-0000BF7B0000}"/>
    <cellStyle name="Percent 2 2 9 2" xfId="8233" xr:uid="{00000000-0005-0000-0000-0000C07B0000}"/>
    <cellStyle name="Percent 2 2 9 2 2" xfId="13341" xr:uid="{00000000-0005-0000-0000-0000C17B0000}"/>
    <cellStyle name="Percent 2 2 9 2 2 2" xfId="26924" xr:uid="{00000000-0005-0000-0000-0000C27B0000}"/>
    <cellStyle name="Percent 2 2 9 2 3" xfId="32493" xr:uid="{00000000-0005-0000-0000-0000C37B0000}"/>
    <cellStyle name="Percent 2 2 9 3" xfId="8234" xr:uid="{00000000-0005-0000-0000-0000C47B0000}"/>
    <cellStyle name="Percent 2 2 9 3 2" xfId="15771" xr:uid="{00000000-0005-0000-0000-0000C57B0000}"/>
    <cellStyle name="Percent 2 2 9 3 3" xfId="32494" xr:uid="{00000000-0005-0000-0000-0000C67B0000}"/>
    <cellStyle name="Percent 2 2 9 4" xfId="10544" xr:uid="{00000000-0005-0000-0000-0000C77B0000}"/>
    <cellStyle name="Percent 2 2 9 4 2" xfId="24486" xr:uid="{00000000-0005-0000-0000-0000C87B0000}"/>
    <cellStyle name="Percent 2 2 9 5" xfId="32492" xr:uid="{00000000-0005-0000-0000-0000C97B0000}"/>
    <cellStyle name="Percent 2 20" xfId="8235" xr:uid="{00000000-0005-0000-0000-0000CA7B0000}"/>
    <cellStyle name="Percent 2 20 2" xfId="8236" xr:uid="{00000000-0005-0000-0000-0000CB7B0000}"/>
    <cellStyle name="Percent 2 20 2 2" xfId="11670" xr:uid="{00000000-0005-0000-0000-0000CC7B0000}"/>
    <cellStyle name="Percent 2 20 2 3" xfId="32496" xr:uid="{00000000-0005-0000-0000-0000CD7B0000}"/>
    <cellStyle name="Percent 2 20 3" xfId="10370" xr:uid="{00000000-0005-0000-0000-0000CE7B0000}"/>
    <cellStyle name="Percent 2 20 4" xfId="32495" xr:uid="{00000000-0005-0000-0000-0000CF7B0000}"/>
    <cellStyle name="Percent 2 21" xfId="8237" xr:uid="{00000000-0005-0000-0000-0000D07B0000}"/>
    <cellStyle name="Percent 2 21 2" xfId="8238" xr:uid="{00000000-0005-0000-0000-0000D17B0000}"/>
    <cellStyle name="Percent 2 21 2 2" xfId="11726" xr:uid="{00000000-0005-0000-0000-0000D27B0000}"/>
    <cellStyle name="Percent 2 21 2 2 2" xfId="25446" xr:uid="{00000000-0005-0000-0000-0000D37B0000}"/>
    <cellStyle name="Percent 2 21 2 3" xfId="32498" xr:uid="{00000000-0005-0000-0000-0000D47B0000}"/>
    <cellStyle name="Percent 2 21 3" xfId="8239" xr:uid="{00000000-0005-0000-0000-0000D57B0000}"/>
    <cellStyle name="Percent 2 21 3 2" xfId="13342" xr:uid="{00000000-0005-0000-0000-0000D67B0000}"/>
    <cellStyle name="Percent 2 21 3 2 2" xfId="26925" xr:uid="{00000000-0005-0000-0000-0000D77B0000}"/>
    <cellStyle name="Percent 2 21 3 3" xfId="32499" xr:uid="{00000000-0005-0000-0000-0000D87B0000}"/>
    <cellStyle name="Percent 2 21 4" xfId="8240" xr:uid="{00000000-0005-0000-0000-0000D97B0000}"/>
    <cellStyle name="Percent 2 21 4 2" xfId="15772" xr:uid="{00000000-0005-0000-0000-0000DA7B0000}"/>
    <cellStyle name="Percent 2 21 4 3" xfId="32500" xr:uid="{00000000-0005-0000-0000-0000DB7B0000}"/>
    <cellStyle name="Percent 2 21 5" xfId="10500" xr:uid="{00000000-0005-0000-0000-0000DC7B0000}"/>
    <cellStyle name="Percent 2 21 5 2" xfId="24450" xr:uid="{00000000-0005-0000-0000-0000DD7B0000}"/>
    <cellStyle name="Percent 2 21 6" xfId="32497" xr:uid="{00000000-0005-0000-0000-0000DE7B0000}"/>
    <cellStyle name="Percent 2 22" xfId="8241" xr:uid="{00000000-0005-0000-0000-0000DF7B0000}"/>
    <cellStyle name="Percent 2 22 2" xfId="8242" xr:uid="{00000000-0005-0000-0000-0000E07B0000}"/>
    <cellStyle name="Percent 2 22 2 2" xfId="13343" xr:uid="{00000000-0005-0000-0000-0000E17B0000}"/>
    <cellStyle name="Percent 2 22 2 2 2" xfId="26926" xr:uid="{00000000-0005-0000-0000-0000E27B0000}"/>
    <cellStyle name="Percent 2 22 2 3" xfId="32502" xr:uid="{00000000-0005-0000-0000-0000E37B0000}"/>
    <cellStyle name="Percent 2 22 3" xfId="8243" xr:uid="{00000000-0005-0000-0000-0000E47B0000}"/>
    <cellStyle name="Percent 2 22 3 2" xfId="15773" xr:uid="{00000000-0005-0000-0000-0000E57B0000}"/>
    <cellStyle name="Percent 2 22 3 3" xfId="32503" xr:uid="{00000000-0005-0000-0000-0000E67B0000}"/>
    <cellStyle name="Percent 2 22 4" xfId="10527" xr:uid="{00000000-0005-0000-0000-0000E77B0000}"/>
    <cellStyle name="Percent 2 22 4 2" xfId="24469" xr:uid="{00000000-0005-0000-0000-0000E87B0000}"/>
    <cellStyle name="Percent 2 22 5" xfId="32501" xr:uid="{00000000-0005-0000-0000-0000E97B0000}"/>
    <cellStyle name="Percent 2 23" xfId="8244" xr:uid="{00000000-0005-0000-0000-0000EA7B0000}"/>
    <cellStyle name="Percent 2 23 2" xfId="11649" xr:uid="{00000000-0005-0000-0000-0000EB7B0000}"/>
    <cellStyle name="Percent 2 23 3" xfId="32504" xr:uid="{00000000-0005-0000-0000-0000EC7B0000}"/>
    <cellStyle name="Percent 2 24" xfId="8245" xr:uid="{00000000-0005-0000-0000-0000ED7B0000}"/>
    <cellStyle name="Percent 2 24 2" xfId="11791" xr:uid="{00000000-0005-0000-0000-0000EE7B0000}"/>
    <cellStyle name="Percent 2 24 2 2" xfId="25506" xr:uid="{00000000-0005-0000-0000-0000EF7B0000}"/>
    <cellStyle name="Percent 2 24 3" xfId="32505" xr:uid="{00000000-0005-0000-0000-0000F07B0000}"/>
    <cellStyle name="Percent 2 25" xfId="8246" xr:uid="{00000000-0005-0000-0000-0000F17B0000}"/>
    <cellStyle name="Percent 2 25 2" xfId="13394" xr:uid="{00000000-0005-0000-0000-0000F27B0000}"/>
    <cellStyle name="Percent 2 25 2 2" xfId="26943" xr:uid="{00000000-0005-0000-0000-0000F37B0000}"/>
    <cellStyle name="Percent 2 25 3" xfId="32506" xr:uid="{00000000-0005-0000-0000-0000F47B0000}"/>
    <cellStyle name="Percent 2 26" xfId="8247" xr:uid="{00000000-0005-0000-0000-0000F57B0000}"/>
    <cellStyle name="Percent 2 26 2" xfId="13975" xr:uid="{00000000-0005-0000-0000-0000F67B0000}"/>
    <cellStyle name="Percent 2 26 2 2" xfId="27524" xr:uid="{00000000-0005-0000-0000-0000F77B0000}"/>
    <cellStyle name="Percent 2 26 3" xfId="32507" xr:uid="{00000000-0005-0000-0000-0000F87B0000}"/>
    <cellStyle name="Percent 2 27" xfId="8248" xr:uid="{00000000-0005-0000-0000-0000F97B0000}"/>
    <cellStyle name="Percent 2 27 2" xfId="15844" xr:uid="{00000000-0005-0000-0000-0000FA7B0000}"/>
    <cellStyle name="Percent 2 27 2 2" xfId="29251" xr:uid="{00000000-0005-0000-0000-0000FB7B0000}"/>
    <cellStyle name="Percent 2 27 3" xfId="32508" xr:uid="{00000000-0005-0000-0000-0000FC7B0000}"/>
    <cellStyle name="Percent 2 28" xfId="8249" xr:uid="{00000000-0005-0000-0000-0000FD7B0000}"/>
    <cellStyle name="Percent 2 28 2" xfId="15861" xr:uid="{00000000-0005-0000-0000-0000FE7B0000}"/>
    <cellStyle name="Percent 2 28 2 2" xfId="29268" xr:uid="{00000000-0005-0000-0000-0000FF7B0000}"/>
    <cellStyle name="Percent 2 28 3" xfId="32509" xr:uid="{00000000-0005-0000-0000-0000007C0000}"/>
    <cellStyle name="Percent 2 29" xfId="8654" xr:uid="{00000000-0005-0000-0000-0000017C0000}"/>
    <cellStyle name="Percent 2 29 2" xfId="10337" xr:uid="{00000000-0005-0000-0000-0000027C0000}"/>
    <cellStyle name="Percent 2 3" xfId="8250" xr:uid="{00000000-0005-0000-0000-0000037C0000}"/>
    <cellStyle name="Percent 2 3 10" xfId="8251" xr:uid="{00000000-0005-0000-0000-0000047C0000}"/>
    <cellStyle name="Percent 2 3 10 2" xfId="17351" xr:uid="{00000000-0005-0000-0000-0000057C0000}"/>
    <cellStyle name="Percent 2 3 10 3" xfId="32510" xr:uid="{00000000-0005-0000-0000-0000067C0000}"/>
    <cellStyle name="Percent 2 3 11" xfId="8748" xr:uid="{00000000-0005-0000-0000-0000077C0000}"/>
    <cellStyle name="Percent 2 3 12" xfId="10371" xr:uid="{00000000-0005-0000-0000-0000087C0000}"/>
    <cellStyle name="Percent 2 3 2" xfId="8252" xr:uid="{00000000-0005-0000-0000-0000097C0000}"/>
    <cellStyle name="Percent 2 3 2 2" xfId="8253" xr:uid="{00000000-0005-0000-0000-00000A7C0000}"/>
    <cellStyle name="Percent 2 3 2 2 2" xfId="8254" xr:uid="{00000000-0005-0000-0000-00000B7C0000}"/>
    <cellStyle name="Percent 2 3 2 2 2 2" xfId="8255" xr:uid="{00000000-0005-0000-0000-00000C7C0000}"/>
    <cellStyle name="Percent 2 3 2 2 2 2 2" xfId="11671" xr:uid="{00000000-0005-0000-0000-00000D7C0000}"/>
    <cellStyle name="Percent 2 3 2 2 2 2 3" xfId="32514" xr:uid="{00000000-0005-0000-0000-00000E7C0000}"/>
    <cellStyle name="Percent 2 3 2 2 2 3" xfId="8256" xr:uid="{00000000-0005-0000-0000-00000F7C0000}"/>
    <cellStyle name="Percent 2 3 2 2 2 3 2" xfId="16954" xr:uid="{00000000-0005-0000-0000-0000107C0000}"/>
    <cellStyle name="Percent 2 3 2 2 2 3 2 2" xfId="30361" xr:uid="{00000000-0005-0000-0000-0000117C0000}"/>
    <cellStyle name="Percent 2 3 2 2 2 3 3" xfId="32515" xr:uid="{00000000-0005-0000-0000-0000127C0000}"/>
    <cellStyle name="Percent 2 3 2 2 2 4" xfId="10374" xr:uid="{00000000-0005-0000-0000-0000137C0000}"/>
    <cellStyle name="Percent 2 3 2 2 2 5" xfId="32513" xr:uid="{00000000-0005-0000-0000-0000147C0000}"/>
    <cellStyle name="Percent 2 3 2 2 3" xfId="8257" xr:uid="{00000000-0005-0000-0000-0000157C0000}"/>
    <cellStyle name="Percent 2 3 2 2 3 2" xfId="8258" xr:uid="{00000000-0005-0000-0000-0000167C0000}"/>
    <cellStyle name="Percent 2 3 2 2 3 2 2" xfId="13344" xr:uid="{00000000-0005-0000-0000-0000177C0000}"/>
    <cellStyle name="Percent 2 3 2 2 3 2 3" xfId="32517" xr:uid="{00000000-0005-0000-0000-0000187C0000}"/>
    <cellStyle name="Percent 2 3 2 2 3 3" xfId="12342" xr:uid="{00000000-0005-0000-0000-0000197C0000}"/>
    <cellStyle name="Percent 2 3 2 2 3 3 2" xfId="26054" xr:uid="{00000000-0005-0000-0000-00001A7C0000}"/>
    <cellStyle name="Percent 2 3 2 2 3 4" xfId="32516" xr:uid="{00000000-0005-0000-0000-00001B7C0000}"/>
    <cellStyle name="Percent 2 3 2 2 4" xfId="8259" xr:uid="{00000000-0005-0000-0000-00001C7C0000}"/>
    <cellStyle name="Percent 2 3 2 2 4 2" xfId="8260" xr:uid="{00000000-0005-0000-0000-00001D7C0000}"/>
    <cellStyle name="Percent 2 3 2 2 4 2 2" xfId="15774" xr:uid="{00000000-0005-0000-0000-00001E7C0000}"/>
    <cellStyle name="Percent 2 3 2 2 4 2 3" xfId="32519" xr:uid="{00000000-0005-0000-0000-00001F7C0000}"/>
    <cellStyle name="Percent 2 3 2 2 4 3" xfId="13906" xr:uid="{00000000-0005-0000-0000-0000207C0000}"/>
    <cellStyle name="Percent 2 3 2 2 4 3 2" xfId="27455" xr:uid="{00000000-0005-0000-0000-0000217C0000}"/>
    <cellStyle name="Percent 2 3 2 2 4 4" xfId="32518" xr:uid="{00000000-0005-0000-0000-0000227C0000}"/>
    <cellStyle name="Percent 2 3 2 2 5" xfId="8261" xr:uid="{00000000-0005-0000-0000-0000237C0000}"/>
    <cellStyle name="Percent 2 3 2 2 5 2" xfId="14487" xr:uid="{00000000-0005-0000-0000-0000247C0000}"/>
    <cellStyle name="Percent 2 3 2 2 5 2 2" xfId="28036" xr:uid="{00000000-0005-0000-0000-0000257C0000}"/>
    <cellStyle name="Percent 2 3 2 2 5 3" xfId="32520" xr:uid="{00000000-0005-0000-0000-0000267C0000}"/>
    <cellStyle name="Percent 2 3 2 2 6" xfId="8262" xr:uid="{00000000-0005-0000-0000-0000277C0000}"/>
    <cellStyle name="Percent 2 3 2 2 6 2" xfId="16373" xr:uid="{00000000-0005-0000-0000-0000287C0000}"/>
    <cellStyle name="Percent 2 3 2 2 6 2 2" xfId="29780" xr:uid="{00000000-0005-0000-0000-0000297C0000}"/>
    <cellStyle name="Percent 2 3 2 2 6 3" xfId="32521" xr:uid="{00000000-0005-0000-0000-00002A7C0000}"/>
    <cellStyle name="Percent 2 3 2 2 7" xfId="10373" xr:uid="{00000000-0005-0000-0000-00002B7C0000}"/>
    <cellStyle name="Percent 2 3 2 2 8" xfId="32512" xr:uid="{00000000-0005-0000-0000-00002C7C0000}"/>
    <cellStyle name="Percent 2 3 2 3" xfId="8263" xr:uid="{00000000-0005-0000-0000-00002D7C0000}"/>
    <cellStyle name="Percent 2 3 2 3 2" xfId="8264" xr:uid="{00000000-0005-0000-0000-00002E7C0000}"/>
    <cellStyle name="Percent 2 3 2 3 2 2" xfId="11672" xr:uid="{00000000-0005-0000-0000-00002F7C0000}"/>
    <cellStyle name="Percent 2 3 2 3 2 3" xfId="32523" xr:uid="{00000000-0005-0000-0000-0000307C0000}"/>
    <cellStyle name="Percent 2 3 2 3 3" xfId="8265" xr:uid="{00000000-0005-0000-0000-0000317C0000}"/>
    <cellStyle name="Percent 2 3 2 3 3 2" xfId="16665" xr:uid="{00000000-0005-0000-0000-0000327C0000}"/>
    <cellStyle name="Percent 2 3 2 3 3 2 2" xfId="30072" xr:uid="{00000000-0005-0000-0000-0000337C0000}"/>
    <cellStyle name="Percent 2 3 2 3 3 3" xfId="32524" xr:uid="{00000000-0005-0000-0000-0000347C0000}"/>
    <cellStyle name="Percent 2 3 2 3 4" xfId="10375" xr:uid="{00000000-0005-0000-0000-0000357C0000}"/>
    <cellStyle name="Percent 2 3 2 3 5" xfId="32522" xr:uid="{00000000-0005-0000-0000-0000367C0000}"/>
    <cellStyle name="Percent 2 3 2 4" xfId="8266" xr:uid="{00000000-0005-0000-0000-0000377C0000}"/>
    <cellStyle name="Percent 2 3 2 4 2" xfId="8267" xr:uid="{00000000-0005-0000-0000-0000387C0000}"/>
    <cellStyle name="Percent 2 3 2 4 2 2" xfId="13345" xr:uid="{00000000-0005-0000-0000-0000397C0000}"/>
    <cellStyle name="Percent 2 3 2 4 2 3" xfId="32526" xr:uid="{00000000-0005-0000-0000-00003A7C0000}"/>
    <cellStyle name="Percent 2 3 2 4 3" xfId="12042" xr:uid="{00000000-0005-0000-0000-00003B7C0000}"/>
    <cellStyle name="Percent 2 3 2 4 3 2" xfId="25757" xr:uid="{00000000-0005-0000-0000-00003C7C0000}"/>
    <cellStyle name="Percent 2 3 2 4 4" xfId="32525" xr:uid="{00000000-0005-0000-0000-00003D7C0000}"/>
    <cellStyle name="Percent 2 3 2 5" xfId="8268" xr:uid="{00000000-0005-0000-0000-00003E7C0000}"/>
    <cellStyle name="Percent 2 3 2 5 2" xfId="8269" xr:uid="{00000000-0005-0000-0000-00003F7C0000}"/>
    <cellStyle name="Percent 2 3 2 5 2 2" xfId="15775" xr:uid="{00000000-0005-0000-0000-0000407C0000}"/>
    <cellStyle name="Percent 2 3 2 5 2 3" xfId="32528" xr:uid="{00000000-0005-0000-0000-0000417C0000}"/>
    <cellStyle name="Percent 2 3 2 5 3" xfId="13617" xr:uid="{00000000-0005-0000-0000-0000427C0000}"/>
    <cellStyle name="Percent 2 3 2 5 3 2" xfId="27166" xr:uid="{00000000-0005-0000-0000-0000437C0000}"/>
    <cellStyle name="Percent 2 3 2 5 4" xfId="32527" xr:uid="{00000000-0005-0000-0000-0000447C0000}"/>
    <cellStyle name="Percent 2 3 2 6" xfId="8270" xr:uid="{00000000-0005-0000-0000-0000457C0000}"/>
    <cellStyle name="Percent 2 3 2 6 2" xfId="14198" xr:uid="{00000000-0005-0000-0000-0000467C0000}"/>
    <cellStyle name="Percent 2 3 2 6 2 2" xfId="27747" xr:uid="{00000000-0005-0000-0000-0000477C0000}"/>
    <cellStyle name="Percent 2 3 2 6 3" xfId="32529" xr:uid="{00000000-0005-0000-0000-0000487C0000}"/>
    <cellStyle name="Percent 2 3 2 7" xfId="8271" xr:uid="{00000000-0005-0000-0000-0000497C0000}"/>
    <cellStyle name="Percent 2 3 2 7 2" xfId="16084" xr:uid="{00000000-0005-0000-0000-00004A7C0000}"/>
    <cellStyle name="Percent 2 3 2 7 2 2" xfId="29491" xr:uid="{00000000-0005-0000-0000-00004B7C0000}"/>
    <cellStyle name="Percent 2 3 2 7 3" xfId="32530" xr:uid="{00000000-0005-0000-0000-00004C7C0000}"/>
    <cellStyle name="Percent 2 3 2 8" xfId="10372" xr:uid="{00000000-0005-0000-0000-00004D7C0000}"/>
    <cellStyle name="Percent 2 3 2 9" xfId="32511" xr:uid="{00000000-0005-0000-0000-00004E7C0000}"/>
    <cellStyle name="Percent 2 3 3" xfId="8272" xr:uid="{00000000-0005-0000-0000-00004F7C0000}"/>
    <cellStyle name="Percent 2 3 3 2" xfId="8273" xr:uid="{00000000-0005-0000-0000-0000507C0000}"/>
    <cellStyle name="Percent 2 3 3 2 2" xfId="8274" xr:uid="{00000000-0005-0000-0000-0000517C0000}"/>
    <cellStyle name="Percent 2 3 3 2 2 2" xfId="11673" xr:uid="{00000000-0005-0000-0000-0000527C0000}"/>
    <cellStyle name="Percent 2 3 3 2 2 3" xfId="32533" xr:uid="{00000000-0005-0000-0000-0000537C0000}"/>
    <cellStyle name="Percent 2 3 3 2 3" xfId="8275" xr:uid="{00000000-0005-0000-0000-0000547C0000}"/>
    <cellStyle name="Percent 2 3 3 2 3 2" xfId="16811" xr:uid="{00000000-0005-0000-0000-0000557C0000}"/>
    <cellStyle name="Percent 2 3 3 2 3 2 2" xfId="30218" xr:uid="{00000000-0005-0000-0000-0000567C0000}"/>
    <cellStyle name="Percent 2 3 3 2 3 3" xfId="32534" xr:uid="{00000000-0005-0000-0000-0000577C0000}"/>
    <cellStyle name="Percent 2 3 3 2 4" xfId="10377" xr:uid="{00000000-0005-0000-0000-0000587C0000}"/>
    <cellStyle name="Percent 2 3 3 2 5" xfId="32532" xr:uid="{00000000-0005-0000-0000-0000597C0000}"/>
    <cellStyle name="Percent 2 3 3 3" xfId="8276" xr:uid="{00000000-0005-0000-0000-00005A7C0000}"/>
    <cellStyle name="Percent 2 3 3 3 2" xfId="8277" xr:uid="{00000000-0005-0000-0000-00005B7C0000}"/>
    <cellStyle name="Percent 2 3 3 3 2 2" xfId="13346" xr:uid="{00000000-0005-0000-0000-00005C7C0000}"/>
    <cellStyle name="Percent 2 3 3 3 2 3" xfId="32536" xr:uid="{00000000-0005-0000-0000-00005D7C0000}"/>
    <cellStyle name="Percent 2 3 3 3 3" xfId="12199" xr:uid="{00000000-0005-0000-0000-00005E7C0000}"/>
    <cellStyle name="Percent 2 3 3 3 3 2" xfId="25911" xr:uid="{00000000-0005-0000-0000-00005F7C0000}"/>
    <cellStyle name="Percent 2 3 3 3 4" xfId="32535" xr:uid="{00000000-0005-0000-0000-0000607C0000}"/>
    <cellStyle name="Percent 2 3 3 4" xfId="8278" xr:uid="{00000000-0005-0000-0000-0000617C0000}"/>
    <cellStyle name="Percent 2 3 3 4 2" xfId="8279" xr:uid="{00000000-0005-0000-0000-0000627C0000}"/>
    <cellStyle name="Percent 2 3 3 4 2 2" xfId="15776" xr:uid="{00000000-0005-0000-0000-0000637C0000}"/>
    <cellStyle name="Percent 2 3 3 4 2 3" xfId="32538" xr:uid="{00000000-0005-0000-0000-0000647C0000}"/>
    <cellStyle name="Percent 2 3 3 4 3" xfId="13763" xr:uid="{00000000-0005-0000-0000-0000657C0000}"/>
    <cellStyle name="Percent 2 3 3 4 3 2" xfId="27312" xr:uid="{00000000-0005-0000-0000-0000667C0000}"/>
    <cellStyle name="Percent 2 3 3 4 4" xfId="32537" xr:uid="{00000000-0005-0000-0000-0000677C0000}"/>
    <cellStyle name="Percent 2 3 3 5" xfId="8280" xr:uid="{00000000-0005-0000-0000-0000687C0000}"/>
    <cellStyle name="Percent 2 3 3 5 2" xfId="14344" xr:uid="{00000000-0005-0000-0000-0000697C0000}"/>
    <cellStyle name="Percent 2 3 3 5 2 2" xfId="27893" xr:uid="{00000000-0005-0000-0000-00006A7C0000}"/>
    <cellStyle name="Percent 2 3 3 5 3" xfId="32539" xr:uid="{00000000-0005-0000-0000-00006B7C0000}"/>
    <cellStyle name="Percent 2 3 3 6" xfId="8281" xr:uid="{00000000-0005-0000-0000-00006C7C0000}"/>
    <cellStyle name="Percent 2 3 3 6 2" xfId="16230" xr:uid="{00000000-0005-0000-0000-00006D7C0000}"/>
    <cellStyle name="Percent 2 3 3 6 2 2" xfId="29637" xr:uid="{00000000-0005-0000-0000-00006E7C0000}"/>
    <cellStyle name="Percent 2 3 3 6 3" xfId="32540" xr:uid="{00000000-0005-0000-0000-00006F7C0000}"/>
    <cellStyle name="Percent 2 3 3 7" xfId="10376" xr:uid="{00000000-0005-0000-0000-0000707C0000}"/>
    <cellStyle name="Percent 2 3 3 8" xfId="32531" xr:uid="{00000000-0005-0000-0000-0000717C0000}"/>
    <cellStyle name="Percent 2 3 4" xfId="8282" xr:uid="{00000000-0005-0000-0000-0000727C0000}"/>
    <cellStyle name="Percent 2 3 4 2" xfId="8283" xr:uid="{00000000-0005-0000-0000-0000737C0000}"/>
    <cellStyle name="Percent 2 3 4 2 2" xfId="13347" xr:uid="{00000000-0005-0000-0000-0000747C0000}"/>
    <cellStyle name="Percent 2 3 4 2 3" xfId="32542" xr:uid="{00000000-0005-0000-0000-0000757C0000}"/>
    <cellStyle name="Percent 2 3 4 3" xfId="8284" xr:uid="{00000000-0005-0000-0000-0000767C0000}"/>
    <cellStyle name="Percent 2 3 4 3 2" xfId="17158" xr:uid="{00000000-0005-0000-0000-0000777C0000}"/>
    <cellStyle name="Percent 2 3 4 3 2 2" xfId="30517" xr:uid="{00000000-0005-0000-0000-0000787C0000}"/>
    <cellStyle name="Percent 2 3 4 3 3" xfId="32543" xr:uid="{00000000-0005-0000-0000-0000797C0000}"/>
    <cellStyle name="Percent 2 3 4 4" xfId="10378" xr:uid="{00000000-0005-0000-0000-00007A7C0000}"/>
    <cellStyle name="Percent 2 3 4 5" xfId="32541" xr:uid="{00000000-0005-0000-0000-00007B7C0000}"/>
    <cellStyle name="Percent 2 3 5" xfId="8285" xr:uid="{00000000-0005-0000-0000-00007C7C0000}"/>
    <cellStyle name="Percent 2 3 5 2" xfId="8286" xr:uid="{00000000-0005-0000-0000-00007D7C0000}"/>
    <cellStyle name="Percent 2 3 5 2 2" xfId="11674" xr:uid="{00000000-0005-0000-0000-00007E7C0000}"/>
    <cellStyle name="Percent 2 3 5 2 3" xfId="32545" xr:uid="{00000000-0005-0000-0000-00007F7C0000}"/>
    <cellStyle name="Percent 2 3 5 3" xfId="8287" xr:uid="{00000000-0005-0000-0000-0000807C0000}"/>
    <cellStyle name="Percent 2 3 5 3 2" xfId="17247" xr:uid="{00000000-0005-0000-0000-0000817C0000}"/>
    <cellStyle name="Percent 2 3 5 3 2 2" xfId="30606" xr:uid="{00000000-0005-0000-0000-0000827C0000}"/>
    <cellStyle name="Percent 2 3 5 3 3" xfId="32546" xr:uid="{00000000-0005-0000-0000-0000837C0000}"/>
    <cellStyle name="Percent 2 3 5 4" xfId="10379" xr:uid="{00000000-0005-0000-0000-0000847C0000}"/>
    <cellStyle name="Percent 2 3 5 5" xfId="32544" xr:uid="{00000000-0005-0000-0000-0000857C0000}"/>
    <cellStyle name="Percent 2 3 6" xfId="8288" xr:uid="{00000000-0005-0000-0000-0000867C0000}"/>
    <cellStyle name="Percent 2 3 6 2" xfId="8289" xr:uid="{00000000-0005-0000-0000-0000877C0000}"/>
    <cellStyle name="Percent 2 3 6 2 2" xfId="15777" xr:uid="{00000000-0005-0000-0000-0000887C0000}"/>
    <cellStyle name="Percent 2 3 6 2 3" xfId="32548" xr:uid="{00000000-0005-0000-0000-0000897C0000}"/>
    <cellStyle name="Percent 2 3 6 3" xfId="8290" xr:uid="{00000000-0005-0000-0000-00008A7C0000}"/>
    <cellStyle name="Percent 2 3 6 3 2" xfId="16522" xr:uid="{00000000-0005-0000-0000-00008B7C0000}"/>
    <cellStyle name="Percent 2 3 6 3 2 2" xfId="29929" xr:uid="{00000000-0005-0000-0000-00008C7C0000}"/>
    <cellStyle name="Percent 2 3 6 3 3" xfId="32549" xr:uid="{00000000-0005-0000-0000-00008D7C0000}"/>
    <cellStyle name="Percent 2 3 6 4" xfId="11897" xr:uid="{00000000-0005-0000-0000-00008E7C0000}"/>
    <cellStyle name="Percent 2 3 6 4 2" xfId="25612" xr:uid="{00000000-0005-0000-0000-00008F7C0000}"/>
    <cellStyle name="Percent 2 3 6 5" xfId="32547" xr:uid="{00000000-0005-0000-0000-0000907C0000}"/>
    <cellStyle name="Percent 2 3 7" xfId="8291" xr:uid="{00000000-0005-0000-0000-0000917C0000}"/>
    <cellStyle name="Percent 2 3 7 2" xfId="13474" xr:uid="{00000000-0005-0000-0000-0000927C0000}"/>
    <cellStyle name="Percent 2 3 7 2 2" xfId="27023" xr:uid="{00000000-0005-0000-0000-0000937C0000}"/>
    <cellStyle name="Percent 2 3 7 3" xfId="32550" xr:uid="{00000000-0005-0000-0000-0000947C0000}"/>
    <cellStyle name="Percent 2 3 8" xfId="8292" xr:uid="{00000000-0005-0000-0000-0000957C0000}"/>
    <cellStyle name="Percent 2 3 8 2" xfId="14055" xr:uid="{00000000-0005-0000-0000-0000967C0000}"/>
    <cellStyle name="Percent 2 3 8 2 2" xfId="27604" xr:uid="{00000000-0005-0000-0000-0000977C0000}"/>
    <cellStyle name="Percent 2 3 8 3" xfId="32551" xr:uid="{00000000-0005-0000-0000-0000987C0000}"/>
    <cellStyle name="Percent 2 3 9" xfId="8293" xr:uid="{00000000-0005-0000-0000-0000997C0000}"/>
    <cellStyle name="Percent 2 3 9 2" xfId="15941" xr:uid="{00000000-0005-0000-0000-00009A7C0000}"/>
    <cellStyle name="Percent 2 3 9 2 2" xfId="29348" xr:uid="{00000000-0005-0000-0000-00009B7C0000}"/>
    <cellStyle name="Percent 2 3 9 3" xfId="32552" xr:uid="{00000000-0005-0000-0000-00009C7C0000}"/>
    <cellStyle name="Percent 2 30" xfId="33030" xr:uid="{00000000-0005-0000-0000-00009D7C0000}"/>
    <cellStyle name="Percent 2 31" xfId="8109" xr:uid="{00000000-0005-0000-0000-00009E7C0000}"/>
    <cellStyle name="Percent 2 4" xfId="8294" xr:uid="{00000000-0005-0000-0000-00009F7C0000}"/>
    <cellStyle name="Percent 2 4 10" xfId="10380" xr:uid="{00000000-0005-0000-0000-0000A07C0000}"/>
    <cellStyle name="Percent 2 4 11" xfId="32553" xr:uid="{00000000-0005-0000-0000-0000A17C0000}"/>
    <cellStyle name="Percent 2 4 2" xfId="8295" xr:uid="{00000000-0005-0000-0000-0000A27C0000}"/>
    <cellStyle name="Percent 2 4 2 2" xfId="8296" xr:uid="{00000000-0005-0000-0000-0000A37C0000}"/>
    <cellStyle name="Percent 2 4 2 2 2" xfId="8297" xr:uid="{00000000-0005-0000-0000-0000A47C0000}"/>
    <cellStyle name="Percent 2 4 2 2 2 2" xfId="8298" xr:uid="{00000000-0005-0000-0000-0000A57C0000}"/>
    <cellStyle name="Percent 2 4 2 2 2 2 2" xfId="11675" xr:uid="{00000000-0005-0000-0000-0000A67C0000}"/>
    <cellStyle name="Percent 2 4 2 2 2 2 3" xfId="32557" xr:uid="{00000000-0005-0000-0000-0000A77C0000}"/>
    <cellStyle name="Percent 2 4 2 2 2 3" xfId="8299" xr:uid="{00000000-0005-0000-0000-0000A87C0000}"/>
    <cellStyle name="Percent 2 4 2 2 2 3 2" xfId="16908" xr:uid="{00000000-0005-0000-0000-0000A97C0000}"/>
    <cellStyle name="Percent 2 4 2 2 2 3 2 2" xfId="30315" xr:uid="{00000000-0005-0000-0000-0000AA7C0000}"/>
    <cellStyle name="Percent 2 4 2 2 2 3 3" xfId="32558" xr:uid="{00000000-0005-0000-0000-0000AB7C0000}"/>
    <cellStyle name="Percent 2 4 2 2 2 4" xfId="10383" xr:uid="{00000000-0005-0000-0000-0000AC7C0000}"/>
    <cellStyle name="Percent 2 4 2 2 2 5" xfId="32556" xr:uid="{00000000-0005-0000-0000-0000AD7C0000}"/>
    <cellStyle name="Percent 2 4 2 2 3" xfId="8300" xr:uid="{00000000-0005-0000-0000-0000AE7C0000}"/>
    <cellStyle name="Percent 2 4 2 2 3 2" xfId="8301" xr:uid="{00000000-0005-0000-0000-0000AF7C0000}"/>
    <cellStyle name="Percent 2 4 2 2 3 2 2" xfId="13348" xr:uid="{00000000-0005-0000-0000-0000B07C0000}"/>
    <cellStyle name="Percent 2 4 2 2 3 2 3" xfId="32560" xr:uid="{00000000-0005-0000-0000-0000B17C0000}"/>
    <cellStyle name="Percent 2 4 2 2 3 3" xfId="12296" xr:uid="{00000000-0005-0000-0000-0000B27C0000}"/>
    <cellStyle name="Percent 2 4 2 2 3 3 2" xfId="26008" xr:uid="{00000000-0005-0000-0000-0000B37C0000}"/>
    <cellStyle name="Percent 2 4 2 2 3 4" xfId="32559" xr:uid="{00000000-0005-0000-0000-0000B47C0000}"/>
    <cellStyle name="Percent 2 4 2 2 4" xfId="8302" xr:uid="{00000000-0005-0000-0000-0000B57C0000}"/>
    <cellStyle name="Percent 2 4 2 2 4 2" xfId="8303" xr:uid="{00000000-0005-0000-0000-0000B67C0000}"/>
    <cellStyle name="Percent 2 4 2 2 4 2 2" xfId="15778" xr:uid="{00000000-0005-0000-0000-0000B77C0000}"/>
    <cellStyle name="Percent 2 4 2 2 4 2 3" xfId="32562" xr:uid="{00000000-0005-0000-0000-0000B87C0000}"/>
    <cellStyle name="Percent 2 4 2 2 4 3" xfId="13860" xr:uid="{00000000-0005-0000-0000-0000B97C0000}"/>
    <cellStyle name="Percent 2 4 2 2 4 3 2" xfId="27409" xr:uid="{00000000-0005-0000-0000-0000BA7C0000}"/>
    <cellStyle name="Percent 2 4 2 2 4 4" xfId="32561" xr:uid="{00000000-0005-0000-0000-0000BB7C0000}"/>
    <cellStyle name="Percent 2 4 2 2 5" xfId="8304" xr:uid="{00000000-0005-0000-0000-0000BC7C0000}"/>
    <cellStyle name="Percent 2 4 2 2 5 2" xfId="14441" xr:uid="{00000000-0005-0000-0000-0000BD7C0000}"/>
    <cellStyle name="Percent 2 4 2 2 5 2 2" xfId="27990" xr:uid="{00000000-0005-0000-0000-0000BE7C0000}"/>
    <cellStyle name="Percent 2 4 2 2 5 3" xfId="32563" xr:uid="{00000000-0005-0000-0000-0000BF7C0000}"/>
    <cellStyle name="Percent 2 4 2 2 6" xfId="8305" xr:uid="{00000000-0005-0000-0000-0000C07C0000}"/>
    <cellStyle name="Percent 2 4 2 2 6 2" xfId="16327" xr:uid="{00000000-0005-0000-0000-0000C17C0000}"/>
    <cellStyle name="Percent 2 4 2 2 6 2 2" xfId="29734" xr:uid="{00000000-0005-0000-0000-0000C27C0000}"/>
    <cellStyle name="Percent 2 4 2 2 6 3" xfId="32564" xr:uid="{00000000-0005-0000-0000-0000C37C0000}"/>
    <cellStyle name="Percent 2 4 2 2 7" xfId="10382" xr:uid="{00000000-0005-0000-0000-0000C47C0000}"/>
    <cellStyle name="Percent 2 4 2 2 8" xfId="32555" xr:uid="{00000000-0005-0000-0000-0000C57C0000}"/>
    <cellStyle name="Percent 2 4 2 3" xfId="8306" xr:uid="{00000000-0005-0000-0000-0000C67C0000}"/>
    <cellStyle name="Percent 2 4 2 3 2" xfId="8307" xr:uid="{00000000-0005-0000-0000-0000C77C0000}"/>
    <cellStyle name="Percent 2 4 2 3 2 2" xfId="11676" xr:uid="{00000000-0005-0000-0000-0000C87C0000}"/>
    <cellStyle name="Percent 2 4 2 3 2 3" xfId="32566" xr:uid="{00000000-0005-0000-0000-0000C97C0000}"/>
    <cellStyle name="Percent 2 4 2 3 3" xfId="8308" xr:uid="{00000000-0005-0000-0000-0000CA7C0000}"/>
    <cellStyle name="Percent 2 4 2 3 3 2" xfId="16619" xr:uid="{00000000-0005-0000-0000-0000CB7C0000}"/>
    <cellStyle name="Percent 2 4 2 3 3 2 2" xfId="30026" xr:uid="{00000000-0005-0000-0000-0000CC7C0000}"/>
    <cellStyle name="Percent 2 4 2 3 3 3" xfId="32567" xr:uid="{00000000-0005-0000-0000-0000CD7C0000}"/>
    <cellStyle name="Percent 2 4 2 3 4" xfId="10384" xr:uid="{00000000-0005-0000-0000-0000CE7C0000}"/>
    <cellStyle name="Percent 2 4 2 3 5" xfId="32565" xr:uid="{00000000-0005-0000-0000-0000CF7C0000}"/>
    <cellStyle name="Percent 2 4 2 4" xfId="8309" xr:uid="{00000000-0005-0000-0000-0000D07C0000}"/>
    <cellStyle name="Percent 2 4 2 4 2" xfId="8310" xr:uid="{00000000-0005-0000-0000-0000D17C0000}"/>
    <cellStyle name="Percent 2 4 2 4 2 2" xfId="13349" xr:uid="{00000000-0005-0000-0000-0000D27C0000}"/>
    <cellStyle name="Percent 2 4 2 4 2 3" xfId="32569" xr:uid="{00000000-0005-0000-0000-0000D37C0000}"/>
    <cellStyle name="Percent 2 4 2 4 3" xfId="11996" xr:uid="{00000000-0005-0000-0000-0000D47C0000}"/>
    <cellStyle name="Percent 2 4 2 4 3 2" xfId="25711" xr:uid="{00000000-0005-0000-0000-0000D57C0000}"/>
    <cellStyle name="Percent 2 4 2 4 4" xfId="32568" xr:uid="{00000000-0005-0000-0000-0000D67C0000}"/>
    <cellStyle name="Percent 2 4 2 5" xfId="8311" xr:uid="{00000000-0005-0000-0000-0000D77C0000}"/>
    <cellStyle name="Percent 2 4 2 5 2" xfId="8312" xr:uid="{00000000-0005-0000-0000-0000D87C0000}"/>
    <cellStyle name="Percent 2 4 2 5 2 2" xfId="15779" xr:uid="{00000000-0005-0000-0000-0000D97C0000}"/>
    <cellStyle name="Percent 2 4 2 5 2 3" xfId="32571" xr:uid="{00000000-0005-0000-0000-0000DA7C0000}"/>
    <cellStyle name="Percent 2 4 2 5 3" xfId="13571" xr:uid="{00000000-0005-0000-0000-0000DB7C0000}"/>
    <cellStyle name="Percent 2 4 2 5 3 2" xfId="27120" xr:uid="{00000000-0005-0000-0000-0000DC7C0000}"/>
    <cellStyle name="Percent 2 4 2 5 4" xfId="32570" xr:uid="{00000000-0005-0000-0000-0000DD7C0000}"/>
    <cellStyle name="Percent 2 4 2 6" xfId="8313" xr:uid="{00000000-0005-0000-0000-0000DE7C0000}"/>
    <cellStyle name="Percent 2 4 2 6 2" xfId="14152" xr:uid="{00000000-0005-0000-0000-0000DF7C0000}"/>
    <cellStyle name="Percent 2 4 2 6 2 2" xfId="27701" xr:uid="{00000000-0005-0000-0000-0000E07C0000}"/>
    <cellStyle name="Percent 2 4 2 6 3" xfId="32572" xr:uid="{00000000-0005-0000-0000-0000E17C0000}"/>
    <cellStyle name="Percent 2 4 2 7" xfId="8314" xr:uid="{00000000-0005-0000-0000-0000E27C0000}"/>
    <cellStyle name="Percent 2 4 2 7 2" xfId="16038" xr:uid="{00000000-0005-0000-0000-0000E37C0000}"/>
    <cellStyle name="Percent 2 4 2 7 2 2" xfId="29445" xr:uid="{00000000-0005-0000-0000-0000E47C0000}"/>
    <cellStyle name="Percent 2 4 2 7 3" xfId="32573" xr:uid="{00000000-0005-0000-0000-0000E57C0000}"/>
    <cellStyle name="Percent 2 4 2 8" xfId="10381" xr:uid="{00000000-0005-0000-0000-0000E67C0000}"/>
    <cellStyle name="Percent 2 4 2 9" xfId="32554" xr:uid="{00000000-0005-0000-0000-0000E77C0000}"/>
    <cellStyle name="Percent 2 4 3" xfId="8315" xr:uid="{00000000-0005-0000-0000-0000E87C0000}"/>
    <cellStyle name="Percent 2 4 3 2" xfId="8316" xr:uid="{00000000-0005-0000-0000-0000E97C0000}"/>
    <cellStyle name="Percent 2 4 3 2 2" xfId="8317" xr:uid="{00000000-0005-0000-0000-0000EA7C0000}"/>
    <cellStyle name="Percent 2 4 3 2 2 2" xfId="11677" xr:uid="{00000000-0005-0000-0000-0000EB7C0000}"/>
    <cellStyle name="Percent 2 4 3 2 2 3" xfId="32576" xr:uid="{00000000-0005-0000-0000-0000EC7C0000}"/>
    <cellStyle name="Percent 2 4 3 2 3" xfId="8318" xr:uid="{00000000-0005-0000-0000-0000ED7C0000}"/>
    <cellStyle name="Percent 2 4 3 2 3 2" xfId="16768" xr:uid="{00000000-0005-0000-0000-0000EE7C0000}"/>
    <cellStyle name="Percent 2 4 3 2 3 2 2" xfId="30175" xr:uid="{00000000-0005-0000-0000-0000EF7C0000}"/>
    <cellStyle name="Percent 2 4 3 2 3 3" xfId="32577" xr:uid="{00000000-0005-0000-0000-0000F07C0000}"/>
    <cellStyle name="Percent 2 4 3 2 4" xfId="10386" xr:uid="{00000000-0005-0000-0000-0000F17C0000}"/>
    <cellStyle name="Percent 2 4 3 2 5" xfId="32575" xr:uid="{00000000-0005-0000-0000-0000F27C0000}"/>
    <cellStyle name="Percent 2 4 3 3" xfId="8319" xr:uid="{00000000-0005-0000-0000-0000F37C0000}"/>
    <cellStyle name="Percent 2 4 3 3 2" xfId="8320" xr:uid="{00000000-0005-0000-0000-0000F47C0000}"/>
    <cellStyle name="Percent 2 4 3 3 2 2" xfId="13350" xr:uid="{00000000-0005-0000-0000-0000F57C0000}"/>
    <cellStyle name="Percent 2 4 3 3 2 3" xfId="32579" xr:uid="{00000000-0005-0000-0000-0000F67C0000}"/>
    <cellStyle name="Percent 2 4 3 3 3" xfId="12156" xr:uid="{00000000-0005-0000-0000-0000F77C0000}"/>
    <cellStyle name="Percent 2 4 3 3 3 2" xfId="25868" xr:uid="{00000000-0005-0000-0000-0000F87C0000}"/>
    <cellStyle name="Percent 2 4 3 3 4" xfId="32578" xr:uid="{00000000-0005-0000-0000-0000F97C0000}"/>
    <cellStyle name="Percent 2 4 3 4" xfId="8321" xr:uid="{00000000-0005-0000-0000-0000FA7C0000}"/>
    <cellStyle name="Percent 2 4 3 4 2" xfId="8322" xr:uid="{00000000-0005-0000-0000-0000FB7C0000}"/>
    <cellStyle name="Percent 2 4 3 4 2 2" xfId="15780" xr:uid="{00000000-0005-0000-0000-0000FC7C0000}"/>
    <cellStyle name="Percent 2 4 3 4 2 3" xfId="32581" xr:uid="{00000000-0005-0000-0000-0000FD7C0000}"/>
    <cellStyle name="Percent 2 4 3 4 3" xfId="13720" xr:uid="{00000000-0005-0000-0000-0000FE7C0000}"/>
    <cellStyle name="Percent 2 4 3 4 3 2" xfId="27269" xr:uid="{00000000-0005-0000-0000-0000FF7C0000}"/>
    <cellStyle name="Percent 2 4 3 4 4" xfId="32580" xr:uid="{00000000-0005-0000-0000-0000007D0000}"/>
    <cellStyle name="Percent 2 4 3 5" xfId="8323" xr:uid="{00000000-0005-0000-0000-0000017D0000}"/>
    <cellStyle name="Percent 2 4 3 5 2" xfId="14301" xr:uid="{00000000-0005-0000-0000-0000027D0000}"/>
    <cellStyle name="Percent 2 4 3 5 2 2" xfId="27850" xr:uid="{00000000-0005-0000-0000-0000037D0000}"/>
    <cellStyle name="Percent 2 4 3 5 3" xfId="32582" xr:uid="{00000000-0005-0000-0000-0000047D0000}"/>
    <cellStyle name="Percent 2 4 3 6" xfId="8324" xr:uid="{00000000-0005-0000-0000-0000057D0000}"/>
    <cellStyle name="Percent 2 4 3 6 2" xfId="16187" xr:uid="{00000000-0005-0000-0000-0000067D0000}"/>
    <cellStyle name="Percent 2 4 3 6 2 2" xfId="29594" xr:uid="{00000000-0005-0000-0000-0000077D0000}"/>
    <cellStyle name="Percent 2 4 3 6 3" xfId="32583" xr:uid="{00000000-0005-0000-0000-0000087D0000}"/>
    <cellStyle name="Percent 2 4 3 7" xfId="10385" xr:uid="{00000000-0005-0000-0000-0000097D0000}"/>
    <cellStyle name="Percent 2 4 3 8" xfId="32574" xr:uid="{00000000-0005-0000-0000-00000A7D0000}"/>
    <cellStyle name="Percent 2 4 4" xfId="8325" xr:uid="{00000000-0005-0000-0000-00000B7D0000}"/>
    <cellStyle name="Percent 2 4 4 2" xfId="8326" xr:uid="{00000000-0005-0000-0000-00000C7D0000}"/>
    <cellStyle name="Percent 2 4 4 2 2" xfId="16476" xr:uid="{00000000-0005-0000-0000-00000D7D0000}"/>
    <cellStyle name="Percent 2 4 4 2 2 2" xfId="29883" xr:uid="{00000000-0005-0000-0000-00000E7D0000}"/>
    <cellStyle name="Percent 2 4 4 2 3" xfId="32585" xr:uid="{00000000-0005-0000-0000-00000F7D0000}"/>
    <cellStyle name="Percent 2 4 4 3" xfId="10387" xr:uid="{00000000-0005-0000-0000-0000107D0000}"/>
    <cellStyle name="Percent 2 4 4 4" xfId="32584" xr:uid="{00000000-0005-0000-0000-0000117D0000}"/>
    <cellStyle name="Percent 2 4 5" xfId="8327" xr:uid="{00000000-0005-0000-0000-0000127D0000}"/>
    <cellStyle name="Percent 2 4 5 2" xfId="8328" xr:uid="{00000000-0005-0000-0000-0000137D0000}"/>
    <cellStyle name="Percent 2 4 5 2 2" xfId="11678" xr:uid="{00000000-0005-0000-0000-0000147D0000}"/>
    <cellStyle name="Percent 2 4 5 2 3" xfId="32587" xr:uid="{00000000-0005-0000-0000-0000157D0000}"/>
    <cellStyle name="Percent 2 4 5 3" xfId="10388" xr:uid="{00000000-0005-0000-0000-0000167D0000}"/>
    <cellStyle name="Percent 2 4 5 4" xfId="32586" xr:uid="{00000000-0005-0000-0000-0000177D0000}"/>
    <cellStyle name="Percent 2 4 6" xfId="8329" xr:uid="{00000000-0005-0000-0000-0000187D0000}"/>
    <cellStyle name="Percent 2 4 6 2" xfId="8330" xr:uid="{00000000-0005-0000-0000-0000197D0000}"/>
    <cellStyle name="Percent 2 4 6 2 2" xfId="13351" xr:uid="{00000000-0005-0000-0000-00001A7D0000}"/>
    <cellStyle name="Percent 2 4 6 2 3" xfId="32589" xr:uid="{00000000-0005-0000-0000-00001B7D0000}"/>
    <cellStyle name="Percent 2 4 6 3" xfId="11827" xr:uid="{00000000-0005-0000-0000-00001C7D0000}"/>
    <cellStyle name="Percent 2 4 6 3 2" xfId="25542" xr:uid="{00000000-0005-0000-0000-00001D7D0000}"/>
    <cellStyle name="Percent 2 4 6 4" xfId="32588" xr:uid="{00000000-0005-0000-0000-00001E7D0000}"/>
    <cellStyle name="Percent 2 4 7" xfId="8331" xr:uid="{00000000-0005-0000-0000-00001F7D0000}"/>
    <cellStyle name="Percent 2 4 7 2" xfId="8332" xr:uid="{00000000-0005-0000-0000-0000207D0000}"/>
    <cellStyle name="Percent 2 4 7 2 2" xfId="15781" xr:uid="{00000000-0005-0000-0000-0000217D0000}"/>
    <cellStyle name="Percent 2 4 7 2 3" xfId="32591" xr:uid="{00000000-0005-0000-0000-0000227D0000}"/>
    <cellStyle name="Percent 2 4 7 3" xfId="13428" xr:uid="{00000000-0005-0000-0000-0000237D0000}"/>
    <cellStyle name="Percent 2 4 7 3 2" xfId="26977" xr:uid="{00000000-0005-0000-0000-0000247D0000}"/>
    <cellStyle name="Percent 2 4 7 4" xfId="32590" xr:uid="{00000000-0005-0000-0000-0000257D0000}"/>
    <cellStyle name="Percent 2 4 8" xfId="8333" xr:uid="{00000000-0005-0000-0000-0000267D0000}"/>
    <cellStyle name="Percent 2 4 8 2" xfId="14009" xr:uid="{00000000-0005-0000-0000-0000277D0000}"/>
    <cellStyle name="Percent 2 4 8 2 2" xfId="27558" xr:uid="{00000000-0005-0000-0000-0000287D0000}"/>
    <cellStyle name="Percent 2 4 8 3" xfId="32592" xr:uid="{00000000-0005-0000-0000-0000297D0000}"/>
    <cellStyle name="Percent 2 4 9" xfId="8334" xr:uid="{00000000-0005-0000-0000-00002A7D0000}"/>
    <cellStyle name="Percent 2 4 9 2" xfId="15895" xr:uid="{00000000-0005-0000-0000-00002B7D0000}"/>
    <cellStyle name="Percent 2 4 9 2 2" xfId="29302" xr:uid="{00000000-0005-0000-0000-00002C7D0000}"/>
    <cellStyle name="Percent 2 4 9 3" xfId="32593" xr:uid="{00000000-0005-0000-0000-00002D7D0000}"/>
    <cellStyle name="Percent 2 5" xfId="8335" xr:uid="{00000000-0005-0000-0000-00002E7D0000}"/>
    <cellStyle name="Percent 2 5 10" xfId="10389" xr:uid="{00000000-0005-0000-0000-00002F7D0000}"/>
    <cellStyle name="Percent 2 5 11" xfId="32594" xr:uid="{00000000-0005-0000-0000-0000307D0000}"/>
    <cellStyle name="Percent 2 5 2" xfId="8336" xr:uid="{00000000-0005-0000-0000-0000317D0000}"/>
    <cellStyle name="Percent 2 5 2 2" xfId="8337" xr:uid="{00000000-0005-0000-0000-0000327D0000}"/>
    <cellStyle name="Percent 2 5 2 2 2" xfId="8338" xr:uid="{00000000-0005-0000-0000-0000337D0000}"/>
    <cellStyle name="Percent 2 5 2 2 2 2" xfId="8339" xr:uid="{00000000-0005-0000-0000-0000347D0000}"/>
    <cellStyle name="Percent 2 5 2 2 2 2 2" xfId="11679" xr:uid="{00000000-0005-0000-0000-0000357D0000}"/>
    <cellStyle name="Percent 2 5 2 2 2 2 3" xfId="32598" xr:uid="{00000000-0005-0000-0000-0000367D0000}"/>
    <cellStyle name="Percent 2 5 2 2 2 3" xfId="8340" xr:uid="{00000000-0005-0000-0000-0000377D0000}"/>
    <cellStyle name="Percent 2 5 2 2 2 3 2" xfId="16891" xr:uid="{00000000-0005-0000-0000-0000387D0000}"/>
    <cellStyle name="Percent 2 5 2 2 2 3 2 2" xfId="30298" xr:uid="{00000000-0005-0000-0000-0000397D0000}"/>
    <cellStyle name="Percent 2 5 2 2 2 3 3" xfId="32599" xr:uid="{00000000-0005-0000-0000-00003A7D0000}"/>
    <cellStyle name="Percent 2 5 2 2 2 4" xfId="10392" xr:uid="{00000000-0005-0000-0000-00003B7D0000}"/>
    <cellStyle name="Percent 2 5 2 2 2 5" xfId="32597" xr:uid="{00000000-0005-0000-0000-00003C7D0000}"/>
    <cellStyle name="Percent 2 5 2 2 3" xfId="8341" xr:uid="{00000000-0005-0000-0000-00003D7D0000}"/>
    <cellStyle name="Percent 2 5 2 2 3 2" xfId="8342" xr:uid="{00000000-0005-0000-0000-00003E7D0000}"/>
    <cellStyle name="Percent 2 5 2 2 3 2 2" xfId="13352" xr:uid="{00000000-0005-0000-0000-00003F7D0000}"/>
    <cellStyle name="Percent 2 5 2 2 3 2 3" xfId="32601" xr:uid="{00000000-0005-0000-0000-0000407D0000}"/>
    <cellStyle name="Percent 2 5 2 2 3 3" xfId="12279" xr:uid="{00000000-0005-0000-0000-0000417D0000}"/>
    <cellStyle name="Percent 2 5 2 2 3 3 2" xfId="25991" xr:uid="{00000000-0005-0000-0000-0000427D0000}"/>
    <cellStyle name="Percent 2 5 2 2 3 4" xfId="32600" xr:uid="{00000000-0005-0000-0000-0000437D0000}"/>
    <cellStyle name="Percent 2 5 2 2 4" xfId="8343" xr:uid="{00000000-0005-0000-0000-0000447D0000}"/>
    <cellStyle name="Percent 2 5 2 2 4 2" xfId="8344" xr:uid="{00000000-0005-0000-0000-0000457D0000}"/>
    <cellStyle name="Percent 2 5 2 2 4 2 2" xfId="15782" xr:uid="{00000000-0005-0000-0000-0000467D0000}"/>
    <cellStyle name="Percent 2 5 2 2 4 2 3" xfId="32603" xr:uid="{00000000-0005-0000-0000-0000477D0000}"/>
    <cellStyle name="Percent 2 5 2 2 4 3" xfId="13843" xr:uid="{00000000-0005-0000-0000-0000487D0000}"/>
    <cellStyle name="Percent 2 5 2 2 4 3 2" xfId="27392" xr:uid="{00000000-0005-0000-0000-0000497D0000}"/>
    <cellStyle name="Percent 2 5 2 2 4 4" xfId="32602" xr:uid="{00000000-0005-0000-0000-00004A7D0000}"/>
    <cellStyle name="Percent 2 5 2 2 5" xfId="8345" xr:uid="{00000000-0005-0000-0000-00004B7D0000}"/>
    <cellStyle name="Percent 2 5 2 2 5 2" xfId="14424" xr:uid="{00000000-0005-0000-0000-00004C7D0000}"/>
    <cellStyle name="Percent 2 5 2 2 5 2 2" xfId="27973" xr:uid="{00000000-0005-0000-0000-00004D7D0000}"/>
    <cellStyle name="Percent 2 5 2 2 5 3" xfId="32604" xr:uid="{00000000-0005-0000-0000-00004E7D0000}"/>
    <cellStyle name="Percent 2 5 2 2 6" xfId="8346" xr:uid="{00000000-0005-0000-0000-00004F7D0000}"/>
    <cellStyle name="Percent 2 5 2 2 6 2" xfId="16310" xr:uid="{00000000-0005-0000-0000-0000507D0000}"/>
    <cellStyle name="Percent 2 5 2 2 6 2 2" xfId="29717" xr:uid="{00000000-0005-0000-0000-0000517D0000}"/>
    <cellStyle name="Percent 2 5 2 2 6 3" xfId="32605" xr:uid="{00000000-0005-0000-0000-0000527D0000}"/>
    <cellStyle name="Percent 2 5 2 2 7" xfId="10391" xr:uid="{00000000-0005-0000-0000-0000537D0000}"/>
    <cellStyle name="Percent 2 5 2 2 8" xfId="32596" xr:uid="{00000000-0005-0000-0000-0000547D0000}"/>
    <cellStyle name="Percent 2 5 2 3" xfId="8347" xr:uid="{00000000-0005-0000-0000-0000557D0000}"/>
    <cellStyle name="Percent 2 5 2 3 2" xfId="8348" xr:uid="{00000000-0005-0000-0000-0000567D0000}"/>
    <cellStyle name="Percent 2 5 2 3 2 2" xfId="11680" xr:uid="{00000000-0005-0000-0000-0000577D0000}"/>
    <cellStyle name="Percent 2 5 2 3 2 3" xfId="32607" xr:uid="{00000000-0005-0000-0000-0000587D0000}"/>
    <cellStyle name="Percent 2 5 2 3 3" xfId="8349" xr:uid="{00000000-0005-0000-0000-0000597D0000}"/>
    <cellStyle name="Percent 2 5 2 3 3 2" xfId="16602" xr:uid="{00000000-0005-0000-0000-00005A7D0000}"/>
    <cellStyle name="Percent 2 5 2 3 3 2 2" xfId="30009" xr:uid="{00000000-0005-0000-0000-00005B7D0000}"/>
    <cellStyle name="Percent 2 5 2 3 3 3" xfId="32608" xr:uid="{00000000-0005-0000-0000-00005C7D0000}"/>
    <cellStyle name="Percent 2 5 2 3 4" xfId="10393" xr:uid="{00000000-0005-0000-0000-00005D7D0000}"/>
    <cellStyle name="Percent 2 5 2 3 5" xfId="32606" xr:uid="{00000000-0005-0000-0000-00005E7D0000}"/>
    <cellStyle name="Percent 2 5 2 4" xfId="8350" xr:uid="{00000000-0005-0000-0000-00005F7D0000}"/>
    <cellStyle name="Percent 2 5 2 4 2" xfId="8351" xr:uid="{00000000-0005-0000-0000-0000607D0000}"/>
    <cellStyle name="Percent 2 5 2 4 2 2" xfId="13353" xr:uid="{00000000-0005-0000-0000-0000617D0000}"/>
    <cellStyle name="Percent 2 5 2 4 2 3" xfId="32610" xr:uid="{00000000-0005-0000-0000-0000627D0000}"/>
    <cellStyle name="Percent 2 5 2 4 3" xfId="11979" xr:uid="{00000000-0005-0000-0000-0000637D0000}"/>
    <cellStyle name="Percent 2 5 2 4 3 2" xfId="25694" xr:uid="{00000000-0005-0000-0000-0000647D0000}"/>
    <cellStyle name="Percent 2 5 2 4 4" xfId="32609" xr:uid="{00000000-0005-0000-0000-0000657D0000}"/>
    <cellStyle name="Percent 2 5 2 5" xfId="8352" xr:uid="{00000000-0005-0000-0000-0000667D0000}"/>
    <cellStyle name="Percent 2 5 2 5 2" xfId="8353" xr:uid="{00000000-0005-0000-0000-0000677D0000}"/>
    <cellStyle name="Percent 2 5 2 5 2 2" xfId="15783" xr:uid="{00000000-0005-0000-0000-0000687D0000}"/>
    <cellStyle name="Percent 2 5 2 5 2 3" xfId="32612" xr:uid="{00000000-0005-0000-0000-0000697D0000}"/>
    <cellStyle name="Percent 2 5 2 5 3" xfId="13554" xr:uid="{00000000-0005-0000-0000-00006A7D0000}"/>
    <cellStyle name="Percent 2 5 2 5 3 2" xfId="27103" xr:uid="{00000000-0005-0000-0000-00006B7D0000}"/>
    <cellStyle name="Percent 2 5 2 5 4" xfId="32611" xr:uid="{00000000-0005-0000-0000-00006C7D0000}"/>
    <cellStyle name="Percent 2 5 2 6" xfId="8354" xr:uid="{00000000-0005-0000-0000-00006D7D0000}"/>
    <cellStyle name="Percent 2 5 2 6 2" xfId="14135" xr:uid="{00000000-0005-0000-0000-00006E7D0000}"/>
    <cellStyle name="Percent 2 5 2 6 2 2" xfId="27684" xr:uid="{00000000-0005-0000-0000-00006F7D0000}"/>
    <cellStyle name="Percent 2 5 2 6 3" xfId="32613" xr:uid="{00000000-0005-0000-0000-0000707D0000}"/>
    <cellStyle name="Percent 2 5 2 7" xfId="8355" xr:uid="{00000000-0005-0000-0000-0000717D0000}"/>
    <cellStyle name="Percent 2 5 2 7 2" xfId="16021" xr:uid="{00000000-0005-0000-0000-0000727D0000}"/>
    <cellStyle name="Percent 2 5 2 7 2 2" xfId="29428" xr:uid="{00000000-0005-0000-0000-0000737D0000}"/>
    <cellStyle name="Percent 2 5 2 7 3" xfId="32614" xr:uid="{00000000-0005-0000-0000-0000747D0000}"/>
    <cellStyle name="Percent 2 5 2 8" xfId="10390" xr:uid="{00000000-0005-0000-0000-0000757D0000}"/>
    <cellStyle name="Percent 2 5 2 9" xfId="32595" xr:uid="{00000000-0005-0000-0000-0000767D0000}"/>
    <cellStyle name="Percent 2 5 3" xfId="8356" xr:uid="{00000000-0005-0000-0000-0000777D0000}"/>
    <cellStyle name="Percent 2 5 3 2" xfId="8357" xr:uid="{00000000-0005-0000-0000-0000787D0000}"/>
    <cellStyle name="Percent 2 5 3 2 2" xfId="8358" xr:uid="{00000000-0005-0000-0000-0000797D0000}"/>
    <cellStyle name="Percent 2 5 3 2 2 2" xfId="11681" xr:uid="{00000000-0005-0000-0000-00007A7D0000}"/>
    <cellStyle name="Percent 2 5 3 2 2 3" xfId="32617" xr:uid="{00000000-0005-0000-0000-00007B7D0000}"/>
    <cellStyle name="Percent 2 5 3 2 3" xfId="8359" xr:uid="{00000000-0005-0000-0000-00007C7D0000}"/>
    <cellStyle name="Percent 2 5 3 2 3 2" xfId="16751" xr:uid="{00000000-0005-0000-0000-00007D7D0000}"/>
    <cellStyle name="Percent 2 5 3 2 3 2 2" xfId="30158" xr:uid="{00000000-0005-0000-0000-00007E7D0000}"/>
    <cellStyle name="Percent 2 5 3 2 3 3" xfId="32618" xr:uid="{00000000-0005-0000-0000-00007F7D0000}"/>
    <cellStyle name="Percent 2 5 3 2 4" xfId="10395" xr:uid="{00000000-0005-0000-0000-0000807D0000}"/>
    <cellStyle name="Percent 2 5 3 2 5" xfId="32616" xr:uid="{00000000-0005-0000-0000-0000817D0000}"/>
    <cellStyle name="Percent 2 5 3 3" xfId="8360" xr:uid="{00000000-0005-0000-0000-0000827D0000}"/>
    <cellStyle name="Percent 2 5 3 3 2" xfId="8361" xr:uid="{00000000-0005-0000-0000-0000837D0000}"/>
    <cellStyle name="Percent 2 5 3 3 2 2" xfId="13354" xr:uid="{00000000-0005-0000-0000-0000847D0000}"/>
    <cellStyle name="Percent 2 5 3 3 2 3" xfId="32620" xr:uid="{00000000-0005-0000-0000-0000857D0000}"/>
    <cellStyle name="Percent 2 5 3 3 3" xfId="12139" xr:uid="{00000000-0005-0000-0000-0000867D0000}"/>
    <cellStyle name="Percent 2 5 3 3 3 2" xfId="25851" xr:uid="{00000000-0005-0000-0000-0000877D0000}"/>
    <cellStyle name="Percent 2 5 3 3 4" xfId="32619" xr:uid="{00000000-0005-0000-0000-0000887D0000}"/>
    <cellStyle name="Percent 2 5 3 4" xfId="8362" xr:uid="{00000000-0005-0000-0000-0000897D0000}"/>
    <cellStyle name="Percent 2 5 3 4 2" xfId="8363" xr:uid="{00000000-0005-0000-0000-00008A7D0000}"/>
    <cellStyle name="Percent 2 5 3 4 2 2" xfId="15784" xr:uid="{00000000-0005-0000-0000-00008B7D0000}"/>
    <cellStyle name="Percent 2 5 3 4 2 3" xfId="32622" xr:uid="{00000000-0005-0000-0000-00008C7D0000}"/>
    <cellStyle name="Percent 2 5 3 4 3" xfId="13703" xr:uid="{00000000-0005-0000-0000-00008D7D0000}"/>
    <cellStyle name="Percent 2 5 3 4 3 2" xfId="27252" xr:uid="{00000000-0005-0000-0000-00008E7D0000}"/>
    <cellStyle name="Percent 2 5 3 4 4" xfId="32621" xr:uid="{00000000-0005-0000-0000-00008F7D0000}"/>
    <cellStyle name="Percent 2 5 3 5" xfId="8364" xr:uid="{00000000-0005-0000-0000-0000907D0000}"/>
    <cellStyle name="Percent 2 5 3 5 2" xfId="14284" xr:uid="{00000000-0005-0000-0000-0000917D0000}"/>
    <cellStyle name="Percent 2 5 3 5 2 2" xfId="27833" xr:uid="{00000000-0005-0000-0000-0000927D0000}"/>
    <cellStyle name="Percent 2 5 3 5 3" xfId="32623" xr:uid="{00000000-0005-0000-0000-0000937D0000}"/>
    <cellStyle name="Percent 2 5 3 6" xfId="8365" xr:uid="{00000000-0005-0000-0000-0000947D0000}"/>
    <cellStyle name="Percent 2 5 3 6 2" xfId="16170" xr:uid="{00000000-0005-0000-0000-0000957D0000}"/>
    <cellStyle name="Percent 2 5 3 6 2 2" xfId="29577" xr:uid="{00000000-0005-0000-0000-0000967D0000}"/>
    <cellStyle name="Percent 2 5 3 6 3" xfId="32624" xr:uid="{00000000-0005-0000-0000-0000977D0000}"/>
    <cellStyle name="Percent 2 5 3 7" xfId="10394" xr:uid="{00000000-0005-0000-0000-0000987D0000}"/>
    <cellStyle name="Percent 2 5 3 8" xfId="32615" xr:uid="{00000000-0005-0000-0000-0000997D0000}"/>
    <cellStyle name="Percent 2 5 4" xfId="8366" xr:uid="{00000000-0005-0000-0000-00009A7D0000}"/>
    <cellStyle name="Percent 2 5 4 2" xfId="8367" xr:uid="{00000000-0005-0000-0000-00009B7D0000}"/>
    <cellStyle name="Percent 2 5 4 2 2" xfId="16459" xr:uid="{00000000-0005-0000-0000-00009C7D0000}"/>
    <cellStyle name="Percent 2 5 4 2 2 2" xfId="29866" xr:uid="{00000000-0005-0000-0000-00009D7D0000}"/>
    <cellStyle name="Percent 2 5 4 2 3" xfId="32626" xr:uid="{00000000-0005-0000-0000-00009E7D0000}"/>
    <cellStyle name="Percent 2 5 4 3" xfId="10396" xr:uid="{00000000-0005-0000-0000-00009F7D0000}"/>
    <cellStyle name="Percent 2 5 4 4" xfId="32625" xr:uid="{00000000-0005-0000-0000-0000A07D0000}"/>
    <cellStyle name="Percent 2 5 5" xfId="8368" xr:uid="{00000000-0005-0000-0000-0000A17D0000}"/>
    <cellStyle name="Percent 2 5 5 2" xfId="8369" xr:uid="{00000000-0005-0000-0000-0000A27D0000}"/>
    <cellStyle name="Percent 2 5 5 2 2" xfId="11682" xr:uid="{00000000-0005-0000-0000-0000A37D0000}"/>
    <cellStyle name="Percent 2 5 5 2 3" xfId="32628" xr:uid="{00000000-0005-0000-0000-0000A47D0000}"/>
    <cellStyle name="Percent 2 5 5 3" xfId="10397" xr:uid="{00000000-0005-0000-0000-0000A57D0000}"/>
    <cellStyle name="Percent 2 5 5 4" xfId="32627" xr:uid="{00000000-0005-0000-0000-0000A67D0000}"/>
    <cellStyle name="Percent 2 5 6" xfId="8370" xr:uid="{00000000-0005-0000-0000-0000A77D0000}"/>
    <cellStyle name="Percent 2 5 6 2" xfId="8371" xr:uid="{00000000-0005-0000-0000-0000A87D0000}"/>
    <cellStyle name="Percent 2 5 6 2 2" xfId="13355" xr:uid="{00000000-0005-0000-0000-0000A97D0000}"/>
    <cellStyle name="Percent 2 5 6 2 3" xfId="32630" xr:uid="{00000000-0005-0000-0000-0000AA7D0000}"/>
    <cellStyle name="Percent 2 5 6 3" xfId="11810" xr:uid="{00000000-0005-0000-0000-0000AB7D0000}"/>
    <cellStyle name="Percent 2 5 6 3 2" xfId="25525" xr:uid="{00000000-0005-0000-0000-0000AC7D0000}"/>
    <cellStyle name="Percent 2 5 6 4" xfId="32629" xr:uid="{00000000-0005-0000-0000-0000AD7D0000}"/>
    <cellStyle name="Percent 2 5 7" xfId="8372" xr:uid="{00000000-0005-0000-0000-0000AE7D0000}"/>
    <cellStyle name="Percent 2 5 7 2" xfId="8373" xr:uid="{00000000-0005-0000-0000-0000AF7D0000}"/>
    <cellStyle name="Percent 2 5 7 2 2" xfId="15785" xr:uid="{00000000-0005-0000-0000-0000B07D0000}"/>
    <cellStyle name="Percent 2 5 7 2 3" xfId="32632" xr:uid="{00000000-0005-0000-0000-0000B17D0000}"/>
    <cellStyle name="Percent 2 5 7 3" xfId="13411" xr:uid="{00000000-0005-0000-0000-0000B27D0000}"/>
    <cellStyle name="Percent 2 5 7 3 2" xfId="26960" xr:uid="{00000000-0005-0000-0000-0000B37D0000}"/>
    <cellStyle name="Percent 2 5 7 4" xfId="32631" xr:uid="{00000000-0005-0000-0000-0000B47D0000}"/>
    <cellStyle name="Percent 2 5 8" xfId="8374" xr:uid="{00000000-0005-0000-0000-0000B57D0000}"/>
    <cellStyle name="Percent 2 5 8 2" xfId="13992" xr:uid="{00000000-0005-0000-0000-0000B67D0000}"/>
    <cellStyle name="Percent 2 5 8 2 2" xfId="27541" xr:uid="{00000000-0005-0000-0000-0000B77D0000}"/>
    <cellStyle name="Percent 2 5 8 3" xfId="32633" xr:uid="{00000000-0005-0000-0000-0000B87D0000}"/>
    <cellStyle name="Percent 2 5 9" xfId="8375" xr:uid="{00000000-0005-0000-0000-0000B97D0000}"/>
    <cellStyle name="Percent 2 5 9 2" xfId="15878" xr:uid="{00000000-0005-0000-0000-0000BA7D0000}"/>
    <cellStyle name="Percent 2 5 9 2 2" xfId="29285" xr:uid="{00000000-0005-0000-0000-0000BB7D0000}"/>
    <cellStyle name="Percent 2 5 9 3" xfId="32634" xr:uid="{00000000-0005-0000-0000-0000BC7D0000}"/>
    <cellStyle name="Percent 2 6" xfId="8376" xr:uid="{00000000-0005-0000-0000-0000BD7D0000}"/>
    <cellStyle name="Percent 2 6 10" xfId="10398" xr:uid="{00000000-0005-0000-0000-0000BE7D0000}"/>
    <cellStyle name="Percent 2 6 11" xfId="32635" xr:uid="{00000000-0005-0000-0000-0000BF7D0000}"/>
    <cellStyle name="Percent 2 6 2" xfId="8377" xr:uid="{00000000-0005-0000-0000-0000C07D0000}"/>
    <cellStyle name="Percent 2 6 2 2" xfId="8378" xr:uid="{00000000-0005-0000-0000-0000C17D0000}"/>
    <cellStyle name="Percent 2 6 2 2 2" xfId="8379" xr:uid="{00000000-0005-0000-0000-0000C27D0000}"/>
    <cellStyle name="Percent 2 6 2 2 2 2" xfId="8380" xr:uid="{00000000-0005-0000-0000-0000C37D0000}"/>
    <cellStyle name="Percent 2 6 2 2 2 2 2" xfId="11683" xr:uid="{00000000-0005-0000-0000-0000C47D0000}"/>
    <cellStyle name="Percent 2 6 2 2 2 2 3" xfId="32639" xr:uid="{00000000-0005-0000-0000-0000C57D0000}"/>
    <cellStyle name="Percent 2 6 2 2 2 3" xfId="8381" xr:uid="{00000000-0005-0000-0000-0000C67D0000}"/>
    <cellStyle name="Percent 2 6 2 2 2 3 2" xfId="16997" xr:uid="{00000000-0005-0000-0000-0000C77D0000}"/>
    <cellStyle name="Percent 2 6 2 2 2 3 2 2" xfId="30404" xr:uid="{00000000-0005-0000-0000-0000C87D0000}"/>
    <cellStyle name="Percent 2 6 2 2 2 3 3" xfId="32640" xr:uid="{00000000-0005-0000-0000-0000C97D0000}"/>
    <cellStyle name="Percent 2 6 2 2 2 4" xfId="10401" xr:uid="{00000000-0005-0000-0000-0000CA7D0000}"/>
    <cellStyle name="Percent 2 6 2 2 2 5" xfId="32638" xr:uid="{00000000-0005-0000-0000-0000CB7D0000}"/>
    <cellStyle name="Percent 2 6 2 2 3" xfId="8382" xr:uid="{00000000-0005-0000-0000-0000CC7D0000}"/>
    <cellStyle name="Percent 2 6 2 2 3 2" xfId="8383" xr:uid="{00000000-0005-0000-0000-0000CD7D0000}"/>
    <cellStyle name="Percent 2 6 2 2 3 2 2" xfId="13356" xr:uid="{00000000-0005-0000-0000-0000CE7D0000}"/>
    <cellStyle name="Percent 2 6 2 2 3 2 3" xfId="32642" xr:uid="{00000000-0005-0000-0000-0000CF7D0000}"/>
    <cellStyle name="Percent 2 6 2 2 3 3" xfId="12385" xr:uid="{00000000-0005-0000-0000-0000D07D0000}"/>
    <cellStyle name="Percent 2 6 2 2 3 3 2" xfId="26097" xr:uid="{00000000-0005-0000-0000-0000D17D0000}"/>
    <cellStyle name="Percent 2 6 2 2 3 4" xfId="32641" xr:uid="{00000000-0005-0000-0000-0000D27D0000}"/>
    <cellStyle name="Percent 2 6 2 2 4" xfId="8384" xr:uid="{00000000-0005-0000-0000-0000D37D0000}"/>
    <cellStyle name="Percent 2 6 2 2 4 2" xfId="8385" xr:uid="{00000000-0005-0000-0000-0000D47D0000}"/>
    <cellStyle name="Percent 2 6 2 2 4 2 2" xfId="15786" xr:uid="{00000000-0005-0000-0000-0000D57D0000}"/>
    <cellStyle name="Percent 2 6 2 2 4 2 3" xfId="32644" xr:uid="{00000000-0005-0000-0000-0000D67D0000}"/>
    <cellStyle name="Percent 2 6 2 2 4 3" xfId="13949" xr:uid="{00000000-0005-0000-0000-0000D77D0000}"/>
    <cellStyle name="Percent 2 6 2 2 4 3 2" xfId="27498" xr:uid="{00000000-0005-0000-0000-0000D87D0000}"/>
    <cellStyle name="Percent 2 6 2 2 4 4" xfId="32643" xr:uid="{00000000-0005-0000-0000-0000D97D0000}"/>
    <cellStyle name="Percent 2 6 2 2 5" xfId="8386" xr:uid="{00000000-0005-0000-0000-0000DA7D0000}"/>
    <cellStyle name="Percent 2 6 2 2 5 2" xfId="14530" xr:uid="{00000000-0005-0000-0000-0000DB7D0000}"/>
    <cellStyle name="Percent 2 6 2 2 5 2 2" xfId="28079" xr:uid="{00000000-0005-0000-0000-0000DC7D0000}"/>
    <cellStyle name="Percent 2 6 2 2 5 3" xfId="32645" xr:uid="{00000000-0005-0000-0000-0000DD7D0000}"/>
    <cellStyle name="Percent 2 6 2 2 6" xfId="8387" xr:uid="{00000000-0005-0000-0000-0000DE7D0000}"/>
    <cellStyle name="Percent 2 6 2 2 6 2" xfId="16416" xr:uid="{00000000-0005-0000-0000-0000DF7D0000}"/>
    <cellStyle name="Percent 2 6 2 2 6 2 2" xfId="29823" xr:uid="{00000000-0005-0000-0000-0000E07D0000}"/>
    <cellStyle name="Percent 2 6 2 2 6 3" xfId="32646" xr:uid="{00000000-0005-0000-0000-0000E17D0000}"/>
    <cellStyle name="Percent 2 6 2 2 7" xfId="10400" xr:uid="{00000000-0005-0000-0000-0000E27D0000}"/>
    <cellStyle name="Percent 2 6 2 2 8" xfId="32637" xr:uid="{00000000-0005-0000-0000-0000E37D0000}"/>
    <cellStyle name="Percent 2 6 2 3" xfId="8388" xr:uid="{00000000-0005-0000-0000-0000E47D0000}"/>
    <cellStyle name="Percent 2 6 2 3 2" xfId="8389" xr:uid="{00000000-0005-0000-0000-0000E57D0000}"/>
    <cellStyle name="Percent 2 6 2 3 2 2" xfId="11684" xr:uid="{00000000-0005-0000-0000-0000E67D0000}"/>
    <cellStyle name="Percent 2 6 2 3 2 3" xfId="32648" xr:uid="{00000000-0005-0000-0000-0000E77D0000}"/>
    <cellStyle name="Percent 2 6 2 3 3" xfId="8390" xr:uid="{00000000-0005-0000-0000-0000E87D0000}"/>
    <cellStyle name="Percent 2 6 2 3 3 2" xfId="16708" xr:uid="{00000000-0005-0000-0000-0000E97D0000}"/>
    <cellStyle name="Percent 2 6 2 3 3 2 2" xfId="30115" xr:uid="{00000000-0005-0000-0000-0000EA7D0000}"/>
    <cellStyle name="Percent 2 6 2 3 3 3" xfId="32649" xr:uid="{00000000-0005-0000-0000-0000EB7D0000}"/>
    <cellStyle name="Percent 2 6 2 3 4" xfId="10402" xr:uid="{00000000-0005-0000-0000-0000EC7D0000}"/>
    <cellStyle name="Percent 2 6 2 3 5" xfId="32647" xr:uid="{00000000-0005-0000-0000-0000ED7D0000}"/>
    <cellStyle name="Percent 2 6 2 4" xfId="8391" xr:uid="{00000000-0005-0000-0000-0000EE7D0000}"/>
    <cellStyle name="Percent 2 6 2 4 2" xfId="8392" xr:uid="{00000000-0005-0000-0000-0000EF7D0000}"/>
    <cellStyle name="Percent 2 6 2 4 2 2" xfId="13357" xr:uid="{00000000-0005-0000-0000-0000F07D0000}"/>
    <cellStyle name="Percent 2 6 2 4 2 3" xfId="32651" xr:uid="{00000000-0005-0000-0000-0000F17D0000}"/>
    <cellStyle name="Percent 2 6 2 4 3" xfId="12085" xr:uid="{00000000-0005-0000-0000-0000F27D0000}"/>
    <cellStyle name="Percent 2 6 2 4 3 2" xfId="25800" xr:uid="{00000000-0005-0000-0000-0000F37D0000}"/>
    <cellStyle name="Percent 2 6 2 4 4" xfId="32650" xr:uid="{00000000-0005-0000-0000-0000F47D0000}"/>
    <cellStyle name="Percent 2 6 2 5" xfId="8393" xr:uid="{00000000-0005-0000-0000-0000F57D0000}"/>
    <cellStyle name="Percent 2 6 2 5 2" xfId="8394" xr:uid="{00000000-0005-0000-0000-0000F67D0000}"/>
    <cellStyle name="Percent 2 6 2 5 2 2" xfId="15787" xr:uid="{00000000-0005-0000-0000-0000F77D0000}"/>
    <cellStyle name="Percent 2 6 2 5 2 3" xfId="32653" xr:uid="{00000000-0005-0000-0000-0000F87D0000}"/>
    <cellStyle name="Percent 2 6 2 5 3" xfId="13660" xr:uid="{00000000-0005-0000-0000-0000F97D0000}"/>
    <cellStyle name="Percent 2 6 2 5 3 2" xfId="27209" xr:uid="{00000000-0005-0000-0000-0000FA7D0000}"/>
    <cellStyle name="Percent 2 6 2 5 4" xfId="32652" xr:uid="{00000000-0005-0000-0000-0000FB7D0000}"/>
    <cellStyle name="Percent 2 6 2 6" xfId="8395" xr:uid="{00000000-0005-0000-0000-0000FC7D0000}"/>
    <cellStyle name="Percent 2 6 2 6 2" xfId="14241" xr:uid="{00000000-0005-0000-0000-0000FD7D0000}"/>
    <cellStyle name="Percent 2 6 2 6 2 2" xfId="27790" xr:uid="{00000000-0005-0000-0000-0000FE7D0000}"/>
    <cellStyle name="Percent 2 6 2 6 3" xfId="32654" xr:uid="{00000000-0005-0000-0000-0000FF7D0000}"/>
    <cellStyle name="Percent 2 6 2 7" xfId="8396" xr:uid="{00000000-0005-0000-0000-0000007E0000}"/>
    <cellStyle name="Percent 2 6 2 7 2" xfId="16127" xr:uid="{00000000-0005-0000-0000-0000017E0000}"/>
    <cellStyle name="Percent 2 6 2 7 2 2" xfId="29534" xr:uid="{00000000-0005-0000-0000-0000027E0000}"/>
    <cellStyle name="Percent 2 6 2 7 3" xfId="32655" xr:uid="{00000000-0005-0000-0000-0000037E0000}"/>
    <cellStyle name="Percent 2 6 2 8" xfId="10399" xr:uid="{00000000-0005-0000-0000-0000047E0000}"/>
    <cellStyle name="Percent 2 6 2 9" xfId="32636" xr:uid="{00000000-0005-0000-0000-0000057E0000}"/>
    <cellStyle name="Percent 2 6 3" xfId="8397" xr:uid="{00000000-0005-0000-0000-0000067E0000}"/>
    <cellStyle name="Percent 2 6 3 2" xfId="8398" xr:uid="{00000000-0005-0000-0000-0000077E0000}"/>
    <cellStyle name="Percent 2 6 3 2 2" xfId="8399" xr:uid="{00000000-0005-0000-0000-0000087E0000}"/>
    <cellStyle name="Percent 2 6 3 2 2 2" xfId="11685" xr:uid="{00000000-0005-0000-0000-0000097E0000}"/>
    <cellStyle name="Percent 2 6 3 2 2 3" xfId="32658" xr:uid="{00000000-0005-0000-0000-00000A7E0000}"/>
    <cellStyle name="Percent 2 6 3 2 3" xfId="8400" xr:uid="{00000000-0005-0000-0000-00000B7E0000}"/>
    <cellStyle name="Percent 2 6 3 2 3 2" xfId="16854" xr:uid="{00000000-0005-0000-0000-00000C7E0000}"/>
    <cellStyle name="Percent 2 6 3 2 3 2 2" xfId="30261" xr:uid="{00000000-0005-0000-0000-00000D7E0000}"/>
    <cellStyle name="Percent 2 6 3 2 3 3" xfId="32659" xr:uid="{00000000-0005-0000-0000-00000E7E0000}"/>
    <cellStyle name="Percent 2 6 3 2 4" xfId="10404" xr:uid="{00000000-0005-0000-0000-00000F7E0000}"/>
    <cellStyle name="Percent 2 6 3 2 5" xfId="32657" xr:uid="{00000000-0005-0000-0000-0000107E0000}"/>
    <cellStyle name="Percent 2 6 3 3" xfId="8401" xr:uid="{00000000-0005-0000-0000-0000117E0000}"/>
    <cellStyle name="Percent 2 6 3 3 2" xfId="8402" xr:uid="{00000000-0005-0000-0000-0000127E0000}"/>
    <cellStyle name="Percent 2 6 3 3 2 2" xfId="13358" xr:uid="{00000000-0005-0000-0000-0000137E0000}"/>
    <cellStyle name="Percent 2 6 3 3 2 3" xfId="32661" xr:uid="{00000000-0005-0000-0000-0000147E0000}"/>
    <cellStyle name="Percent 2 6 3 3 3" xfId="12242" xr:uid="{00000000-0005-0000-0000-0000157E0000}"/>
    <cellStyle name="Percent 2 6 3 3 3 2" xfId="25954" xr:uid="{00000000-0005-0000-0000-0000167E0000}"/>
    <cellStyle name="Percent 2 6 3 3 4" xfId="32660" xr:uid="{00000000-0005-0000-0000-0000177E0000}"/>
    <cellStyle name="Percent 2 6 3 4" xfId="8403" xr:uid="{00000000-0005-0000-0000-0000187E0000}"/>
    <cellStyle name="Percent 2 6 3 4 2" xfId="8404" xr:uid="{00000000-0005-0000-0000-0000197E0000}"/>
    <cellStyle name="Percent 2 6 3 4 2 2" xfId="15788" xr:uid="{00000000-0005-0000-0000-00001A7E0000}"/>
    <cellStyle name="Percent 2 6 3 4 2 3" xfId="32663" xr:uid="{00000000-0005-0000-0000-00001B7E0000}"/>
    <cellStyle name="Percent 2 6 3 4 3" xfId="13806" xr:uid="{00000000-0005-0000-0000-00001C7E0000}"/>
    <cellStyle name="Percent 2 6 3 4 3 2" xfId="27355" xr:uid="{00000000-0005-0000-0000-00001D7E0000}"/>
    <cellStyle name="Percent 2 6 3 4 4" xfId="32662" xr:uid="{00000000-0005-0000-0000-00001E7E0000}"/>
    <cellStyle name="Percent 2 6 3 5" xfId="8405" xr:uid="{00000000-0005-0000-0000-00001F7E0000}"/>
    <cellStyle name="Percent 2 6 3 5 2" xfId="14387" xr:uid="{00000000-0005-0000-0000-0000207E0000}"/>
    <cellStyle name="Percent 2 6 3 5 2 2" xfId="27936" xr:uid="{00000000-0005-0000-0000-0000217E0000}"/>
    <cellStyle name="Percent 2 6 3 5 3" xfId="32664" xr:uid="{00000000-0005-0000-0000-0000227E0000}"/>
    <cellStyle name="Percent 2 6 3 6" xfId="8406" xr:uid="{00000000-0005-0000-0000-0000237E0000}"/>
    <cellStyle name="Percent 2 6 3 6 2" xfId="16273" xr:uid="{00000000-0005-0000-0000-0000247E0000}"/>
    <cellStyle name="Percent 2 6 3 6 2 2" xfId="29680" xr:uid="{00000000-0005-0000-0000-0000257E0000}"/>
    <cellStyle name="Percent 2 6 3 6 3" xfId="32665" xr:uid="{00000000-0005-0000-0000-0000267E0000}"/>
    <cellStyle name="Percent 2 6 3 7" xfId="10403" xr:uid="{00000000-0005-0000-0000-0000277E0000}"/>
    <cellStyle name="Percent 2 6 3 8" xfId="32656" xr:uid="{00000000-0005-0000-0000-0000287E0000}"/>
    <cellStyle name="Percent 2 6 4" xfId="8407" xr:uid="{00000000-0005-0000-0000-0000297E0000}"/>
    <cellStyle name="Percent 2 6 4 2" xfId="8408" xr:uid="{00000000-0005-0000-0000-00002A7E0000}"/>
    <cellStyle name="Percent 2 6 4 2 2" xfId="16565" xr:uid="{00000000-0005-0000-0000-00002B7E0000}"/>
    <cellStyle name="Percent 2 6 4 2 2 2" xfId="29972" xr:uid="{00000000-0005-0000-0000-00002C7E0000}"/>
    <cellStyle name="Percent 2 6 4 2 3" xfId="32667" xr:uid="{00000000-0005-0000-0000-00002D7E0000}"/>
    <cellStyle name="Percent 2 6 4 3" xfId="10405" xr:uid="{00000000-0005-0000-0000-00002E7E0000}"/>
    <cellStyle name="Percent 2 6 4 4" xfId="32666" xr:uid="{00000000-0005-0000-0000-00002F7E0000}"/>
    <cellStyle name="Percent 2 6 5" xfId="8409" xr:uid="{00000000-0005-0000-0000-0000307E0000}"/>
    <cellStyle name="Percent 2 6 5 2" xfId="8410" xr:uid="{00000000-0005-0000-0000-0000317E0000}"/>
    <cellStyle name="Percent 2 6 5 2 2" xfId="11686" xr:uid="{00000000-0005-0000-0000-0000327E0000}"/>
    <cellStyle name="Percent 2 6 5 2 3" xfId="32669" xr:uid="{00000000-0005-0000-0000-0000337E0000}"/>
    <cellStyle name="Percent 2 6 5 3" xfId="10406" xr:uid="{00000000-0005-0000-0000-0000347E0000}"/>
    <cellStyle name="Percent 2 6 5 4" xfId="32668" xr:uid="{00000000-0005-0000-0000-0000357E0000}"/>
    <cellStyle name="Percent 2 6 6" xfId="8411" xr:uid="{00000000-0005-0000-0000-0000367E0000}"/>
    <cellStyle name="Percent 2 6 6 2" xfId="8412" xr:uid="{00000000-0005-0000-0000-0000377E0000}"/>
    <cellStyle name="Percent 2 6 6 2 2" xfId="13359" xr:uid="{00000000-0005-0000-0000-0000387E0000}"/>
    <cellStyle name="Percent 2 6 6 2 3" xfId="32671" xr:uid="{00000000-0005-0000-0000-0000397E0000}"/>
    <cellStyle name="Percent 2 6 6 3" xfId="11940" xr:uid="{00000000-0005-0000-0000-00003A7E0000}"/>
    <cellStyle name="Percent 2 6 6 3 2" xfId="25655" xr:uid="{00000000-0005-0000-0000-00003B7E0000}"/>
    <cellStyle name="Percent 2 6 6 4" xfId="32670" xr:uid="{00000000-0005-0000-0000-00003C7E0000}"/>
    <cellStyle name="Percent 2 6 7" xfId="8413" xr:uid="{00000000-0005-0000-0000-00003D7E0000}"/>
    <cellStyle name="Percent 2 6 7 2" xfId="8414" xr:uid="{00000000-0005-0000-0000-00003E7E0000}"/>
    <cellStyle name="Percent 2 6 7 2 2" xfId="15789" xr:uid="{00000000-0005-0000-0000-00003F7E0000}"/>
    <cellStyle name="Percent 2 6 7 2 3" xfId="32673" xr:uid="{00000000-0005-0000-0000-0000407E0000}"/>
    <cellStyle name="Percent 2 6 7 3" xfId="13517" xr:uid="{00000000-0005-0000-0000-0000417E0000}"/>
    <cellStyle name="Percent 2 6 7 3 2" xfId="27066" xr:uid="{00000000-0005-0000-0000-0000427E0000}"/>
    <cellStyle name="Percent 2 6 7 4" xfId="32672" xr:uid="{00000000-0005-0000-0000-0000437E0000}"/>
    <cellStyle name="Percent 2 6 8" xfId="8415" xr:uid="{00000000-0005-0000-0000-0000447E0000}"/>
    <cellStyle name="Percent 2 6 8 2" xfId="14098" xr:uid="{00000000-0005-0000-0000-0000457E0000}"/>
    <cellStyle name="Percent 2 6 8 2 2" xfId="27647" xr:uid="{00000000-0005-0000-0000-0000467E0000}"/>
    <cellStyle name="Percent 2 6 8 3" xfId="32674" xr:uid="{00000000-0005-0000-0000-0000477E0000}"/>
    <cellStyle name="Percent 2 6 9" xfId="8416" xr:uid="{00000000-0005-0000-0000-0000487E0000}"/>
    <cellStyle name="Percent 2 6 9 2" xfId="15984" xr:uid="{00000000-0005-0000-0000-0000497E0000}"/>
    <cellStyle name="Percent 2 6 9 2 2" xfId="29391" xr:uid="{00000000-0005-0000-0000-00004A7E0000}"/>
    <cellStyle name="Percent 2 6 9 3" xfId="32675" xr:uid="{00000000-0005-0000-0000-00004B7E0000}"/>
    <cellStyle name="Percent 2 7" xfId="8417" xr:uid="{00000000-0005-0000-0000-00004C7E0000}"/>
    <cellStyle name="Percent 2 7 2" xfId="8418" xr:uid="{00000000-0005-0000-0000-00004D7E0000}"/>
    <cellStyle name="Percent 2 7 2 2" xfId="8419" xr:uid="{00000000-0005-0000-0000-00004E7E0000}"/>
    <cellStyle name="Percent 2 7 2 2 2" xfId="8420" xr:uid="{00000000-0005-0000-0000-00004F7E0000}"/>
    <cellStyle name="Percent 2 7 2 2 2 2" xfId="11687" xr:uid="{00000000-0005-0000-0000-0000507E0000}"/>
    <cellStyle name="Percent 2 7 2 2 2 3" xfId="32679" xr:uid="{00000000-0005-0000-0000-0000517E0000}"/>
    <cellStyle name="Percent 2 7 2 2 3" xfId="8421" xr:uid="{00000000-0005-0000-0000-0000527E0000}"/>
    <cellStyle name="Percent 2 7 2 2 3 2" xfId="16874" xr:uid="{00000000-0005-0000-0000-0000537E0000}"/>
    <cellStyle name="Percent 2 7 2 2 3 2 2" xfId="30281" xr:uid="{00000000-0005-0000-0000-0000547E0000}"/>
    <cellStyle name="Percent 2 7 2 2 3 3" xfId="32680" xr:uid="{00000000-0005-0000-0000-0000557E0000}"/>
    <cellStyle name="Percent 2 7 2 2 4" xfId="10409" xr:uid="{00000000-0005-0000-0000-0000567E0000}"/>
    <cellStyle name="Percent 2 7 2 2 5" xfId="32678" xr:uid="{00000000-0005-0000-0000-0000577E0000}"/>
    <cellStyle name="Percent 2 7 2 3" xfId="8422" xr:uid="{00000000-0005-0000-0000-0000587E0000}"/>
    <cellStyle name="Percent 2 7 2 3 2" xfId="8423" xr:uid="{00000000-0005-0000-0000-0000597E0000}"/>
    <cellStyle name="Percent 2 7 2 3 2 2" xfId="13360" xr:uid="{00000000-0005-0000-0000-00005A7E0000}"/>
    <cellStyle name="Percent 2 7 2 3 2 3" xfId="32682" xr:uid="{00000000-0005-0000-0000-00005B7E0000}"/>
    <cellStyle name="Percent 2 7 2 3 3" xfId="12262" xr:uid="{00000000-0005-0000-0000-00005C7E0000}"/>
    <cellStyle name="Percent 2 7 2 3 3 2" xfId="25974" xr:uid="{00000000-0005-0000-0000-00005D7E0000}"/>
    <cellStyle name="Percent 2 7 2 3 4" xfId="32681" xr:uid="{00000000-0005-0000-0000-00005E7E0000}"/>
    <cellStyle name="Percent 2 7 2 4" xfId="8424" xr:uid="{00000000-0005-0000-0000-00005F7E0000}"/>
    <cellStyle name="Percent 2 7 2 4 2" xfId="8425" xr:uid="{00000000-0005-0000-0000-0000607E0000}"/>
    <cellStyle name="Percent 2 7 2 4 2 2" xfId="15790" xr:uid="{00000000-0005-0000-0000-0000617E0000}"/>
    <cellStyle name="Percent 2 7 2 4 2 3" xfId="32684" xr:uid="{00000000-0005-0000-0000-0000627E0000}"/>
    <cellStyle name="Percent 2 7 2 4 3" xfId="13826" xr:uid="{00000000-0005-0000-0000-0000637E0000}"/>
    <cellStyle name="Percent 2 7 2 4 3 2" xfId="27375" xr:uid="{00000000-0005-0000-0000-0000647E0000}"/>
    <cellStyle name="Percent 2 7 2 4 4" xfId="32683" xr:uid="{00000000-0005-0000-0000-0000657E0000}"/>
    <cellStyle name="Percent 2 7 2 5" xfId="8426" xr:uid="{00000000-0005-0000-0000-0000667E0000}"/>
    <cellStyle name="Percent 2 7 2 5 2" xfId="14407" xr:uid="{00000000-0005-0000-0000-0000677E0000}"/>
    <cellStyle name="Percent 2 7 2 5 2 2" xfId="27956" xr:uid="{00000000-0005-0000-0000-0000687E0000}"/>
    <cellStyle name="Percent 2 7 2 5 3" xfId="32685" xr:uid="{00000000-0005-0000-0000-0000697E0000}"/>
    <cellStyle name="Percent 2 7 2 6" xfId="8427" xr:uid="{00000000-0005-0000-0000-00006A7E0000}"/>
    <cellStyle name="Percent 2 7 2 6 2" xfId="16293" xr:uid="{00000000-0005-0000-0000-00006B7E0000}"/>
    <cellStyle name="Percent 2 7 2 6 2 2" xfId="29700" xr:uid="{00000000-0005-0000-0000-00006C7E0000}"/>
    <cellStyle name="Percent 2 7 2 6 3" xfId="32686" xr:uid="{00000000-0005-0000-0000-00006D7E0000}"/>
    <cellStyle name="Percent 2 7 2 7" xfId="10408" xr:uid="{00000000-0005-0000-0000-00006E7E0000}"/>
    <cellStyle name="Percent 2 7 2 8" xfId="32677" xr:uid="{00000000-0005-0000-0000-00006F7E0000}"/>
    <cellStyle name="Percent 2 7 3" xfId="8428" xr:uid="{00000000-0005-0000-0000-0000707E0000}"/>
    <cellStyle name="Percent 2 7 3 2" xfId="8429" xr:uid="{00000000-0005-0000-0000-0000717E0000}"/>
    <cellStyle name="Percent 2 7 3 2 2" xfId="11688" xr:uid="{00000000-0005-0000-0000-0000727E0000}"/>
    <cellStyle name="Percent 2 7 3 2 3" xfId="32688" xr:uid="{00000000-0005-0000-0000-0000737E0000}"/>
    <cellStyle name="Percent 2 7 3 3" xfId="8430" xr:uid="{00000000-0005-0000-0000-0000747E0000}"/>
    <cellStyle name="Percent 2 7 3 3 2" xfId="16585" xr:uid="{00000000-0005-0000-0000-0000757E0000}"/>
    <cellStyle name="Percent 2 7 3 3 2 2" xfId="29992" xr:uid="{00000000-0005-0000-0000-0000767E0000}"/>
    <cellStyle name="Percent 2 7 3 3 3" xfId="32689" xr:uid="{00000000-0005-0000-0000-0000777E0000}"/>
    <cellStyle name="Percent 2 7 3 4" xfId="10410" xr:uid="{00000000-0005-0000-0000-0000787E0000}"/>
    <cellStyle name="Percent 2 7 3 5" xfId="32687" xr:uid="{00000000-0005-0000-0000-0000797E0000}"/>
    <cellStyle name="Percent 2 7 4" xfId="8431" xr:uid="{00000000-0005-0000-0000-00007A7E0000}"/>
    <cellStyle name="Percent 2 7 4 2" xfId="8432" xr:uid="{00000000-0005-0000-0000-00007B7E0000}"/>
    <cellStyle name="Percent 2 7 4 2 2" xfId="13361" xr:uid="{00000000-0005-0000-0000-00007C7E0000}"/>
    <cellStyle name="Percent 2 7 4 2 3" xfId="32691" xr:uid="{00000000-0005-0000-0000-00007D7E0000}"/>
    <cellStyle name="Percent 2 7 4 3" xfId="11962" xr:uid="{00000000-0005-0000-0000-00007E7E0000}"/>
    <cellStyle name="Percent 2 7 4 3 2" xfId="25677" xr:uid="{00000000-0005-0000-0000-00007F7E0000}"/>
    <cellStyle name="Percent 2 7 4 4" xfId="32690" xr:uid="{00000000-0005-0000-0000-0000807E0000}"/>
    <cellStyle name="Percent 2 7 5" xfId="8433" xr:uid="{00000000-0005-0000-0000-0000817E0000}"/>
    <cellStyle name="Percent 2 7 5 2" xfId="8434" xr:uid="{00000000-0005-0000-0000-0000827E0000}"/>
    <cellStyle name="Percent 2 7 5 2 2" xfId="15791" xr:uid="{00000000-0005-0000-0000-0000837E0000}"/>
    <cellStyle name="Percent 2 7 5 2 3" xfId="32693" xr:uid="{00000000-0005-0000-0000-0000847E0000}"/>
    <cellStyle name="Percent 2 7 5 3" xfId="13537" xr:uid="{00000000-0005-0000-0000-0000857E0000}"/>
    <cellStyle name="Percent 2 7 5 3 2" xfId="27086" xr:uid="{00000000-0005-0000-0000-0000867E0000}"/>
    <cellStyle name="Percent 2 7 5 4" xfId="32692" xr:uid="{00000000-0005-0000-0000-0000877E0000}"/>
    <cellStyle name="Percent 2 7 6" xfId="8435" xr:uid="{00000000-0005-0000-0000-0000887E0000}"/>
    <cellStyle name="Percent 2 7 6 2" xfId="14118" xr:uid="{00000000-0005-0000-0000-0000897E0000}"/>
    <cellStyle name="Percent 2 7 6 2 2" xfId="27667" xr:uid="{00000000-0005-0000-0000-00008A7E0000}"/>
    <cellStyle name="Percent 2 7 6 3" xfId="32694" xr:uid="{00000000-0005-0000-0000-00008B7E0000}"/>
    <cellStyle name="Percent 2 7 7" xfId="8436" xr:uid="{00000000-0005-0000-0000-00008C7E0000}"/>
    <cellStyle name="Percent 2 7 7 2" xfId="16004" xr:uid="{00000000-0005-0000-0000-00008D7E0000}"/>
    <cellStyle name="Percent 2 7 7 2 2" xfId="29411" xr:uid="{00000000-0005-0000-0000-00008E7E0000}"/>
    <cellStyle name="Percent 2 7 7 3" xfId="32695" xr:uid="{00000000-0005-0000-0000-00008F7E0000}"/>
    <cellStyle name="Percent 2 7 8" xfId="10407" xr:uid="{00000000-0005-0000-0000-0000907E0000}"/>
    <cellStyle name="Percent 2 7 9" xfId="32676" xr:uid="{00000000-0005-0000-0000-0000917E0000}"/>
    <cellStyle name="Percent 2 8" xfId="8437" xr:uid="{00000000-0005-0000-0000-0000927E0000}"/>
    <cellStyle name="Percent 2 8 2" xfId="8438" xr:uid="{00000000-0005-0000-0000-0000937E0000}"/>
    <cellStyle name="Percent 2 8 2 2" xfId="8439" xr:uid="{00000000-0005-0000-0000-0000947E0000}"/>
    <cellStyle name="Percent 2 8 2 2 2" xfId="11689" xr:uid="{00000000-0005-0000-0000-0000957E0000}"/>
    <cellStyle name="Percent 2 8 2 2 3" xfId="32698" xr:uid="{00000000-0005-0000-0000-0000967E0000}"/>
    <cellStyle name="Percent 2 8 2 3" xfId="8440" xr:uid="{00000000-0005-0000-0000-0000977E0000}"/>
    <cellStyle name="Percent 2 8 2 3 2" xfId="16731" xr:uid="{00000000-0005-0000-0000-0000987E0000}"/>
    <cellStyle name="Percent 2 8 2 3 2 2" xfId="30138" xr:uid="{00000000-0005-0000-0000-0000997E0000}"/>
    <cellStyle name="Percent 2 8 2 3 3" xfId="32699" xr:uid="{00000000-0005-0000-0000-00009A7E0000}"/>
    <cellStyle name="Percent 2 8 2 4" xfId="10412" xr:uid="{00000000-0005-0000-0000-00009B7E0000}"/>
    <cellStyle name="Percent 2 8 2 5" xfId="32697" xr:uid="{00000000-0005-0000-0000-00009C7E0000}"/>
    <cellStyle name="Percent 2 8 3" xfId="8441" xr:uid="{00000000-0005-0000-0000-00009D7E0000}"/>
    <cellStyle name="Percent 2 8 3 2" xfId="8442" xr:uid="{00000000-0005-0000-0000-00009E7E0000}"/>
    <cellStyle name="Percent 2 8 3 2 2" xfId="13362" xr:uid="{00000000-0005-0000-0000-00009F7E0000}"/>
    <cellStyle name="Percent 2 8 3 2 3" xfId="32701" xr:uid="{00000000-0005-0000-0000-0000A07E0000}"/>
    <cellStyle name="Percent 2 8 3 3" xfId="12119" xr:uid="{00000000-0005-0000-0000-0000A17E0000}"/>
    <cellStyle name="Percent 2 8 3 3 2" xfId="25831" xr:uid="{00000000-0005-0000-0000-0000A27E0000}"/>
    <cellStyle name="Percent 2 8 3 4" xfId="32700" xr:uid="{00000000-0005-0000-0000-0000A37E0000}"/>
    <cellStyle name="Percent 2 8 4" xfId="8443" xr:uid="{00000000-0005-0000-0000-0000A47E0000}"/>
    <cellStyle name="Percent 2 8 4 2" xfId="8444" xr:uid="{00000000-0005-0000-0000-0000A57E0000}"/>
    <cellStyle name="Percent 2 8 4 2 2" xfId="15792" xr:uid="{00000000-0005-0000-0000-0000A67E0000}"/>
    <cellStyle name="Percent 2 8 4 2 3" xfId="32703" xr:uid="{00000000-0005-0000-0000-0000A77E0000}"/>
    <cellStyle name="Percent 2 8 4 3" xfId="13683" xr:uid="{00000000-0005-0000-0000-0000A87E0000}"/>
    <cellStyle name="Percent 2 8 4 3 2" xfId="27232" xr:uid="{00000000-0005-0000-0000-0000A97E0000}"/>
    <cellStyle name="Percent 2 8 4 4" xfId="32702" xr:uid="{00000000-0005-0000-0000-0000AA7E0000}"/>
    <cellStyle name="Percent 2 8 5" xfId="8445" xr:uid="{00000000-0005-0000-0000-0000AB7E0000}"/>
    <cellStyle name="Percent 2 8 5 2" xfId="14264" xr:uid="{00000000-0005-0000-0000-0000AC7E0000}"/>
    <cellStyle name="Percent 2 8 5 2 2" xfId="27813" xr:uid="{00000000-0005-0000-0000-0000AD7E0000}"/>
    <cellStyle name="Percent 2 8 5 3" xfId="32704" xr:uid="{00000000-0005-0000-0000-0000AE7E0000}"/>
    <cellStyle name="Percent 2 8 6" xfId="8446" xr:uid="{00000000-0005-0000-0000-0000AF7E0000}"/>
    <cellStyle name="Percent 2 8 6 2" xfId="16150" xr:uid="{00000000-0005-0000-0000-0000B07E0000}"/>
    <cellStyle name="Percent 2 8 6 2 2" xfId="29557" xr:uid="{00000000-0005-0000-0000-0000B17E0000}"/>
    <cellStyle name="Percent 2 8 6 3" xfId="32705" xr:uid="{00000000-0005-0000-0000-0000B27E0000}"/>
    <cellStyle name="Percent 2 8 7" xfId="10411" xr:uid="{00000000-0005-0000-0000-0000B37E0000}"/>
    <cellStyle name="Percent 2 8 8" xfId="32696" xr:uid="{00000000-0005-0000-0000-0000B47E0000}"/>
    <cellStyle name="Percent 2 9" xfId="8447" xr:uid="{00000000-0005-0000-0000-0000B57E0000}"/>
    <cellStyle name="Percent 2 9 2" xfId="8448" xr:uid="{00000000-0005-0000-0000-0000B67E0000}"/>
    <cellStyle name="Percent 2 9 2 2" xfId="8449" xr:uid="{00000000-0005-0000-0000-0000B77E0000}"/>
    <cellStyle name="Percent 2 9 2 2 2" xfId="11690" xr:uid="{00000000-0005-0000-0000-0000B87E0000}"/>
    <cellStyle name="Percent 2 9 2 2 3" xfId="32708" xr:uid="{00000000-0005-0000-0000-0000B97E0000}"/>
    <cellStyle name="Percent 2 9 2 3" xfId="8450" xr:uid="{00000000-0005-0000-0000-0000BA7E0000}"/>
    <cellStyle name="Percent 2 9 2 3 2" xfId="16736" xr:uid="{00000000-0005-0000-0000-0000BB7E0000}"/>
    <cellStyle name="Percent 2 9 2 3 2 2" xfId="30143" xr:uid="{00000000-0005-0000-0000-0000BC7E0000}"/>
    <cellStyle name="Percent 2 9 2 3 3" xfId="32709" xr:uid="{00000000-0005-0000-0000-0000BD7E0000}"/>
    <cellStyle name="Percent 2 9 2 4" xfId="10414" xr:uid="{00000000-0005-0000-0000-0000BE7E0000}"/>
    <cellStyle name="Percent 2 9 2 5" xfId="32707" xr:uid="{00000000-0005-0000-0000-0000BF7E0000}"/>
    <cellStyle name="Percent 2 9 3" xfId="8451" xr:uid="{00000000-0005-0000-0000-0000C07E0000}"/>
    <cellStyle name="Percent 2 9 3 2" xfId="8452" xr:uid="{00000000-0005-0000-0000-0000C17E0000}"/>
    <cellStyle name="Percent 2 9 3 2 2" xfId="13363" xr:uid="{00000000-0005-0000-0000-0000C27E0000}"/>
    <cellStyle name="Percent 2 9 3 2 3" xfId="32711" xr:uid="{00000000-0005-0000-0000-0000C37E0000}"/>
    <cellStyle name="Percent 2 9 3 3" xfId="12124" xr:uid="{00000000-0005-0000-0000-0000C47E0000}"/>
    <cellStyle name="Percent 2 9 3 3 2" xfId="25836" xr:uid="{00000000-0005-0000-0000-0000C57E0000}"/>
    <cellStyle name="Percent 2 9 3 4" xfId="32710" xr:uid="{00000000-0005-0000-0000-0000C67E0000}"/>
    <cellStyle name="Percent 2 9 4" xfId="8453" xr:uid="{00000000-0005-0000-0000-0000C77E0000}"/>
    <cellStyle name="Percent 2 9 4 2" xfId="8454" xr:uid="{00000000-0005-0000-0000-0000C87E0000}"/>
    <cellStyle name="Percent 2 9 4 2 2" xfId="15793" xr:uid="{00000000-0005-0000-0000-0000C97E0000}"/>
    <cellStyle name="Percent 2 9 4 2 3" xfId="32713" xr:uid="{00000000-0005-0000-0000-0000CA7E0000}"/>
    <cellStyle name="Percent 2 9 4 3" xfId="13688" xr:uid="{00000000-0005-0000-0000-0000CB7E0000}"/>
    <cellStyle name="Percent 2 9 4 3 2" xfId="27237" xr:uid="{00000000-0005-0000-0000-0000CC7E0000}"/>
    <cellStyle name="Percent 2 9 4 4" xfId="32712" xr:uid="{00000000-0005-0000-0000-0000CD7E0000}"/>
    <cellStyle name="Percent 2 9 5" xfId="8455" xr:uid="{00000000-0005-0000-0000-0000CE7E0000}"/>
    <cellStyle name="Percent 2 9 5 2" xfId="14269" xr:uid="{00000000-0005-0000-0000-0000CF7E0000}"/>
    <cellStyle name="Percent 2 9 5 2 2" xfId="27818" xr:uid="{00000000-0005-0000-0000-0000D07E0000}"/>
    <cellStyle name="Percent 2 9 5 3" xfId="32714" xr:uid="{00000000-0005-0000-0000-0000D17E0000}"/>
    <cellStyle name="Percent 2 9 6" xfId="8456" xr:uid="{00000000-0005-0000-0000-0000D27E0000}"/>
    <cellStyle name="Percent 2 9 6 2" xfId="16155" xr:uid="{00000000-0005-0000-0000-0000D37E0000}"/>
    <cellStyle name="Percent 2 9 6 2 2" xfId="29562" xr:uid="{00000000-0005-0000-0000-0000D47E0000}"/>
    <cellStyle name="Percent 2 9 6 3" xfId="32715" xr:uid="{00000000-0005-0000-0000-0000D57E0000}"/>
    <cellStyle name="Percent 2 9 7" xfId="10413" xr:uid="{00000000-0005-0000-0000-0000D67E0000}"/>
    <cellStyle name="Percent 2 9 8" xfId="32706" xr:uid="{00000000-0005-0000-0000-0000D77E0000}"/>
    <cellStyle name="Percent 3" xfId="8457" xr:uid="{00000000-0005-0000-0000-0000D87E0000}"/>
    <cellStyle name="Percent 3 2" xfId="8458" xr:uid="{00000000-0005-0000-0000-0000D97E0000}"/>
    <cellStyle name="Percent 3 2 2" xfId="8719" xr:uid="{00000000-0005-0000-0000-0000DA7E0000}"/>
    <cellStyle name="Percent 3 2 3" xfId="32717" xr:uid="{00000000-0005-0000-0000-0000DB7E0000}"/>
    <cellStyle name="Percent 3 2 4" xfId="32914" xr:uid="{00000000-0005-0000-0000-0000DC7E0000}"/>
    <cellStyle name="Percent 3 3" xfId="8459" xr:uid="{00000000-0005-0000-0000-0000DD7E0000}"/>
    <cellStyle name="Percent 3 3 2" xfId="8460" xr:uid="{00000000-0005-0000-0000-0000DE7E0000}"/>
    <cellStyle name="Percent 3 3 2 2" xfId="17352" xr:uid="{00000000-0005-0000-0000-0000DF7E0000}"/>
    <cellStyle name="Percent 3 3 2 3" xfId="32719" xr:uid="{00000000-0005-0000-0000-0000E07E0000}"/>
    <cellStyle name="Percent 3 3 3" xfId="8749" xr:uid="{00000000-0005-0000-0000-0000E17E0000}"/>
    <cellStyle name="Percent 3 3 4" xfId="10416" xr:uid="{00000000-0005-0000-0000-0000E27E0000}"/>
    <cellStyle name="Percent 3 3 5" xfId="32718" xr:uid="{00000000-0005-0000-0000-0000E37E0000}"/>
    <cellStyle name="Percent 3 4" xfId="8657" xr:uid="{00000000-0005-0000-0000-0000E47E0000}"/>
    <cellStyle name="Percent 3 4 2" xfId="10415" xr:uid="{00000000-0005-0000-0000-0000E57E0000}"/>
    <cellStyle name="Percent 3 5" xfId="32716" xr:uid="{00000000-0005-0000-0000-0000E67E0000}"/>
    <cellStyle name="Percent 3 6" xfId="32913" xr:uid="{00000000-0005-0000-0000-0000E77E0000}"/>
    <cellStyle name="Percent 3 7" xfId="33096" xr:uid="{00000000-0005-0000-0000-0000E87E0000}"/>
    <cellStyle name="Percent 4" xfId="8461" xr:uid="{00000000-0005-0000-0000-0000E97E0000}"/>
    <cellStyle name="Percent 4 2" xfId="8462" xr:uid="{00000000-0005-0000-0000-0000EA7E0000}"/>
    <cellStyle name="Percent 4 2 2" xfId="10418" xr:uid="{00000000-0005-0000-0000-0000EB7E0000}"/>
    <cellStyle name="Percent 4 2 3" xfId="32721" xr:uid="{00000000-0005-0000-0000-0000EC7E0000}"/>
    <cellStyle name="Percent 4 3" xfId="8463" xr:uid="{00000000-0005-0000-0000-0000ED7E0000}"/>
    <cellStyle name="Percent 4 3 2" xfId="13364" xr:uid="{00000000-0005-0000-0000-0000EE7E0000}"/>
    <cellStyle name="Percent 4 3 3" xfId="32722" xr:uid="{00000000-0005-0000-0000-0000EF7E0000}"/>
    <cellStyle name="Percent 4 4" xfId="8464" xr:uid="{00000000-0005-0000-0000-0000F07E0000}"/>
    <cellStyle name="Percent 4 4 2" xfId="10417" xr:uid="{00000000-0005-0000-0000-0000F17E0000}"/>
    <cellStyle name="Percent 4 4 3" xfId="32723" xr:uid="{00000000-0005-0000-0000-0000F27E0000}"/>
    <cellStyle name="Percent 4 5" xfId="8674" xr:uid="{00000000-0005-0000-0000-0000F37E0000}"/>
    <cellStyle name="Percent 4 6" xfId="32720" xr:uid="{00000000-0005-0000-0000-0000F47E0000}"/>
    <cellStyle name="Percent 4 7" xfId="32915" xr:uid="{00000000-0005-0000-0000-0000F57E0000}"/>
    <cellStyle name="Percent 5" xfId="8465" xr:uid="{00000000-0005-0000-0000-0000F67E0000}"/>
    <cellStyle name="Percent 5 2" xfId="8466" xr:uid="{00000000-0005-0000-0000-0000F77E0000}"/>
    <cellStyle name="Percent 5 2 2" xfId="17353" xr:uid="{00000000-0005-0000-0000-0000F87E0000}"/>
    <cellStyle name="Percent 5 2 3" xfId="32725" xr:uid="{00000000-0005-0000-0000-0000F97E0000}"/>
    <cellStyle name="Percent 5 2 4" xfId="32945" xr:uid="{00000000-0005-0000-0000-0000FA7E0000}"/>
    <cellStyle name="Percent 5 2 5" xfId="33003" xr:uid="{00000000-0005-0000-0000-0000FB7E0000}"/>
    <cellStyle name="Percent 5 3" xfId="8750" xr:uid="{00000000-0005-0000-0000-0000FC7E0000}"/>
    <cellStyle name="Percent 5 4" xfId="32724" xr:uid="{00000000-0005-0000-0000-0000FD7E0000}"/>
    <cellStyle name="Percent 5 5" xfId="32916" xr:uid="{00000000-0005-0000-0000-0000FE7E0000}"/>
    <cellStyle name="Percent 5 6" xfId="32976" xr:uid="{00000000-0005-0000-0000-0000FF7E0000}"/>
    <cellStyle name="Percent 6" xfId="8467" xr:uid="{00000000-0005-0000-0000-0000007F0000}"/>
    <cellStyle name="Percent 6 10" xfId="8751" xr:uid="{00000000-0005-0000-0000-0000017F0000}"/>
    <cellStyle name="Percent 6 11" xfId="10419" xr:uid="{00000000-0005-0000-0000-0000027F0000}"/>
    <cellStyle name="Percent 6 12" xfId="32726" xr:uid="{00000000-0005-0000-0000-0000037F0000}"/>
    <cellStyle name="Percent 6 2" xfId="8468" xr:uid="{00000000-0005-0000-0000-0000047F0000}"/>
    <cellStyle name="Percent 6 2 2" xfId="8469" xr:uid="{00000000-0005-0000-0000-0000057F0000}"/>
    <cellStyle name="Percent 6 2 2 2" xfId="8470" xr:uid="{00000000-0005-0000-0000-0000067F0000}"/>
    <cellStyle name="Percent 6 2 2 2 2" xfId="8471" xr:uid="{00000000-0005-0000-0000-0000077F0000}"/>
    <cellStyle name="Percent 6 2 2 2 2 2" xfId="11695" xr:uid="{00000000-0005-0000-0000-0000087F0000}"/>
    <cellStyle name="Percent 6 2 2 2 2 3" xfId="32730" xr:uid="{00000000-0005-0000-0000-0000097F0000}"/>
    <cellStyle name="Percent 6 2 2 2 3" xfId="8472" xr:uid="{00000000-0005-0000-0000-00000A7F0000}"/>
    <cellStyle name="Percent 6 2 2 2 3 2" xfId="16937" xr:uid="{00000000-0005-0000-0000-00000B7F0000}"/>
    <cellStyle name="Percent 6 2 2 2 3 2 2" xfId="30344" xr:uid="{00000000-0005-0000-0000-00000C7F0000}"/>
    <cellStyle name="Percent 6 2 2 2 3 3" xfId="32731" xr:uid="{00000000-0005-0000-0000-00000D7F0000}"/>
    <cellStyle name="Percent 6 2 2 2 4" xfId="10422" xr:uid="{00000000-0005-0000-0000-00000E7F0000}"/>
    <cellStyle name="Percent 6 2 2 2 5" xfId="32729" xr:uid="{00000000-0005-0000-0000-00000F7F0000}"/>
    <cellStyle name="Percent 6 2 2 3" xfId="8473" xr:uid="{00000000-0005-0000-0000-0000107F0000}"/>
    <cellStyle name="Percent 6 2 2 3 2" xfId="8474" xr:uid="{00000000-0005-0000-0000-0000117F0000}"/>
    <cellStyle name="Percent 6 2 2 3 2 2" xfId="13365" xr:uid="{00000000-0005-0000-0000-0000127F0000}"/>
    <cellStyle name="Percent 6 2 2 3 2 3" xfId="32733" xr:uid="{00000000-0005-0000-0000-0000137F0000}"/>
    <cellStyle name="Percent 6 2 2 3 3" xfId="12325" xr:uid="{00000000-0005-0000-0000-0000147F0000}"/>
    <cellStyle name="Percent 6 2 2 3 3 2" xfId="26037" xr:uid="{00000000-0005-0000-0000-0000157F0000}"/>
    <cellStyle name="Percent 6 2 2 3 4" xfId="32732" xr:uid="{00000000-0005-0000-0000-0000167F0000}"/>
    <cellStyle name="Percent 6 2 2 4" xfId="8475" xr:uid="{00000000-0005-0000-0000-0000177F0000}"/>
    <cellStyle name="Percent 6 2 2 4 2" xfId="8476" xr:uid="{00000000-0005-0000-0000-0000187F0000}"/>
    <cellStyle name="Percent 6 2 2 4 2 2" xfId="15794" xr:uid="{00000000-0005-0000-0000-0000197F0000}"/>
    <cellStyle name="Percent 6 2 2 4 2 3" xfId="32735" xr:uid="{00000000-0005-0000-0000-00001A7F0000}"/>
    <cellStyle name="Percent 6 2 2 4 3" xfId="13889" xr:uid="{00000000-0005-0000-0000-00001B7F0000}"/>
    <cellStyle name="Percent 6 2 2 4 3 2" xfId="27438" xr:uid="{00000000-0005-0000-0000-00001C7F0000}"/>
    <cellStyle name="Percent 6 2 2 4 4" xfId="32734" xr:uid="{00000000-0005-0000-0000-00001D7F0000}"/>
    <cellStyle name="Percent 6 2 2 5" xfId="8477" xr:uid="{00000000-0005-0000-0000-00001E7F0000}"/>
    <cellStyle name="Percent 6 2 2 5 2" xfId="14470" xr:uid="{00000000-0005-0000-0000-00001F7F0000}"/>
    <cellStyle name="Percent 6 2 2 5 2 2" xfId="28019" xr:uid="{00000000-0005-0000-0000-0000207F0000}"/>
    <cellStyle name="Percent 6 2 2 5 3" xfId="32736" xr:uid="{00000000-0005-0000-0000-0000217F0000}"/>
    <cellStyle name="Percent 6 2 2 6" xfId="8478" xr:uid="{00000000-0005-0000-0000-0000227F0000}"/>
    <cellStyle name="Percent 6 2 2 6 2" xfId="16356" xr:uid="{00000000-0005-0000-0000-0000237F0000}"/>
    <cellStyle name="Percent 6 2 2 6 2 2" xfId="29763" xr:uid="{00000000-0005-0000-0000-0000247F0000}"/>
    <cellStyle name="Percent 6 2 2 6 3" xfId="32737" xr:uid="{00000000-0005-0000-0000-0000257F0000}"/>
    <cellStyle name="Percent 6 2 2 7" xfId="10421" xr:uid="{00000000-0005-0000-0000-0000267F0000}"/>
    <cellStyle name="Percent 6 2 2 8" xfId="32728" xr:uid="{00000000-0005-0000-0000-0000277F0000}"/>
    <cellStyle name="Percent 6 2 3" xfId="8479" xr:uid="{00000000-0005-0000-0000-0000287F0000}"/>
    <cellStyle name="Percent 6 2 3 2" xfId="8480" xr:uid="{00000000-0005-0000-0000-0000297F0000}"/>
    <cellStyle name="Percent 6 2 3 2 2" xfId="11696" xr:uid="{00000000-0005-0000-0000-00002A7F0000}"/>
    <cellStyle name="Percent 6 2 3 2 3" xfId="32739" xr:uid="{00000000-0005-0000-0000-00002B7F0000}"/>
    <cellStyle name="Percent 6 2 3 3" xfId="8481" xr:uid="{00000000-0005-0000-0000-00002C7F0000}"/>
    <cellStyle name="Percent 6 2 3 3 2" xfId="16648" xr:uid="{00000000-0005-0000-0000-00002D7F0000}"/>
    <cellStyle name="Percent 6 2 3 3 2 2" xfId="30055" xr:uid="{00000000-0005-0000-0000-00002E7F0000}"/>
    <cellStyle name="Percent 6 2 3 3 3" xfId="32740" xr:uid="{00000000-0005-0000-0000-00002F7F0000}"/>
    <cellStyle name="Percent 6 2 3 4" xfId="10423" xr:uid="{00000000-0005-0000-0000-0000307F0000}"/>
    <cellStyle name="Percent 6 2 3 5" xfId="32738" xr:uid="{00000000-0005-0000-0000-0000317F0000}"/>
    <cellStyle name="Percent 6 2 4" xfId="8482" xr:uid="{00000000-0005-0000-0000-0000327F0000}"/>
    <cellStyle name="Percent 6 2 4 2" xfId="8483" xr:uid="{00000000-0005-0000-0000-0000337F0000}"/>
    <cellStyle name="Percent 6 2 4 2 2" xfId="13366" xr:uid="{00000000-0005-0000-0000-0000347F0000}"/>
    <cellStyle name="Percent 6 2 4 2 3" xfId="32742" xr:uid="{00000000-0005-0000-0000-0000357F0000}"/>
    <cellStyle name="Percent 6 2 4 3" xfId="12025" xr:uid="{00000000-0005-0000-0000-0000367F0000}"/>
    <cellStyle name="Percent 6 2 4 3 2" xfId="25740" xr:uid="{00000000-0005-0000-0000-0000377F0000}"/>
    <cellStyle name="Percent 6 2 4 4" xfId="32741" xr:uid="{00000000-0005-0000-0000-0000387F0000}"/>
    <cellStyle name="Percent 6 2 5" xfId="8484" xr:uid="{00000000-0005-0000-0000-0000397F0000}"/>
    <cellStyle name="Percent 6 2 5 2" xfId="8485" xr:uid="{00000000-0005-0000-0000-00003A7F0000}"/>
    <cellStyle name="Percent 6 2 5 2 2" xfId="15795" xr:uid="{00000000-0005-0000-0000-00003B7F0000}"/>
    <cellStyle name="Percent 6 2 5 2 3" xfId="32744" xr:uid="{00000000-0005-0000-0000-00003C7F0000}"/>
    <cellStyle name="Percent 6 2 5 3" xfId="13600" xr:uid="{00000000-0005-0000-0000-00003D7F0000}"/>
    <cellStyle name="Percent 6 2 5 3 2" xfId="27149" xr:uid="{00000000-0005-0000-0000-00003E7F0000}"/>
    <cellStyle name="Percent 6 2 5 4" xfId="32743" xr:uid="{00000000-0005-0000-0000-00003F7F0000}"/>
    <cellStyle name="Percent 6 2 6" xfId="8486" xr:uid="{00000000-0005-0000-0000-0000407F0000}"/>
    <cellStyle name="Percent 6 2 6 2" xfId="14181" xr:uid="{00000000-0005-0000-0000-0000417F0000}"/>
    <cellStyle name="Percent 6 2 6 2 2" xfId="27730" xr:uid="{00000000-0005-0000-0000-0000427F0000}"/>
    <cellStyle name="Percent 6 2 6 3" xfId="32745" xr:uid="{00000000-0005-0000-0000-0000437F0000}"/>
    <cellStyle name="Percent 6 2 7" xfId="8487" xr:uid="{00000000-0005-0000-0000-0000447F0000}"/>
    <cellStyle name="Percent 6 2 7 2" xfId="16067" xr:uid="{00000000-0005-0000-0000-0000457F0000}"/>
    <cellStyle name="Percent 6 2 7 2 2" xfId="29474" xr:uid="{00000000-0005-0000-0000-0000467F0000}"/>
    <cellStyle name="Percent 6 2 7 3" xfId="32746" xr:uid="{00000000-0005-0000-0000-0000477F0000}"/>
    <cellStyle name="Percent 6 2 8" xfId="10420" xr:uid="{00000000-0005-0000-0000-0000487F0000}"/>
    <cellStyle name="Percent 6 2 9" xfId="32727" xr:uid="{00000000-0005-0000-0000-0000497F0000}"/>
    <cellStyle name="Percent 6 3" xfId="8488" xr:uid="{00000000-0005-0000-0000-00004A7F0000}"/>
    <cellStyle name="Percent 6 3 2" xfId="8489" xr:uid="{00000000-0005-0000-0000-00004B7F0000}"/>
    <cellStyle name="Percent 6 3 2 2" xfId="8490" xr:uid="{00000000-0005-0000-0000-00004C7F0000}"/>
    <cellStyle name="Percent 6 3 2 2 2" xfId="11697" xr:uid="{00000000-0005-0000-0000-00004D7F0000}"/>
    <cellStyle name="Percent 6 3 2 2 3" xfId="32749" xr:uid="{00000000-0005-0000-0000-00004E7F0000}"/>
    <cellStyle name="Percent 6 3 2 3" xfId="8491" xr:uid="{00000000-0005-0000-0000-00004F7F0000}"/>
    <cellStyle name="Percent 6 3 2 3 2" xfId="16794" xr:uid="{00000000-0005-0000-0000-0000507F0000}"/>
    <cellStyle name="Percent 6 3 2 3 2 2" xfId="30201" xr:uid="{00000000-0005-0000-0000-0000517F0000}"/>
    <cellStyle name="Percent 6 3 2 3 3" xfId="32750" xr:uid="{00000000-0005-0000-0000-0000527F0000}"/>
    <cellStyle name="Percent 6 3 2 4" xfId="10425" xr:uid="{00000000-0005-0000-0000-0000537F0000}"/>
    <cellStyle name="Percent 6 3 2 5" xfId="32748" xr:uid="{00000000-0005-0000-0000-0000547F0000}"/>
    <cellStyle name="Percent 6 3 3" xfId="8492" xr:uid="{00000000-0005-0000-0000-0000557F0000}"/>
    <cellStyle name="Percent 6 3 3 2" xfId="8493" xr:uid="{00000000-0005-0000-0000-0000567F0000}"/>
    <cellStyle name="Percent 6 3 3 2 2" xfId="13367" xr:uid="{00000000-0005-0000-0000-0000577F0000}"/>
    <cellStyle name="Percent 6 3 3 2 3" xfId="32752" xr:uid="{00000000-0005-0000-0000-0000587F0000}"/>
    <cellStyle name="Percent 6 3 3 3" xfId="12182" xr:uid="{00000000-0005-0000-0000-0000597F0000}"/>
    <cellStyle name="Percent 6 3 3 3 2" xfId="25894" xr:uid="{00000000-0005-0000-0000-00005A7F0000}"/>
    <cellStyle name="Percent 6 3 3 4" xfId="32751" xr:uid="{00000000-0005-0000-0000-00005B7F0000}"/>
    <cellStyle name="Percent 6 3 4" xfId="8494" xr:uid="{00000000-0005-0000-0000-00005C7F0000}"/>
    <cellStyle name="Percent 6 3 4 2" xfId="8495" xr:uid="{00000000-0005-0000-0000-00005D7F0000}"/>
    <cellStyle name="Percent 6 3 4 2 2" xfId="15796" xr:uid="{00000000-0005-0000-0000-00005E7F0000}"/>
    <cellStyle name="Percent 6 3 4 2 3" xfId="32754" xr:uid="{00000000-0005-0000-0000-00005F7F0000}"/>
    <cellStyle name="Percent 6 3 4 3" xfId="13746" xr:uid="{00000000-0005-0000-0000-0000607F0000}"/>
    <cellStyle name="Percent 6 3 4 3 2" xfId="27295" xr:uid="{00000000-0005-0000-0000-0000617F0000}"/>
    <cellStyle name="Percent 6 3 4 4" xfId="32753" xr:uid="{00000000-0005-0000-0000-0000627F0000}"/>
    <cellStyle name="Percent 6 3 5" xfId="8496" xr:uid="{00000000-0005-0000-0000-0000637F0000}"/>
    <cellStyle name="Percent 6 3 5 2" xfId="14327" xr:uid="{00000000-0005-0000-0000-0000647F0000}"/>
    <cellStyle name="Percent 6 3 5 2 2" xfId="27876" xr:uid="{00000000-0005-0000-0000-0000657F0000}"/>
    <cellStyle name="Percent 6 3 5 3" xfId="32755" xr:uid="{00000000-0005-0000-0000-0000667F0000}"/>
    <cellStyle name="Percent 6 3 6" xfId="8497" xr:uid="{00000000-0005-0000-0000-0000677F0000}"/>
    <cellStyle name="Percent 6 3 6 2" xfId="16213" xr:uid="{00000000-0005-0000-0000-0000687F0000}"/>
    <cellStyle name="Percent 6 3 6 2 2" xfId="29620" xr:uid="{00000000-0005-0000-0000-0000697F0000}"/>
    <cellStyle name="Percent 6 3 6 3" xfId="32756" xr:uid="{00000000-0005-0000-0000-00006A7F0000}"/>
    <cellStyle name="Percent 6 3 7" xfId="10424" xr:uid="{00000000-0005-0000-0000-00006B7F0000}"/>
    <cellStyle name="Percent 6 3 8" xfId="32747" xr:uid="{00000000-0005-0000-0000-00006C7F0000}"/>
    <cellStyle name="Percent 6 4" xfId="8498" xr:uid="{00000000-0005-0000-0000-00006D7F0000}"/>
    <cellStyle name="Percent 6 4 2" xfId="8499" xr:uid="{00000000-0005-0000-0000-00006E7F0000}"/>
    <cellStyle name="Percent 6 4 2 2" xfId="11698" xr:uid="{00000000-0005-0000-0000-00006F7F0000}"/>
    <cellStyle name="Percent 6 4 2 3" xfId="32758" xr:uid="{00000000-0005-0000-0000-0000707F0000}"/>
    <cellStyle name="Percent 6 4 3" xfId="8500" xr:uid="{00000000-0005-0000-0000-0000717F0000}"/>
    <cellStyle name="Percent 6 4 3 2" xfId="17141" xr:uid="{00000000-0005-0000-0000-0000727F0000}"/>
    <cellStyle name="Percent 6 4 3 2 2" xfId="30500" xr:uid="{00000000-0005-0000-0000-0000737F0000}"/>
    <cellStyle name="Percent 6 4 3 3" xfId="32759" xr:uid="{00000000-0005-0000-0000-0000747F0000}"/>
    <cellStyle name="Percent 6 4 4" xfId="10426" xr:uid="{00000000-0005-0000-0000-0000757F0000}"/>
    <cellStyle name="Percent 6 4 5" xfId="32757" xr:uid="{00000000-0005-0000-0000-0000767F0000}"/>
    <cellStyle name="Percent 6 5" xfId="8501" xr:uid="{00000000-0005-0000-0000-0000777F0000}"/>
    <cellStyle name="Percent 6 5 2" xfId="8502" xr:uid="{00000000-0005-0000-0000-0000787F0000}"/>
    <cellStyle name="Percent 6 5 2 2" xfId="13368" xr:uid="{00000000-0005-0000-0000-0000797F0000}"/>
    <cellStyle name="Percent 6 5 2 3" xfId="32761" xr:uid="{00000000-0005-0000-0000-00007A7F0000}"/>
    <cellStyle name="Percent 6 5 3" xfId="8503" xr:uid="{00000000-0005-0000-0000-00007B7F0000}"/>
    <cellStyle name="Percent 6 5 3 2" xfId="17230" xr:uid="{00000000-0005-0000-0000-00007C7F0000}"/>
    <cellStyle name="Percent 6 5 3 2 2" xfId="30589" xr:uid="{00000000-0005-0000-0000-00007D7F0000}"/>
    <cellStyle name="Percent 6 5 3 3" xfId="32762" xr:uid="{00000000-0005-0000-0000-00007E7F0000}"/>
    <cellStyle name="Percent 6 5 4" xfId="11877" xr:uid="{00000000-0005-0000-0000-00007F7F0000}"/>
    <cellStyle name="Percent 6 5 4 2" xfId="25592" xr:uid="{00000000-0005-0000-0000-0000807F0000}"/>
    <cellStyle name="Percent 6 5 5" xfId="32760" xr:uid="{00000000-0005-0000-0000-0000817F0000}"/>
    <cellStyle name="Percent 6 6" xfId="8504" xr:uid="{00000000-0005-0000-0000-0000827F0000}"/>
    <cellStyle name="Percent 6 6 2" xfId="8505" xr:uid="{00000000-0005-0000-0000-0000837F0000}"/>
    <cellStyle name="Percent 6 6 2 2" xfId="15797" xr:uid="{00000000-0005-0000-0000-0000847F0000}"/>
    <cellStyle name="Percent 6 6 2 3" xfId="32764" xr:uid="{00000000-0005-0000-0000-0000857F0000}"/>
    <cellStyle name="Percent 6 6 3" xfId="8506" xr:uid="{00000000-0005-0000-0000-0000867F0000}"/>
    <cellStyle name="Percent 6 6 3 2" xfId="16505" xr:uid="{00000000-0005-0000-0000-0000877F0000}"/>
    <cellStyle name="Percent 6 6 3 2 2" xfId="29912" xr:uid="{00000000-0005-0000-0000-0000887F0000}"/>
    <cellStyle name="Percent 6 6 3 3" xfId="32765" xr:uid="{00000000-0005-0000-0000-0000897F0000}"/>
    <cellStyle name="Percent 6 6 4" xfId="13457" xr:uid="{00000000-0005-0000-0000-00008A7F0000}"/>
    <cellStyle name="Percent 6 6 4 2" xfId="27006" xr:uid="{00000000-0005-0000-0000-00008B7F0000}"/>
    <cellStyle name="Percent 6 6 5" xfId="32763" xr:uid="{00000000-0005-0000-0000-00008C7F0000}"/>
    <cellStyle name="Percent 6 7" xfId="8507" xr:uid="{00000000-0005-0000-0000-00008D7F0000}"/>
    <cellStyle name="Percent 6 7 2" xfId="14038" xr:uid="{00000000-0005-0000-0000-00008E7F0000}"/>
    <cellStyle name="Percent 6 7 2 2" xfId="27587" xr:uid="{00000000-0005-0000-0000-00008F7F0000}"/>
    <cellStyle name="Percent 6 7 3" xfId="32766" xr:uid="{00000000-0005-0000-0000-0000907F0000}"/>
    <cellStyle name="Percent 6 8" xfId="8508" xr:uid="{00000000-0005-0000-0000-0000917F0000}"/>
    <cellStyle name="Percent 6 8 2" xfId="15924" xr:uid="{00000000-0005-0000-0000-0000927F0000}"/>
    <cellStyle name="Percent 6 8 2 2" xfId="29331" xr:uid="{00000000-0005-0000-0000-0000937F0000}"/>
    <cellStyle name="Percent 6 8 3" xfId="32767" xr:uid="{00000000-0005-0000-0000-0000947F0000}"/>
    <cellStyle name="Percent 6 9" xfId="8509" xr:uid="{00000000-0005-0000-0000-0000957F0000}"/>
    <cellStyle name="Percent 6 9 2" xfId="17354" xr:uid="{00000000-0005-0000-0000-0000967F0000}"/>
    <cellStyle name="Percent 6 9 3" xfId="32768" xr:uid="{00000000-0005-0000-0000-0000977F0000}"/>
    <cellStyle name="Percent 7" xfId="8510" xr:uid="{00000000-0005-0000-0000-0000987F0000}"/>
    <cellStyle name="Percent 7 2" xfId="10427" xr:uid="{00000000-0005-0000-0000-0000997F0000}"/>
    <cellStyle name="Percent 7 3" xfId="32769" xr:uid="{00000000-0005-0000-0000-00009A7F0000}"/>
    <cellStyle name="Percent 8" xfId="8511" xr:uid="{00000000-0005-0000-0000-00009B7F0000}"/>
    <cellStyle name="Percent 8 2" xfId="8512" xr:uid="{00000000-0005-0000-0000-00009C7F0000}"/>
    <cellStyle name="Percent 8 2 2" xfId="10429" xr:uid="{00000000-0005-0000-0000-00009D7F0000}"/>
    <cellStyle name="Percent 8 2 3" xfId="32771" xr:uid="{00000000-0005-0000-0000-00009E7F0000}"/>
    <cellStyle name="Percent 8 3" xfId="8513" xr:uid="{00000000-0005-0000-0000-00009F7F0000}"/>
    <cellStyle name="Percent 8 3 2" xfId="13369" xr:uid="{00000000-0005-0000-0000-0000A07F0000}"/>
    <cellStyle name="Percent 8 3 3" xfId="32772" xr:uid="{00000000-0005-0000-0000-0000A17F0000}"/>
    <cellStyle name="Percent 8 4" xfId="10428" xr:uid="{00000000-0005-0000-0000-0000A27F0000}"/>
    <cellStyle name="Percent 8 5" xfId="32770" xr:uid="{00000000-0005-0000-0000-0000A37F0000}"/>
    <cellStyle name="Percent 9" xfId="8514" xr:uid="{00000000-0005-0000-0000-0000A47F0000}"/>
    <cellStyle name="Percent 9 2" xfId="8515" xr:uid="{00000000-0005-0000-0000-0000A57F0000}"/>
    <cellStyle name="Percent 9 2 2" xfId="13371" xr:uid="{00000000-0005-0000-0000-0000A67F0000}"/>
    <cellStyle name="Percent 9 2 3" xfId="32774" xr:uid="{00000000-0005-0000-0000-0000A77F0000}"/>
    <cellStyle name="Percent 9 3" xfId="8516" xr:uid="{00000000-0005-0000-0000-0000A87F0000}"/>
    <cellStyle name="Percent 9 3 2" xfId="13370" xr:uid="{00000000-0005-0000-0000-0000A97F0000}"/>
    <cellStyle name="Percent 9 3 3" xfId="32775" xr:uid="{00000000-0005-0000-0000-0000AA7F0000}"/>
    <cellStyle name="Percent 9 4" xfId="10525" xr:uid="{00000000-0005-0000-0000-0000AB7F0000}"/>
    <cellStyle name="Percent 9 5" xfId="32773" xr:uid="{00000000-0005-0000-0000-0000AC7F0000}"/>
    <cellStyle name="SAPBEXaggData" xfId="8517" xr:uid="{00000000-0005-0000-0000-0000AD7F0000}"/>
    <cellStyle name="SAPBEXaggData 2" xfId="17056" xr:uid="{00000000-0005-0000-0000-0000AE7F0000}"/>
    <cellStyle name="SAPBEXaggData 3" xfId="32776" xr:uid="{00000000-0005-0000-0000-0000AF7F0000}"/>
    <cellStyle name="SAPBEXaggDataEmph" xfId="8518" xr:uid="{00000000-0005-0000-0000-0000B07F0000}"/>
    <cellStyle name="SAPBEXaggDataEmph 2" xfId="17057" xr:uid="{00000000-0005-0000-0000-0000B17F0000}"/>
    <cellStyle name="SAPBEXaggDataEmph 3" xfId="32777" xr:uid="{00000000-0005-0000-0000-0000B27F0000}"/>
    <cellStyle name="SAPBEXaggItem" xfId="8519" xr:uid="{00000000-0005-0000-0000-0000B37F0000}"/>
    <cellStyle name="SAPBEXaggItem 2" xfId="17058" xr:uid="{00000000-0005-0000-0000-0000B47F0000}"/>
    <cellStyle name="SAPBEXaggItem 3" xfId="32778" xr:uid="{00000000-0005-0000-0000-0000B57F0000}"/>
    <cellStyle name="SAPBEXaggItemX" xfId="8520" xr:uid="{00000000-0005-0000-0000-0000B67F0000}"/>
    <cellStyle name="SAPBEXaggItemX 2" xfId="17059" xr:uid="{00000000-0005-0000-0000-0000B77F0000}"/>
    <cellStyle name="SAPBEXaggItemX 3" xfId="32779" xr:uid="{00000000-0005-0000-0000-0000B87F0000}"/>
    <cellStyle name="SAPBEXchaText" xfId="8521" xr:uid="{00000000-0005-0000-0000-0000B97F0000}"/>
    <cellStyle name="SAPBEXchaText 2" xfId="17060" xr:uid="{00000000-0005-0000-0000-0000BA7F0000}"/>
    <cellStyle name="SAPBEXchaText 3" xfId="32780" xr:uid="{00000000-0005-0000-0000-0000BB7F0000}"/>
    <cellStyle name="SAPBEXexcBad7" xfId="8522" xr:uid="{00000000-0005-0000-0000-0000BC7F0000}"/>
    <cellStyle name="SAPBEXexcBad7 2" xfId="17061" xr:uid="{00000000-0005-0000-0000-0000BD7F0000}"/>
    <cellStyle name="SAPBEXexcBad7 3" xfId="32781" xr:uid="{00000000-0005-0000-0000-0000BE7F0000}"/>
    <cellStyle name="SAPBEXexcBad8" xfId="8523" xr:uid="{00000000-0005-0000-0000-0000BF7F0000}"/>
    <cellStyle name="SAPBEXexcBad8 2" xfId="17062" xr:uid="{00000000-0005-0000-0000-0000C07F0000}"/>
    <cellStyle name="SAPBEXexcBad8 3" xfId="32782" xr:uid="{00000000-0005-0000-0000-0000C17F0000}"/>
    <cellStyle name="SAPBEXexcBad9" xfId="8524" xr:uid="{00000000-0005-0000-0000-0000C27F0000}"/>
    <cellStyle name="SAPBEXexcBad9 2" xfId="17063" xr:uid="{00000000-0005-0000-0000-0000C37F0000}"/>
    <cellStyle name="SAPBEXexcBad9 3" xfId="32783" xr:uid="{00000000-0005-0000-0000-0000C47F0000}"/>
    <cellStyle name="SAPBEXexcCritical4" xfId="8525" xr:uid="{00000000-0005-0000-0000-0000C57F0000}"/>
    <cellStyle name="SAPBEXexcCritical4 2" xfId="17064" xr:uid="{00000000-0005-0000-0000-0000C67F0000}"/>
    <cellStyle name="SAPBEXexcCritical4 3" xfId="32784" xr:uid="{00000000-0005-0000-0000-0000C77F0000}"/>
    <cellStyle name="SAPBEXexcCritical5" xfId="8526" xr:uid="{00000000-0005-0000-0000-0000C87F0000}"/>
    <cellStyle name="SAPBEXexcCritical5 2" xfId="17065" xr:uid="{00000000-0005-0000-0000-0000C97F0000}"/>
    <cellStyle name="SAPBEXexcCritical5 3" xfId="32785" xr:uid="{00000000-0005-0000-0000-0000CA7F0000}"/>
    <cellStyle name="SAPBEXexcCritical6" xfId="8527" xr:uid="{00000000-0005-0000-0000-0000CB7F0000}"/>
    <cellStyle name="SAPBEXexcCritical6 2" xfId="17066" xr:uid="{00000000-0005-0000-0000-0000CC7F0000}"/>
    <cellStyle name="SAPBEXexcCritical6 3" xfId="32786" xr:uid="{00000000-0005-0000-0000-0000CD7F0000}"/>
    <cellStyle name="SAPBEXexcGood1" xfId="8528" xr:uid="{00000000-0005-0000-0000-0000CE7F0000}"/>
    <cellStyle name="SAPBEXexcGood1 2" xfId="17067" xr:uid="{00000000-0005-0000-0000-0000CF7F0000}"/>
    <cellStyle name="SAPBEXexcGood1 3" xfId="32787" xr:uid="{00000000-0005-0000-0000-0000D07F0000}"/>
    <cellStyle name="SAPBEXexcGood2" xfId="8529" xr:uid="{00000000-0005-0000-0000-0000D17F0000}"/>
    <cellStyle name="SAPBEXexcGood2 2" xfId="17068" xr:uid="{00000000-0005-0000-0000-0000D27F0000}"/>
    <cellStyle name="SAPBEXexcGood2 3" xfId="32788" xr:uid="{00000000-0005-0000-0000-0000D37F0000}"/>
    <cellStyle name="SAPBEXexcGood3" xfId="8530" xr:uid="{00000000-0005-0000-0000-0000D47F0000}"/>
    <cellStyle name="SAPBEXexcGood3 2" xfId="17069" xr:uid="{00000000-0005-0000-0000-0000D57F0000}"/>
    <cellStyle name="SAPBEXexcGood3 3" xfId="32789" xr:uid="{00000000-0005-0000-0000-0000D67F0000}"/>
    <cellStyle name="SAPBEXfilterDrill" xfId="8531" xr:uid="{00000000-0005-0000-0000-0000D77F0000}"/>
    <cellStyle name="SAPBEXfilterDrill 2" xfId="17070" xr:uid="{00000000-0005-0000-0000-0000D87F0000}"/>
    <cellStyle name="SAPBEXfilterDrill 3" xfId="32790" xr:uid="{00000000-0005-0000-0000-0000D97F0000}"/>
    <cellStyle name="SAPBEXfilterItem" xfId="8532" xr:uid="{00000000-0005-0000-0000-0000DA7F0000}"/>
    <cellStyle name="SAPBEXfilterItem 2" xfId="17071" xr:uid="{00000000-0005-0000-0000-0000DB7F0000}"/>
    <cellStyle name="SAPBEXfilterItem 3" xfId="32791" xr:uid="{00000000-0005-0000-0000-0000DC7F0000}"/>
    <cellStyle name="SAPBEXfilterText" xfId="8533" xr:uid="{00000000-0005-0000-0000-0000DD7F0000}"/>
    <cellStyle name="SAPBEXfilterText 2" xfId="17072" xr:uid="{00000000-0005-0000-0000-0000DE7F0000}"/>
    <cellStyle name="SAPBEXfilterText 3" xfId="32792" xr:uid="{00000000-0005-0000-0000-0000DF7F0000}"/>
    <cellStyle name="SAPBEXformats" xfId="8534" xr:uid="{00000000-0005-0000-0000-0000E07F0000}"/>
    <cellStyle name="SAPBEXformats 2" xfId="17073" xr:uid="{00000000-0005-0000-0000-0000E17F0000}"/>
    <cellStyle name="SAPBEXformats 3" xfId="32793" xr:uid="{00000000-0005-0000-0000-0000E27F0000}"/>
    <cellStyle name="SAPBEXheaderItem" xfId="8535" xr:uid="{00000000-0005-0000-0000-0000E37F0000}"/>
    <cellStyle name="SAPBEXheaderItem 2" xfId="17074" xr:uid="{00000000-0005-0000-0000-0000E47F0000}"/>
    <cellStyle name="SAPBEXheaderItem 3" xfId="32794" xr:uid="{00000000-0005-0000-0000-0000E57F0000}"/>
    <cellStyle name="SAPBEXheaderText" xfId="8536" xr:uid="{00000000-0005-0000-0000-0000E67F0000}"/>
    <cellStyle name="SAPBEXheaderText 2" xfId="17075" xr:uid="{00000000-0005-0000-0000-0000E77F0000}"/>
    <cellStyle name="SAPBEXheaderText 3" xfId="32795" xr:uid="{00000000-0005-0000-0000-0000E87F0000}"/>
    <cellStyle name="SAPBEXHLevel0" xfId="8537" xr:uid="{00000000-0005-0000-0000-0000E97F0000}"/>
    <cellStyle name="SAPBEXHLevel0 2" xfId="17076" xr:uid="{00000000-0005-0000-0000-0000EA7F0000}"/>
    <cellStyle name="SAPBEXHLevel0 3" xfId="32796" xr:uid="{00000000-0005-0000-0000-0000EB7F0000}"/>
    <cellStyle name="SAPBEXHLevel0X" xfId="8538" xr:uid="{00000000-0005-0000-0000-0000EC7F0000}"/>
    <cellStyle name="SAPBEXHLevel0X 2" xfId="17077" xr:uid="{00000000-0005-0000-0000-0000ED7F0000}"/>
    <cellStyle name="SAPBEXHLevel0X 3" xfId="32797" xr:uid="{00000000-0005-0000-0000-0000EE7F0000}"/>
    <cellStyle name="SAPBEXHLevel1" xfId="8539" xr:uid="{00000000-0005-0000-0000-0000EF7F0000}"/>
    <cellStyle name="SAPBEXHLevel1 2" xfId="17078" xr:uid="{00000000-0005-0000-0000-0000F07F0000}"/>
    <cellStyle name="SAPBEXHLevel1 3" xfId="32798" xr:uid="{00000000-0005-0000-0000-0000F17F0000}"/>
    <cellStyle name="SAPBEXHLevel1X" xfId="8540" xr:uid="{00000000-0005-0000-0000-0000F27F0000}"/>
    <cellStyle name="SAPBEXHLevel1X 2" xfId="17079" xr:uid="{00000000-0005-0000-0000-0000F37F0000}"/>
    <cellStyle name="SAPBEXHLevel1X 3" xfId="32799" xr:uid="{00000000-0005-0000-0000-0000F47F0000}"/>
    <cellStyle name="SAPBEXHLevel2" xfId="8541" xr:uid="{00000000-0005-0000-0000-0000F57F0000}"/>
    <cellStyle name="SAPBEXHLevel2 2" xfId="17080" xr:uid="{00000000-0005-0000-0000-0000F67F0000}"/>
    <cellStyle name="SAPBEXHLevel2 3" xfId="32800" xr:uid="{00000000-0005-0000-0000-0000F77F0000}"/>
    <cellStyle name="SAPBEXHLevel2X" xfId="8542" xr:uid="{00000000-0005-0000-0000-0000F87F0000}"/>
    <cellStyle name="SAPBEXHLevel2X 2" xfId="17081" xr:uid="{00000000-0005-0000-0000-0000F97F0000}"/>
    <cellStyle name="SAPBEXHLevel2X 3" xfId="32801" xr:uid="{00000000-0005-0000-0000-0000FA7F0000}"/>
    <cellStyle name="SAPBEXHLevel3" xfId="8543" xr:uid="{00000000-0005-0000-0000-0000FB7F0000}"/>
    <cellStyle name="SAPBEXHLevel3 2" xfId="17082" xr:uid="{00000000-0005-0000-0000-0000FC7F0000}"/>
    <cellStyle name="SAPBEXHLevel3 3" xfId="32802" xr:uid="{00000000-0005-0000-0000-0000FD7F0000}"/>
    <cellStyle name="SAPBEXHLevel3X" xfId="8544" xr:uid="{00000000-0005-0000-0000-0000FE7F0000}"/>
    <cellStyle name="SAPBEXHLevel3X 2" xfId="17083" xr:uid="{00000000-0005-0000-0000-0000FF7F0000}"/>
    <cellStyle name="SAPBEXHLevel3X 3" xfId="32803" xr:uid="{00000000-0005-0000-0000-000000800000}"/>
    <cellStyle name="SAPBEXinputData" xfId="8545" xr:uid="{00000000-0005-0000-0000-000001800000}"/>
    <cellStyle name="SAPBEXinputData 2" xfId="17084" xr:uid="{00000000-0005-0000-0000-000002800000}"/>
    <cellStyle name="SAPBEXinputData 3" xfId="32804" xr:uid="{00000000-0005-0000-0000-000003800000}"/>
    <cellStyle name="SAPBEXresData" xfId="8546" xr:uid="{00000000-0005-0000-0000-000004800000}"/>
    <cellStyle name="SAPBEXresData 2" xfId="17085" xr:uid="{00000000-0005-0000-0000-000005800000}"/>
    <cellStyle name="SAPBEXresData 3" xfId="32805" xr:uid="{00000000-0005-0000-0000-000006800000}"/>
    <cellStyle name="SAPBEXresDataEmph" xfId="8547" xr:uid="{00000000-0005-0000-0000-000007800000}"/>
    <cellStyle name="SAPBEXresDataEmph 2" xfId="17086" xr:uid="{00000000-0005-0000-0000-000008800000}"/>
    <cellStyle name="SAPBEXresDataEmph 3" xfId="32806" xr:uid="{00000000-0005-0000-0000-000009800000}"/>
    <cellStyle name="SAPBEXresItem" xfId="8548" xr:uid="{00000000-0005-0000-0000-00000A800000}"/>
    <cellStyle name="SAPBEXresItem 2" xfId="17087" xr:uid="{00000000-0005-0000-0000-00000B800000}"/>
    <cellStyle name="SAPBEXresItem 3" xfId="32807" xr:uid="{00000000-0005-0000-0000-00000C800000}"/>
    <cellStyle name="SAPBEXresItemX" xfId="8549" xr:uid="{00000000-0005-0000-0000-00000D800000}"/>
    <cellStyle name="SAPBEXresItemX 2" xfId="17088" xr:uid="{00000000-0005-0000-0000-00000E800000}"/>
    <cellStyle name="SAPBEXresItemX 3" xfId="32808" xr:uid="{00000000-0005-0000-0000-00000F800000}"/>
    <cellStyle name="SAPBEXstdData" xfId="8550" xr:uid="{00000000-0005-0000-0000-000010800000}"/>
    <cellStyle name="SAPBEXstdData 2" xfId="17089" xr:uid="{00000000-0005-0000-0000-000011800000}"/>
    <cellStyle name="SAPBEXstdData 3" xfId="32809" xr:uid="{00000000-0005-0000-0000-000012800000}"/>
    <cellStyle name="SAPBEXstdDataEmph" xfId="8551" xr:uid="{00000000-0005-0000-0000-000013800000}"/>
    <cellStyle name="SAPBEXstdDataEmph 2" xfId="17090" xr:uid="{00000000-0005-0000-0000-000014800000}"/>
    <cellStyle name="SAPBEXstdDataEmph 3" xfId="32810" xr:uid="{00000000-0005-0000-0000-000015800000}"/>
    <cellStyle name="SAPBEXstdItem" xfId="8552" xr:uid="{00000000-0005-0000-0000-000016800000}"/>
    <cellStyle name="SAPBEXstdItem 2" xfId="17091" xr:uid="{00000000-0005-0000-0000-000017800000}"/>
    <cellStyle name="SAPBEXstdItem 3" xfId="32811" xr:uid="{00000000-0005-0000-0000-000018800000}"/>
    <cellStyle name="SAPBEXstdItemX" xfId="8553" xr:uid="{00000000-0005-0000-0000-000019800000}"/>
    <cellStyle name="SAPBEXstdItemX 2" xfId="17092" xr:uid="{00000000-0005-0000-0000-00001A800000}"/>
    <cellStyle name="SAPBEXstdItemX 3" xfId="32812" xr:uid="{00000000-0005-0000-0000-00001B800000}"/>
    <cellStyle name="SAPBEXtitle" xfId="8554" xr:uid="{00000000-0005-0000-0000-00001C800000}"/>
    <cellStyle name="SAPBEXtitle 2" xfId="17093" xr:uid="{00000000-0005-0000-0000-00001D800000}"/>
    <cellStyle name="SAPBEXtitle 3" xfId="32813" xr:uid="{00000000-0005-0000-0000-00001E800000}"/>
    <cellStyle name="SAPBEXundefined" xfId="8555" xr:uid="{00000000-0005-0000-0000-00001F800000}"/>
    <cellStyle name="SAPBEXundefined 2" xfId="17094" xr:uid="{00000000-0005-0000-0000-000020800000}"/>
    <cellStyle name="SAPBEXundefined 3" xfId="32814" xr:uid="{00000000-0005-0000-0000-000021800000}"/>
    <cellStyle name="Sheet Title" xfId="8556" xr:uid="{00000000-0005-0000-0000-000022800000}"/>
    <cellStyle name="Sheet Title 2" xfId="17095" xr:uid="{00000000-0005-0000-0000-000023800000}"/>
    <cellStyle name="Sheet Title 3" xfId="32815" xr:uid="{00000000-0005-0000-0000-000024800000}"/>
    <cellStyle name="Style 1" xfId="11" xr:uid="{00000000-0005-0000-0000-000025800000}"/>
    <cellStyle name="Style 2" xfId="12" xr:uid="{00000000-0005-0000-0000-000026800000}"/>
    <cellStyle name="TableStyleLight1" xfId="8557" xr:uid="{00000000-0005-0000-0000-000027800000}"/>
    <cellStyle name="TableStyleLight1 2" xfId="10430" xr:uid="{00000000-0005-0000-0000-000028800000}"/>
    <cellStyle name="TableStyleLight1 3" xfId="32816" xr:uid="{00000000-0005-0000-0000-000029800000}"/>
    <cellStyle name="Title" xfId="14" builtinId="15" customBuiltin="1"/>
    <cellStyle name="Title 10" xfId="8558" xr:uid="{00000000-0005-0000-0000-00002B800000}"/>
    <cellStyle name="Title 10 2" xfId="8559" xr:uid="{00000000-0005-0000-0000-00002C800000}"/>
    <cellStyle name="Title 10 2 2" xfId="11701" xr:uid="{00000000-0005-0000-0000-00002D800000}"/>
    <cellStyle name="Title 10 2 3" xfId="32818" xr:uid="{00000000-0005-0000-0000-00002E800000}"/>
    <cellStyle name="Title 10 3" xfId="10432" xr:uid="{00000000-0005-0000-0000-00002F800000}"/>
    <cellStyle name="Title 10 4" xfId="32817" xr:uid="{00000000-0005-0000-0000-000030800000}"/>
    <cellStyle name="Title 11" xfId="8560" xr:uid="{00000000-0005-0000-0000-000031800000}"/>
    <cellStyle name="Title 11 2" xfId="8561" xr:uid="{00000000-0005-0000-0000-000032800000}"/>
    <cellStyle name="Title 11 2 2" xfId="15798" xr:uid="{00000000-0005-0000-0000-000033800000}"/>
    <cellStyle name="Title 11 2 3" xfId="32820" xr:uid="{00000000-0005-0000-0000-000034800000}"/>
    <cellStyle name="Title 11 3" xfId="10433" xr:uid="{00000000-0005-0000-0000-000035800000}"/>
    <cellStyle name="Title 11 4" xfId="32819" xr:uid="{00000000-0005-0000-0000-000036800000}"/>
    <cellStyle name="Title 12" xfId="8562" xr:uid="{00000000-0005-0000-0000-000037800000}"/>
    <cellStyle name="Title 12 2" xfId="8563" xr:uid="{00000000-0005-0000-0000-000038800000}"/>
    <cellStyle name="Title 12 2 2" xfId="15799" xr:uid="{00000000-0005-0000-0000-000039800000}"/>
    <cellStyle name="Title 12 2 3" xfId="32822" xr:uid="{00000000-0005-0000-0000-00003A800000}"/>
    <cellStyle name="Title 12 3" xfId="10501" xr:uid="{00000000-0005-0000-0000-00003B800000}"/>
    <cellStyle name="Title 12 4" xfId="32821" xr:uid="{00000000-0005-0000-0000-00003C800000}"/>
    <cellStyle name="Title 13" xfId="8564" xr:uid="{00000000-0005-0000-0000-00003D800000}"/>
    <cellStyle name="Title 13 2" xfId="11700" xr:uid="{00000000-0005-0000-0000-00003E800000}"/>
    <cellStyle name="Title 13 3" xfId="32823" xr:uid="{00000000-0005-0000-0000-00003F800000}"/>
    <cellStyle name="Title 14" xfId="8565" xr:uid="{00000000-0005-0000-0000-000040800000}"/>
    <cellStyle name="Title 14 2" xfId="10431" xr:uid="{00000000-0005-0000-0000-000041800000}"/>
    <cellStyle name="Title 14 3" xfId="32824" xr:uid="{00000000-0005-0000-0000-000042800000}"/>
    <cellStyle name="Title 2" xfId="8566" xr:uid="{00000000-0005-0000-0000-000043800000}"/>
    <cellStyle name="Title 2 2" xfId="8567" xr:uid="{00000000-0005-0000-0000-000044800000}"/>
    <cellStyle name="Title 2 2 2" xfId="10435" xr:uid="{00000000-0005-0000-0000-000045800000}"/>
    <cellStyle name="Title 2 2 3" xfId="32826" xr:uid="{00000000-0005-0000-0000-000046800000}"/>
    <cellStyle name="Title 2 3" xfId="8568" xr:uid="{00000000-0005-0000-0000-000047800000}"/>
    <cellStyle name="Title 2 3 2" xfId="13372" xr:uid="{00000000-0005-0000-0000-000048800000}"/>
    <cellStyle name="Title 2 3 3" xfId="32827" xr:uid="{00000000-0005-0000-0000-000049800000}"/>
    <cellStyle name="Title 2 4" xfId="10434" xr:uid="{00000000-0005-0000-0000-00004A800000}"/>
    <cellStyle name="Title 2 5" xfId="32825" xr:uid="{00000000-0005-0000-0000-00004B800000}"/>
    <cellStyle name="Title 2 6" xfId="33099" xr:uid="{00000000-0005-0000-0000-00004C800000}"/>
    <cellStyle name="Title 3" xfId="8569" xr:uid="{00000000-0005-0000-0000-00004D800000}"/>
    <cellStyle name="Title 3 2" xfId="8570" xr:uid="{00000000-0005-0000-0000-00004E800000}"/>
    <cellStyle name="Title 3 2 2" xfId="10437" xr:uid="{00000000-0005-0000-0000-00004F800000}"/>
    <cellStyle name="Title 3 2 3" xfId="32829" xr:uid="{00000000-0005-0000-0000-000050800000}"/>
    <cellStyle name="Title 3 3" xfId="8571" xr:uid="{00000000-0005-0000-0000-000051800000}"/>
    <cellStyle name="Title 3 3 2" xfId="13374" xr:uid="{00000000-0005-0000-0000-000052800000}"/>
    <cellStyle name="Title 3 3 3" xfId="32830" xr:uid="{00000000-0005-0000-0000-000053800000}"/>
    <cellStyle name="Title 3 4" xfId="8572" xr:uid="{00000000-0005-0000-0000-000054800000}"/>
    <cellStyle name="Title 3 4 2" xfId="13373" xr:uid="{00000000-0005-0000-0000-000055800000}"/>
    <cellStyle name="Title 3 4 3" xfId="32831" xr:uid="{00000000-0005-0000-0000-000056800000}"/>
    <cellStyle name="Title 3 5" xfId="10436" xr:uid="{00000000-0005-0000-0000-000057800000}"/>
    <cellStyle name="Title 3 6" xfId="32828" xr:uid="{00000000-0005-0000-0000-000058800000}"/>
    <cellStyle name="Title 3 7" xfId="33101" xr:uid="{00000000-0005-0000-0000-000059800000}"/>
    <cellStyle name="Title 4" xfId="8573" xr:uid="{00000000-0005-0000-0000-00005A800000}"/>
    <cellStyle name="Title 4 2" xfId="8574" xr:uid="{00000000-0005-0000-0000-00005B800000}"/>
    <cellStyle name="Title 4 2 2" xfId="8575" xr:uid="{00000000-0005-0000-0000-00005C800000}"/>
    <cellStyle name="Title 4 2 2 2" xfId="11703" xr:uid="{00000000-0005-0000-0000-00005D800000}"/>
    <cellStyle name="Title 4 2 2 3" xfId="32834" xr:uid="{00000000-0005-0000-0000-00005E800000}"/>
    <cellStyle name="Title 4 2 3" xfId="10439" xr:uid="{00000000-0005-0000-0000-00005F800000}"/>
    <cellStyle name="Title 4 2 4" xfId="32833" xr:uid="{00000000-0005-0000-0000-000060800000}"/>
    <cellStyle name="Title 4 3" xfId="8576" xr:uid="{00000000-0005-0000-0000-000061800000}"/>
    <cellStyle name="Title 4 3 2" xfId="11702" xr:uid="{00000000-0005-0000-0000-000062800000}"/>
    <cellStyle name="Title 4 3 3" xfId="32835" xr:uid="{00000000-0005-0000-0000-000063800000}"/>
    <cellStyle name="Title 4 4" xfId="8577" xr:uid="{00000000-0005-0000-0000-000064800000}"/>
    <cellStyle name="Title 4 4 2" xfId="13375" xr:uid="{00000000-0005-0000-0000-000065800000}"/>
    <cellStyle name="Title 4 4 3" xfId="32836" xr:uid="{00000000-0005-0000-0000-000066800000}"/>
    <cellStyle name="Title 4 5" xfId="8578" xr:uid="{00000000-0005-0000-0000-000067800000}"/>
    <cellStyle name="Title 4 5 2" xfId="15800" xr:uid="{00000000-0005-0000-0000-000068800000}"/>
    <cellStyle name="Title 4 5 3" xfId="32837" xr:uid="{00000000-0005-0000-0000-000069800000}"/>
    <cellStyle name="Title 4 6" xfId="10438" xr:uid="{00000000-0005-0000-0000-00006A800000}"/>
    <cellStyle name="Title 4 7" xfId="32832" xr:uid="{00000000-0005-0000-0000-00006B800000}"/>
    <cellStyle name="Title 5" xfId="8579" xr:uid="{00000000-0005-0000-0000-00006C800000}"/>
    <cellStyle name="Title 5 2" xfId="8580" xr:uid="{00000000-0005-0000-0000-00006D800000}"/>
    <cellStyle name="Title 5 2 2" xfId="8581" xr:uid="{00000000-0005-0000-0000-00006E800000}"/>
    <cellStyle name="Title 5 2 2 2" xfId="11705" xr:uid="{00000000-0005-0000-0000-00006F800000}"/>
    <cellStyle name="Title 5 2 2 3" xfId="32840" xr:uid="{00000000-0005-0000-0000-000070800000}"/>
    <cellStyle name="Title 5 2 3" xfId="10441" xr:uid="{00000000-0005-0000-0000-000071800000}"/>
    <cellStyle name="Title 5 2 4" xfId="32839" xr:uid="{00000000-0005-0000-0000-000072800000}"/>
    <cellStyle name="Title 5 3" xfId="8582" xr:uid="{00000000-0005-0000-0000-000073800000}"/>
    <cellStyle name="Title 5 3 2" xfId="11704" xr:uid="{00000000-0005-0000-0000-000074800000}"/>
    <cellStyle name="Title 5 3 3" xfId="32841" xr:uid="{00000000-0005-0000-0000-000075800000}"/>
    <cellStyle name="Title 5 4" xfId="10440" xr:uid="{00000000-0005-0000-0000-000076800000}"/>
    <cellStyle name="Title 5 5" xfId="32838" xr:uid="{00000000-0005-0000-0000-000077800000}"/>
    <cellStyle name="Title 6" xfId="8583" xr:uid="{00000000-0005-0000-0000-000078800000}"/>
    <cellStyle name="Title 6 2" xfId="8584" xr:uid="{00000000-0005-0000-0000-000079800000}"/>
    <cellStyle name="Title 6 2 2" xfId="11706" xr:uid="{00000000-0005-0000-0000-00007A800000}"/>
    <cellStyle name="Title 6 2 3" xfId="32843" xr:uid="{00000000-0005-0000-0000-00007B800000}"/>
    <cellStyle name="Title 6 3" xfId="10442" xr:uid="{00000000-0005-0000-0000-00007C800000}"/>
    <cellStyle name="Title 6 4" xfId="32842" xr:uid="{00000000-0005-0000-0000-00007D800000}"/>
    <cellStyle name="Title 7" xfId="8585" xr:uid="{00000000-0005-0000-0000-00007E800000}"/>
    <cellStyle name="Title 7 2" xfId="8586" xr:uid="{00000000-0005-0000-0000-00007F800000}"/>
    <cellStyle name="Title 7 2 2" xfId="11707" xr:uid="{00000000-0005-0000-0000-000080800000}"/>
    <cellStyle name="Title 7 2 3" xfId="32845" xr:uid="{00000000-0005-0000-0000-000081800000}"/>
    <cellStyle name="Title 7 3" xfId="10443" xr:uid="{00000000-0005-0000-0000-000082800000}"/>
    <cellStyle name="Title 7 4" xfId="32844" xr:uid="{00000000-0005-0000-0000-000083800000}"/>
    <cellStyle name="Title 8" xfId="8587" xr:uid="{00000000-0005-0000-0000-000084800000}"/>
    <cellStyle name="Title 8 2" xfId="8588" xr:uid="{00000000-0005-0000-0000-000085800000}"/>
    <cellStyle name="Title 8 2 2" xfId="11708" xr:uid="{00000000-0005-0000-0000-000086800000}"/>
    <cellStyle name="Title 8 2 3" xfId="32847" xr:uid="{00000000-0005-0000-0000-000087800000}"/>
    <cellStyle name="Title 8 3" xfId="10444" xr:uid="{00000000-0005-0000-0000-000088800000}"/>
    <cellStyle name="Title 8 4" xfId="32846" xr:uid="{00000000-0005-0000-0000-000089800000}"/>
    <cellStyle name="Title 9" xfId="8589" xr:uid="{00000000-0005-0000-0000-00008A800000}"/>
    <cellStyle name="Title 9 2" xfId="8590" xr:uid="{00000000-0005-0000-0000-00008B800000}"/>
    <cellStyle name="Title 9 2 2" xfId="11709" xr:uid="{00000000-0005-0000-0000-00008C800000}"/>
    <cellStyle name="Title 9 2 3" xfId="32849" xr:uid="{00000000-0005-0000-0000-00008D800000}"/>
    <cellStyle name="Title 9 3" xfId="10445" xr:uid="{00000000-0005-0000-0000-00008E800000}"/>
    <cellStyle name="Title 9 4" xfId="32848" xr:uid="{00000000-0005-0000-0000-00008F800000}"/>
    <cellStyle name="Total" xfId="26" builtinId="25" customBuiltin="1"/>
    <cellStyle name="Total 10" xfId="8591" xr:uid="{00000000-0005-0000-0000-000091800000}"/>
    <cellStyle name="Total 10 2" xfId="8752" xr:uid="{00000000-0005-0000-0000-000092800000}"/>
    <cellStyle name="Total 10 3" xfId="32850" xr:uid="{00000000-0005-0000-0000-000093800000}"/>
    <cellStyle name="Total 11" xfId="8592" xr:uid="{00000000-0005-0000-0000-000094800000}"/>
    <cellStyle name="Total 11 2" xfId="8753" xr:uid="{00000000-0005-0000-0000-000095800000}"/>
    <cellStyle name="Total 11 3" xfId="32851" xr:uid="{00000000-0005-0000-0000-000096800000}"/>
    <cellStyle name="Total 12" xfId="8593" xr:uid="{00000000-0005-0000-0000-000097800000}"/>
    <cellStyle name="Total 12 2" xfId="8754" xr:uid="{00000000-0005-0000-0000-000098800000}"/>
    <cellStyle name="Total 12 3" xfId="32852" xr:uid="{00000000-0005-0000-0000-000099800000}"/>
    <cellStyle name="Total 13" xfId="8594" xr:uid="{00000000-0005-0000-0000-00009A800000}"/>
    <cellStyle name="Total 13 2" xfId="8755" xr:uid="{00000000-0005-0000-0000-00009B800000}"/>
    <cellStyle name="Total 13 3" xfId="32853" xr:uid="{00000000-0005-0000-0000-00009C800000}"/>
    <cellStyle name="Total 14" xfId="8595" xr:uid="{00000000-0005-0000-0000-00009D800000}"/>
    <cellStyle name="Total 14 2" xfId="8756" xr:uid="{00000000-0005-0000-0000-00009E800000}"/>
    <cellStyle name="Total 14 3" xfId="32854" xr:uid="{00000000-0005-0000-0000-00009F800000}"/>
    <cellStyle name="Total 15" xfId="8596" xr:uid="{00000000-0005-0000-0000-0000A0800000}"/>
    <cellStyle name="Total 15 2" xfId="8757" xr:uid="{00000000-0005-0000-0000-0000A1800000}"/>
    <cellStyle name="Total 15 3" xfId="32855" xr:uid="{00000000-0005-0000-0000-0000A2800000}"/>
    <cellStyle name="Total 16" xfId="8597" xr:uid="{00000000-0005-0000-0000-0000A3800000}"/>
    <cellStyle name="Total 16 2" xfId="8758" xr:uid="{00000000-0005-0000-0000-0000A4800000}"/>
    <cellStyle name="Total 16 3" xfId="32856" xr:uid="{00000000-0005-0000-0000-0000A5800000}"/>
    <cellStyle name="Total 17" xfId="8598" xr:uid="{00000000-0005-0000-0000-0000A6800000}"/>
    <cellStyle name="Total 17 2" xfId="8759" xr:uid="{00000000-0005-0000-0000-0000A7800000}"/>
    <cellStyle name="Total 17 3" xfId="32857" xr:uid="{00000000-0005-0000-0000-0000A8800000}"/>
    <cellStyle name="Total 18" xfId="8599" xr:uid="{00000000-0005-0000-0000-0000A9800000}"/>
    <cellStyle name="Total 18 2" xfId="8760" xr:uid="{00000000-0005-0000-0000-0000AA800000}"/>
    <cellStyle name="Total 18 3" xfId="32858" xr:uid="{00000000-0005-0000-0000-0000AB800000}"/>
    <cellStyle name="Total 19" xfId="8600" xr:uid="{00000000-0005-0000-0000-0000AC800000}"/>
    <cellStyle name="Total 19 2" xfId="8761" xr:uid="{00000000-0005-0000-0000-0000AD800000}"/>
    <cellStyle name="Total 19 3" xfId="32859" xr:uid="{00000000-0005-0000-0000-0000AE800000}"/>
    <cellStyle name="Total 2" xfId="8601" xr:uid="{00000000-0005-0000-0000-0000AF800000}"/>
    <cellStyle name="Total 2 10" xfId="8602" xr:uid="{00000000-0005-0000-0000-0000B0800000}"/>
    <cellStyle name="Total 2 10 2" xfId="8603" xr:uid="{00000000-0005-0000-0000-0000B1800000}"/>
    <cellStyle name="Total 2 10 2 2" xfId="17355" xr:uid="{00000000-0005-0000-0000-0000B2800000}"/>
    <cellStyle name="Total 2 10 2 3" xfId="32862" xr:uid="{00000000-0005-0000-0000-0000B3800000}"/>
    <cellStyle name="Total 2 10 3" xfId="8762" xr:uid="{00000000-0005-0000-0000-0000B4800000}"/>
    <cellStyle name="Total 2 10 4" xfId="10446" xr:uid="{00000000-0005-0000-0000-0000B5800000}"/>
    <cellStyle name="Total 2 10 5" xfId="32861" xr:uid="{00000000-0005-0000-0000-0000B6800000}"/>
    <cellStyle name="Total 2 11" xfId="8604" xr:uid="{00000000-0005-0000-0000-0000B7800000}"/>
    <cellStyle name="Total 2 11 2" xfId="8605" xr:uid="{00000000-0005-0000-0000-0000B8800000}"/>
    <cellStyle name="Total 2 11 2 2" xfId="17356" xr:uid="{00000000-0005-0000-0000-0000B9800000}"/>
    <cellStyle name="Total 2 11 2 3" xfId="32864" xr:uid="{00000000-0005-0000-0000-0000BA800000}"/>
    <cellStyle name="Total 2 11 3" xfId="8763" xr:uid="{00000000-0005-0000-0000-0000BB800000}"/>
    <cellStyle name="Total 2 11 4" xfId="10447" xr:uid="{00000000-0005-0000-0000-0000BC800000}"/>
    <cellStyle name="Total 2 11 5" xfId="32863" xr:uid="{00000000-0005-0000-0000-0000BD800000}"/>
    <cellStyle name="Total 2 12" xfId="8606" xr:uid="{00000000-0005-0000-0000-0000BE800000}"/>
    <cellStyle name="Total 2 12 2" xfId="8607" xr:uid="{00000000-0005-0000-0000-0000BF800000}"/>
    <cellStyle name="Total 2 12 2 2" xfId="17357" xr:uid="{00000000-0005-0000-0000-0000C0800000}"/>
    <cellStyle name="Total 2 12 2 3" xfId="32866" xr:uid="{00000000-0005-0000-0000-0000C1800000}"/>
    <cellStyle name="Total 2 12 3" xfId="8764" xr:uid="{00000000-0005-0000-0000-0000C2800000}"/>
    <cellStyle name="Total 2 12 4" xfId="10448" xr:uid="{00000000-0005-0000-0000-0000C3800000}"/>
    <cellStyle name="Total 2 12 5" xfId="32865" xr:uid="{00000000-0005-0000-0000-0000C4800000}"/>
    <cellStyle name="Total 2 13" xfId="8608" xr:uid="{00000000-0005-0000-0000-0000C5800000}"/>
    <cellStyle name="Total 2 13 2" xfId="8609" xr:uid="{00000000-0005-0000-0000-0000C6800000}"/>
    <cellStyle name="Total 2 13 2 2" xfId="17358" xr:uid="{00000000-0005-0000-0000-0000C7800000}"/>
    <cellStyle name="Total 2 13 2 3" xfId="32868" xr:uid="{00000000-0005-0000-0000-0000C8800000}"/>
    <cellStyle name="Total 2 13 3" xfId="8765" xr:uid="{00000000-0005-0000-0000-0000C9800000}"/>
    <cellStyle name="Total 2 13 4" xfId="10449" xr:uid="{00000000-0005-0000-0000-0000CA800000}"/>
    <cellStyle name="Total 2 13 5" xfId="32867" xr:uid="{00000000-0005-0000-0000-0000CB800000}"/>
    <cellStyle name="Total 2 14" xfId="8610" xr:uid="{00000000-0005-0000-0000-0000CC800000}"/>
    <cellStyle name="Total 2 14 2" xfId="8611" xr:uid="{00000000-0005-0000-0000-0000CD800000}"/>
    <cellStyle name="Total 2 14 2 2" xfId="15801" xr:uid="{00000000-0005-0000-0000-0000CE800000}"/>
    <cellStyle name="Total 2 14 2 3" xfId="32870" xr:uid="{00000000-0005-0000-0000-0000CF800000}"/>
    <cellStyle name="Total 2 14 3" xfId="8612" xr:uid="{00000000-0005-0000-0000-0000D0800000}"/>
    <cellStyle name="Total 2 14 3 2" xfId="17367" xr:uid="{00000000-0005-0000-0000-0000D1800000}"/>
    <cellStyle name="Total 2 14 3 3" xfId="32871" xr:uid="{00000000-0005-0000-0000-0000D2800000}"/>
    <cellStyle name="Total 2 14 4" xfId="8766" xr:uid="{00000000-0005-0000-0000-0000D3800000}"/>
    <cellStyle name="Total 2 14 5" xfId="10502" xr:uid="{00000000-0005-0000-0000-0000D4800000}"/>
    <cellStyle name="Total 2 14 6" xfId="32869" xr:uid="{00000000-0005-0000-0000-0000D5800000}"/>
    <cellStyle name="Total 2 15" xfId="8613" xr:uid="{00000000-0005-0000-0000-0000D6800000}"/>
    <cellStyle name="Total 2 15 2" xfId="8767" xr:uid="{00000000-0005-0000-0000-0000D7800000}"/>
    <cellStyle name="Total 2 15 3" xfId="32872" xr:uid="{00000000-0005-0000-0000-0000D8800000}"/>
    <cellStyle name="Total 2 16" xfId="8614" xr:uid="{00000000-0005-0000-0000-0000D9800000}"/>
    <cellStyle name="Total 2 16 2" xfId="8768" xr:uid="{00000000-0005-0000-0000-0000DA800000}"/>
    <cellStyle name="Total 2 16 3" xfId="32873" xr:uid="{00000000-0005-0000-0000-0000DB800000}"/>
    <cellStyle name="Total 2 17" xfId="8615" xr:uid="{00000000-0005-0000-0000-0000DC800000}"/>
    <cellStyle name="Total 2 17 2" xfId="8769" xr:uid="{00000000-0005-0000-0000-0000DD800000}"/>
    <cellStyle name="Total 2 17 3" xfId="32874" xr:uid="{00000000-0005-0000-0000-0000DE800000}"/>
    <cellStyle name="Total 2 18" xfId="8616" xr:uid="{00000000-0005-0000-0000-0000DF800000}"/>
    <cellStyle name="Total 2 18 2" xfId="8770" xr:uid="{00000000-0005-0000-0000-0000E0800000}"/>
    <cellStyle name="Total 2 18 3" xfId="32875" xr:uid="{00000000-0005-0000-0000-0000E1800000}"/>
    <cellStyle name="Total 2 19" xfId="8700" xr:uid="{00000000-0005-0000-0000-0000E2800000}"/>
    <cellStyle name="Total 2 2" xfId="8617" xr:uid="{00000000-0005-0000-0000-0000E3800000}"/>
    <cellStyle name="Total 2 2 2" xfId="8618" xr:uid="{00000000-0005-0000-0000-0000E4800000}"/>
    <cellStyle name="Total 2 2 2 2" xfId="10451" xr:uid="{00000000-0005-0000-0000-0000E5800000}"/>
    <cellStyle name="Total 2 2 2 3" xfId="32877" xr:uid="{00000000-0005-0000-0000-0000E6800000}"/>
    <cellStyle name="Total 2 2 3" xfId="8619" xr:uid="{00000000-0005-0000-0000-0000E7800000}"/>
    <cellStyle name="Total 2 2 3 2" xfId="8620" xr:uid="{00000000-0005-0000-0000-0000E8800000}"/>
    <cellStyle name="Total 2 2 3 2 2" xfId="15802" xr:uid="{00000000-0005-0000-0000-0000E9800000}"/>
    <cellStyle name="Total 2 2 3 2 3" xfId="32879" xr:uid="{00000000-0005-0000-0000-0000EA800000}"/>
    <cellStyle name="Total 2 2 3 3" xfId="11734" xr:uid="{00000000-0005-0000-0000-0000EB800000}"/>
    <cellStyle name="Total 2 2 3 4" xfId="32878" xr:uid="{00000000-0005-0000-0000-0000EC800000}"/>
    <cellStyle name="Total 2 2 4" xfId="8621" xr:uid="{00000000-0005-0000-0000-0000ED800000}"/>
    <cellStyle name="Total 2 2 4 2" xfId="12102" xr:uid="{00000000-0005-0000-0000-0000EE800000}"/>
    <cellStyle name="Total 2 2 4 3" xfId="32880" xr:uid="{00000000-0005-0000-0000-0000EF800000}"/>
    <cellStyle name="Total 2 2 5" xfId="8622" xr:uid="{00000000-0005-0000-0000-0000F0800000}"/>
    <cellStyle name="Total 2 2 5 2" xfId="17359" xr:uid="{00000000-0005-0000-0000-0000F1800000}"/>
    <cellStyle name="Total 2 2 5 3" xfId="32881" xr:uid="{00000000-0005-0000-0000-0000F2800000}"/>
    <cellStyle name="Total 2 2 6" xfId="8771" xr:uid="{00000000-0005-0000-0000-0000F3800000}"/>
    <cellStyle name="Total 2 2 7" xfId="10450" xr:uid="{00000000-0005-0000-0000-0000F4800000}"/>
    <cellStyle name="Total 2 2 8" xfId="32876" xr:uid="{00000000-0005-0000-0000-0000F5800000}"/>
    <cellStyle name="Total 2 20" xfId="32860" xr:uid="{00000000-0005-0000-0000-0000F6800000}"/>
    <cellStyle name="Total 2 21" xfId="33060" xr:uid="{00000000-0005-0000-0000-0000F7800000}"/>
    <cellStyle name="Total 2 3" xfId="8623" xr:uid="{00000000-0005-0000-0000-0000F8800000}"/>
    <cellStyle name="Total 2 3 2" xfId="8624" xr:uid="{00000000-0005-0000-0000-0000F9800000}"/>
    <cellStyle name="Total 2 3 2 2" xfId="10453" xr:uid="{00000000-0005-0000-0000-0000FA800000}"/>
    <cellStyle name="Total 2 3 2 3" xfId="32883" xr:uid="{00000000-0005-0000-0000-0000FB800000}"/>
    <cellStyle name="Total 2 3 3" xfId="8625" xr:uid="{00000000-0005-0000-0000-0000FC800000}"/>
    <cellStyle name="Total 2 3 3 2" xfId="17360" xr:uid="{00000000-0005-0000-0000-0000FD800000}"/>
    <cellStyle name="Total 2 3 3 3" xfId="32884" xr:uid="{00000000-0005-0000-0000-0000FE800000}"/>
    <cellStyle name="Total 2 3 4" xfId="8772" xr:uid="{00000000-0005-0000-0000-0000FF800000}"/>
    <cellStyle name="Total 2 3 5" xfId="10452" xr:uid="{00000000-0005-0000-0000-000000810000}"/>
    <cellStyle name="Total 2 3 6" xfId="32882" xr:uid="{00000000-0005-0000-0000-000001810000}"/>
    <cellStyle name="Total 2 4" xfId="8626" xr:uid="{00000000-0005-0000-0000-000002810000}"/>
    <cellStyle name="Total 2 4 2" xfId="8627" xr:uid="{00000000-0005-0000-0000-000003810000}"/>
    <cellStyle name="Total 2 4 2 2" xfId="10455" xr:uid="{00000000-0005-0000-0000-000004810000}"/>
    <cellStyle name="Total 2 4 2 3" xfId="32886" xr:uid="{00000000-0005-0000-0000-000005810000}"/>
    <cellStyle name="Total 2 4 3" xfId="8628" xr:uid="{00000000-0005-0000-0000-000006810000}"/>
    <cellStyle name="Total 2 4 3 2" xfId="17361" xr:uid="{00000000-0005-0000-0000-000007810000}"/>
    <cellStyle name="Total 2 4 3 3" xfId="32887" xr:uid="{00000000-0005-0000-0000-000008810000}"/>
    <cellStyle name="Total 2 4 4" xfId="8773" xr:uid="{00000000-0005-0000-0000-000009810000}"/>
    <cellStyle name="Total 2 4 5" xfId="10454" xr:uid="{00000000-0005-0000-0000-00000A810000}"/>
    <cellStyle name="Total 2 4 6" xfId="32885" xr:uid="{00000000-0005-0000-0000-00000B810000}"/>
    <cellStyle name="Total 2 5" xfId="8629" xr:uid="{00000000-0005-0000-0000-00000C810000}"/>
    <cellStyle name="Total 2 5 2" xfId="8630" xr:uid="{00000000-0005-0000-0000-00000D810000}"/>
    <cellStyle name="Total 2 5 2 2" xfId="13377" xr:uid="{00000000-0005-0000-0000-00000E810000}"/>
    <cellStyle name="Total 2 5 2 3" xfId="32889" xr:uid="{00000000-0005-0000-0000-00000F810000}"/>
    <cellStyle name="Total 2 5 3" xfId="8631" xr:uid="{00000000-0005-0000-0000-000010810000}"/>
    <cellStyle name="Total 2 5 3 2" xfId="13376" xr:uid="{00000000-0005-0000-0000-000011810000}"/>
    <cellStyle name="Total 2 5 3 3" xfId="32890" xr:uid="{00000000-0005-0000-0000-000012810000}"/>
    <cellStyle name="Total 2 5 4" xfId="8632" xr:uid="{00000000-0005-0000-0000-000013810000}"/>
    <cellStyle name="Total 2 5 4 2" xfId="17362" xr:uid="{00000000-0005-0000-0000-000014810000}"/>
    <cellStyle name="Total 2 5 4 3" xfId="32891" xr:uid="{00000000-0005-0000-0000-000015810000}"/>
    <cellStyle name="Total 2 5 5" xfId="8774" xr:uid="{00000000-0005-0000-0000-000016810000}"/>
    <cellStyle name="Total 2 5 6" xfId="10456" xr:uid="{00000000-0005-0000-0000-000017810000}"/>
    <cellStyle name="Total 2 5 7" xfId="32888" xr:uid="{00000000-0005-0000-0000-000018810000}"/>
    <cellStyle name="Total 2 6" xfId="8633" xr:uid="{00000000-0005-0000-0000-000019810000}"/>
    <cellStyle name="Total 2 6 2" xfId="8634" xr:uid="{00000000-0005-0000-0000-00001A810000}"/>
    <cellStyle name="Total 2 6 2 2" xfId="17363" xr:uid="{00000000-0005-0000-0000-00001B810000}"/>
    <cellStyle name="Total 2 6 2 3" xfId="32893" xr:uid="{00000000-0005-0000-0000-00001C810000}"/>
    <cellStyle name="Total 2 6 3" xfId="8775" xr:uid="{00000000-0005-0000-0000-00001D810000}"/>
    <cellStyle name="Total 2 6 4" xfId="10457" xr:uid="{00000000-0005-0000-0000-00001E810000}"/>
    <cellStyle name="Total 2 6 5" xfId="32892" xr:uid="{00000000-0005-0000-0000-00001F810000}"/>
    <cellStyle name="Total 2 7" xfId="8635" xr:uid="{00000000-0005-0000-0000-000020810000}"/>
    <cellStyle name="Total 2 7 2" xfId="8636" xr:uid="{00000000-0005-0000-0000-000021810000}"/>
    <cellStyle name="Total 2 7 2 2" xfId="10459" xr:uid="{00000000-0005-0000-0000-000022810000}"/>
    <cellStyle name="Total 2 7 2 3" xfId="32895" xr:uid="{00000000-0005-0000-0000-000023810000}"/>
    <cellStyle name="Total 2 7 3" xfId="8637" xr:uid="{00000000-0005-0000-0000-000024810000}"/>
    <cellStyle name="Total 2 7 3 2" xfId="17364" xr:uid="{00000000-0005-0000-0000-000025810000}"/>
    <cellStyle name="Total 2 7 3 3" xfId="32896" xr:uid="{00000000-0005-0000-0000-000026810000}"/>
    <cellStyle name="Total 2 7 4" xfId="8776" xr:uid="{00000000-0005-0000-0000-000027810000}"/>
    <cellStyle name="Total 2 7 5" xfId="10458" xr:uid="{00000000-0005-0000-0000-000028810000}"/>
    <cellStyle name="Total 2 7 6" xfId="32894" xr:uid="{00000000-0005-0000-0000-000029810000}"/>
    <cellStyle name="Total 2 8" xfId="8638" xr:uid="{00000000-0005-0000-0000-00002A810000}"/>
    <cellStyle name="Total 2 8 2" xfId="8639" xr:uid="{00000000-0005-0000-0000-00002B810000}"/>
    <cellStyle name="Total 2 8 2 2" xfId="17365" xr:uid="{00000000-0005-0000-0000-00002C810000}"/>
    <cellStyle name="Total 2 8 2 3" xfId="32898" xr:uid="{00000000-0005-0000-0000-00002D810000}"/>
    <cellStyle name="Total 2 8 3" xfId="8777" xr:uid="{00000000-0005-0000-0000-00002E810000}"/>
    <cellStyle name="Total 2 8 4" xfId="10460" xr:uid="{00000000-0005-0000-0000-00002F810000}"/>
    <cellStyle name="Total 2 8 5" xfId="32897" xr:uid="{00000000-0005-0000-0000-000030810000}"/>
    <cellStyle name="Total 2 9" xfId="8640" xr:uid="{00000000-0005-0000-0000-000031810000}"/>
    <cellStyle name="Total 2 9 2" xfId="8641" xr:uid="{00000000-0005-0000-0000-000032810000}"/>
    <cellStyle name="Total 2 9 2 2" xfId="17366" xr:uid="{00000000-0005-0000-0000-000033810000}"/>
    <cellStyle name="Total 2 9 2 3" xfId="32900" xr:uid="{00000000-0005-0000-0000-000034810000}"/>
    <cellStyle name="Total 2 9 3" xfId="8778" xr:uid="{00000000-0005-0000-0000-000035810000}"/>
    <cellStyle name="Total 2 9 4" xfId="10461" xr:uid="{00000000-0005-0000-0000-000036810000}"/>
    <cellStyle name="Total 2 9 5" xfId="32899" xr:uid="{00000000-0005-0000-0000-000037810000}"/>
    <cellStyle name="Total 20" xfId="8642" xr:uid="{00000000-0005-0000-0000-000038810000}"/>
    <cellStyle name="Total 20 2" xfId="8779" xr:uid="{00000000-0005-0000-0000-000039810000}"/>
    <cellStyle name="Total 20 3" xfId="32901" xr:uid="{00000000-0005-0000-0000-00003A810000}"/>
    <cellStyle name="Total 3" xfId="8643" xr:uid="{00000000-0005-0000-0000-00003B810000}"/>
    <cellStyle name="Total 3 2" xfId="8675" xr:uid="{00000000-0005-0000-0000-00003C810000}"/>
    <cellStyle name="Total 3 3" xfId="32902" xr:uid="{00000000-0005-0000-0000-00003D810000}"/>
    <cellStyle name="Total 3 4" xfId="33092" xr:uid="{00000000-0005-0000-0000-00003E810000}"/>
    <cellStyle name="Total 4" xfId="8644" xr:uid="{00000000-0005-0000-0000-00003F810000}"/>
    <cellStyle name="Total 4 2" xfId="8780" xr:uid="{00000000-0005-0000-0000-000040810000}"/>
    <cellStyle name="Total 4 3" xfId="32903" xr:uid="{00000000-0005-0000-0000-000041810000}"/>
    <cellStyle name="Total 5" xfId="8645" xr:uid="{00000000-0005-0000-0000-000042810000}"/>
    <cellStyle name="Total 5 2" xfId="8781" xr:uid="{00000000-0005-0000-0000-000043810000}"/>
    <cellStyle name="Total 5 3" xfId="32904" xr:uid="{00000000-0005-0000-0000-000044810000}"/>
    <cellStyle name="Total 6" xfId="8646" xr:uid="{00000000-0005-0000-0000-000045810000}"/>
    <cellStyle name="Total 6 2" xfId="8782" xr:uid="{00000000-0005-0000-0000-000046810000}"/>
    <cellStyle name="Total 6 3" xfId="32905" xr:uid="{00000000-0005-0000-0000-000047810000}"/>
    <cellStyle name="Total 7" xfId="8647" xr:uid="{00000000-0005-0000-0000-000048810000}"/>
    <cellStyle name="Total 7 2" xfId="8783" xr:uid="{00000000-0005-0000-0000-000049810000}"/>
    <cellStyle name="Total 7 3" xfId="32906" xr:uid="{00000000-0005-0000-0000-00004A810000}"/>
    <cellStyle name="Total 8" xfId="8648" xr:uid="{00000000-0005-0000-0000-00004B810000}"/>
    <cellStyle name="Total 8 2" xfId="8784" xr:uid="{00000000-0005-0000-0000-00004C810000}"/>
    <cellStyle name="Total 8 3" xfId="32907" xr:uid="{00000000-0005-0000-0000-00004D810000}"/>
    <cellStyle name="Total 9" xfId="8649" xr:uid="{00000000-0005-0000-0000-00004E810000}"/>
    <cellStyle name="Total 9 2" xfId="8785" xr:uid="{00000000-0005-0000-0000-00004F810000}"/>
    <cellStyle name="Total 9 3" xfId="32908" xr:uid="{00000000-0005-0000-0000-000050810000}"/>
    <cellStyle name="Warning Text" xfId="33034" builtinId="11" customBuiltin="1"/>
    <cellStyle name="Warning Text 2" xfId="8814" xr:uid="{00000000-0005-0000-0000-000052810000}"/>
    <cellStyle name="Warning Text 2 2" xfId="33057" xr:uid="{00000000-0005-0000-0000-000053810000}"/>
    <cellStyle name="Warning Text 3" xfId="32909" xr:uid="{00000000-0005-0000-0000-000054810000}"/>
    <cellStyle name="Warning Text 4" xfId="8650" xr:uid="{00000000-0005-0000-0000-000055810000}"/>
  </cellStyles>
  <dxfs count="113">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CCCCCC"/>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rgb="FFF0F0F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rgb="FFF0F0F0"/>
        </patternFill>
      </fill>
    </dxf>
    <dxf>
      <fill>
        <patternFill>
          <bgColor rgb="FFFF000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F000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indexed="42"/>
        </patternFill>
      </fill>
    </dxf>
    <dxf>
      <font>
        <b/>
        <i val="0"/>
      </font>
      <fill>
        <patternFill>
          <bgColor rgb="FFFF9999"/>
        </patternFill>
      </fill>
    </dxf>
    <dxf>
      <font>
        <b/>
        <i val="0"/>
      </font>
      <fill>
        <patternFill>
          <bgColor rgb="FFFF9999"/>
        </patternFill>
      </fill>
    </dxf>
    <dxf>
      <font>
        <b/>
        <i val="0"/>
      </font>
      <fill>
        <patternFill patternType="none">
          <bgColor auto="1"/>
        </patternFill>
      </fill>
    </dxf>
    <dxf>
      <fill>
        <patternFill>
          <bgColor rgb="FFF0F0F0"/>
        </patternFill>
      </fill>
    </dxf>
    <dxf>
      <font>
        <b/>
        <i val="0"/>
      </font>
      <border>
        <left style="thin">
          <color auto="1"/>
        </left>
        <right style="thin">
          <color auto="1"/>
        </right>
        <top style="thin">
          <color auto="1"/>
        </top>
        <bottom style="thin">
          <color auto="1"/>
        </bottom>
      </border>
    </dxf>
    <dxf>
      <fill>
        <patternFill>
          <bgColor rgb="FFF0F0F0"/>
        </patternFill>
      </fill>
    </dxf>
    <dxf>
      <fill>
        <patternFill>
          <bgColor indexed="42"/>
        </patternFill>
      </fill>
    </dxf>
    <dxf>
      <fill>
        <patternFill>
          <bgColor indexed="22"/>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rgb="FFCCCCCC"/>
        </patternFill>
      </fill>
    </dxf>
    <dxf>
      <fill>
        <patternFill>
          <bgColor rgb="FFCCCCCC"/>
        </patternFill>
      </fill>
    </dxf>
    <dxf>
      <fill>
        <patternFill>
          <bgColor rgb="FFCCCCCC"/>
        </patternFill>
      </fill>
    </dxf>
    <dxf>
      <fill>
        <patternFill>
          <bgColor indexed="22"/>
        </patternFill>
      </fill>
    </dxf>
    <dxf>
      <fill>
        <patternFill>
          <bgColor indexed="42"/>
        </patternFill>
      </fill>
    </dxf>
    <dxf>
      <fill>
        <patternFill>
          <bgColor indexed="22"/>
        </patternFill>
      </fill>
    </dxf>
    <dxf>
      <fill>
        <patternFill>
          <bgColor indexed="2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9999"/>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Marketing Costs over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Marketing!$H$35:$N$35</c:f>
              <c:numCache>
                <c:formatCode>"SYE "General</c:formatCode>
                <c:ptCount val="7"/>
                <c:pt idx="0">
                  <c:v>2023</c:v>
                </c:pt>
                <c:pt idx="1">
                  <c:v>2024</c:v>
                </c:pt>
                <c:pt idx="2">
                  <c:v>2025</c:v>
                </c:pt>
                <c:pt idx="3">
                  <c:v>2026</c:v>
                </c:pt>
                <c:pt idx="4">
                  <c:v>2027</c:v>
                </c:pt>
                <c:pt idx="5">
                  <c:v>2028</c:v>
                </c:pt>
                <c:pt idx="6">
                  <c:v>2029</c:v>
                </c:pt>
              </c:numCache>
            </c:numRef>
          </c:cat>
          <c:val>
            <c:numRef>
              <c:f>Marketing!$H$45:$N$45</c:f>
              <c:numCache>
                <c:formatCode>0%;[Red]\(0%\);"-%"</c:formatCode>
                <c:ptCount val="7"/>
                <c:pt idx="0">
                  <c:v>0</c:v>
                </c:pt>
                <c:pt idx="1">
                  <c:v>0.18181818181818182</c:v>
                </c:pt>
                <c:pt idx="2">
                  <c:v>0.27272727272727271</c:v>
                </c:pt>
                <c:pt idx="3">
                  <c:v>0.13636363636363635</c:v>
                </c:pt>
                <c:pt idx="4">
                  <c:v>0.13636363636363635</c:v>
                </c:pt>
                <c:pt idx="5">
                  <c:v>0.13636363636363635</c:v>
                </c:pt>
                <c:pt idx="6">
                  <c:v>0.13636363636363635</c:v>
                </c:pt>
              </c:numCache>
            </c:numRef>
          </c:val>
          <c:extLst>
            <c:ext xmlns:c16="http://schemas.microsoft.com/office/drawing/2014/chart" uri="{C3380CC4-5D6E-409C-BE32-E72D297353CC}">
              <c16:uniqueId val="{00000000-5CB2-48AE-9193-C06B0AC357F4}"/>
            </c:ext>
          </c:extLst>
        </c:ser>
        <c:dLbls>
          <c:showLegendKey val="0"/>
          <c:showVal val="0"/>
          <c:showCatName val="0"/>
          <c:showSerName val="0"/>
          <c:showPercent val="0"/>
          <c:showBubbleSize val="0"/>
        </c:dLbls>
        <c:gapWidth val="219"/>
        <c:overlap val="-27"/>
        <c:axId val="609338608"/>
        <c:axId val="609337296"/>
      </c:barChart>
      <c:catAx>
        <c:axId val="609338608"/>
        <c:scaling>
          <c:orientation val="minMax"/>
        </c:scaling>
        <c:delete val="0"/>
        <c:axPos val="b"/>
        <c:numFmt formatCode="&quot;SYE &quot;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7296"/>
        <c:crosses val="autoZero"/>
        <c:auto val="1"/>
        <c:lblAlgn val="ctr"/>
        <c:lblOffset val="100"/>
        <c:noMultiLvlLbl val="0"/>
      </c:catAx>
      <c:valAx>
        <c:axId val="609337296"/>
        <c:scaling>
          <c:orientation val="minMax"/>
        </c:scaling>
        <c:delete val="0"/>
        <c:axPos val="l"/>
        <c:majorGridlines>
          <c:spPr>
            <a:ln w="9525" cap="flat" cmpd="sng" algn="ctr">
              <a:solidFill>
                <a:schemeClr val="tx1">
                  <a:lumMod val="15000"/>
                  <a:lumOff val="85000"/>
                </a:schemeClr>
              </a:solidFill>
              <a:round/>
            </a:ln>
            <a:effectLst/>
          </c:spPr>
        </c:majorGridlines>
        <c:numFmt formatCode="0%;[Red]\(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8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hyperlink" Target="https://tax.nv.gov/LocalGovt/PolicyPub/ArchiveFiles/PersonalPropertyManual/2020-2021_Personal_Property_Manual_rev_03282019/" TargetMode="External"/></Relationships>
</file>

<file path=xl/drawings/drawing1.xml><?xml version="1.0" encoding="utf-8"?>
<xdr:wsDr xmlns:xdr="http://schemas.openxmlformats.org/drawingml/2006/spreadsheetDrawing" xmlns:a="http://schemas.openxmlformats.org/drawingml/2006/main">
  <xdr:twoCellAnchor>
    <xdr:from>
      <xdr:col>7</xdr:col>
      <xdr:colOff>625668</xdr:colOff>
      <xdr:row>92</xdr:row>
      <xdr:rowOff>133350</xdr:rowOff>
    </xdr:from>
    <xdr:to>
      <xdr:col>8</xdr:col>
      <xdr:colOff>1353545</xdr:colOff>
      <xdr:row>100</xdr:row>
      <xdr:rowOff>98231</xdr:rowOff>
    </xdr:to>
    <xdr:sp macro="" textlink="">
      <xdr:nvSpPr>
        <xdr:cNvPr id="2" name="TextBox 1">
          <a:extLst>
            <a:ext uri="{FF2B5EF4-FFF2-40B4-BE49-F238E27FC236}">
              <a16:creationId xmlns:a16="http://schemas.microsoft.com/office/drawing/2014/main" id="{1334E5A0-3049-4880-A491-B51E80F9CCAF}"/>
            </a:ext>
          </a:extLst>
        </xdr:cNvPr>
        <xdr:cNvSpPr txBox="1"/>
      </xdr:nvSpPr>
      <xdr:spPr>
        <a:xfrm>
          <a:off x="8760018" y="15039975"/>
          <a:ext cx="2166152" cy="1165031"/>
        </a:xfrm>
        <a:prstGeom prst="rect">
          <a:avLst/>
        </a:prstGeom>
        <a:solidFill>
          <a:srgbClr xmlns:mc="http://schemas.openxmlformats.org/markup-compatibility/2006" xmlns:a14="http://schemas.microsoft.com/office/drawing/2010/main" val="FFFF99" mc:Ignorable="a14" a14:legacySpreadsheetColorIndex="4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Overwrite your inputs to the left.  These assumptions are provided as examples only.  They</a:t>
          </a:r>
          <a:r>
            <a:rPr lang="en-US" sz="1100" baseline="0"/>
            <a:t> </a:t>
          </a:r>
          <a:r>
            <a:rPr lang="en-US" sz="1100"/>
            <a:t>are those that other schools have used. They may not be applicable to your situation.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85725</xdr:colOff>
      <xdr:row>51</xdr:row>
      <xdr:rowOff>180975</xdr:rowOff>
    </xdr:from>
    <xdr:to>
      <xdr:col>12</xdr:col>
      <xdr:colOff>733425</xdr:colOff>
      <xdr:row>73</xdr:row>
      <xdr:rowOff>11206</xdr:rowOff>
    </xdr:to>
    <xdr:sp macro="" textlink="">
      <xdr:nvSpPr>
        <xdr:cNvPr id="3" name="TextBox 2">
          <a:extLst>
            <a:ext uri="{FF2B5EF4-FFF2-40B4-BE49-F238E27FC236}">
              <a16:creationId xmlns:a16="http://schemas.microsoft.com/office/drawing/2014/main" id="{EE61AF48-7033-4E02-B3E1-47F6974AFA13}"/>
            </a:ext>
          </a:extLst>
        </xdr:cNvPr>
        <xdr:cNvSpPr txBox="1"/>
      </xdr:nvSpPr>
      <xdr:spPr>
        <a:xfrm>
          <a:off x="7828990" y="9134475"/>
          <a:ext cx="7808259" cy="4021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PERS,</a:t>
          </a:r>
          <a:r>
            <a:rPr lang="en-US" sz="1100" baseline="0">
              <a:solidFill>
                <a:schemeClr val="dk1"/>
              </a:solidFill>
              <a:effectLst/>
              <a:latin typeface="+mn-lt"/>
              <a:ea typeface="+mn-ea"/>
              <a:cs typeface="+mn-cs"/>
            </a:rPr>
            <a:t> 7</a:t>
          </a:r>
          <a:r>
            <a:rPr lang="en-US" sz="1100">
              <a:solidFill>
                <a:schemeClr val="dk1"/>
              </a:solidFill>
              <a:effectLst/>
              <a:latin typeface="+mn-lt"/>
              <a:ea typeface="+mn-ea"/>
              <a:cs typeface="+mn-cs"/>
            </a:rPr>
            <a:t>/10/2020 :</a:t>
          </a:r>
          <a:endParaRPr lang="en-US">
            <a:effectLst/>
          </a:endParaRPr>
        </a:p>
        <a:p>
          <a:r>
            <a:rPr lang="en-US" sz="1100">
              <a:solidFill>
                <a:schemeClr val="dk1"/>
              </a:solidFill>
              <a:effectLst/>
              <a:latin typeface="+mn-lt"/>
              <a:ea typeface="+mn-ea"/>
              <a:cs typeface="+mn-cs"/>
            </a:rPr>
            <a:t>* Charter Schools are Choice agencies so all PERS eligible employees would have the option to select the Employer paid or the Employee/Employer paid contribution plan if the employee has never selected the Employer paid plan in the past at a choice employer.</a:t>
          </a:r>
        </a:p>
        <a:p>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some School Districts their Certified employees are Non Choice and must be reported under the Employer Paid plan, and their non certified staff for some Districts do have a choice of plans. I believe the certified/ non certified would apply more to the School Districts in the State, and not the Charter Schools.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4/14/2020 :</a:t>
          </a:r>
        </a:p>
        <a:p>
          <a:pPr eaLnBrk="1" fontAlgn="auto" latinLnBrk="0" hangingPunct="1"/>
          <a:r>
            <a:rPr lang="en-US" sz="1100">
              <a:solidFill>
                <a:schemeClr val="dk1"/>
              </a:solidFill>
              <a:effectLst/>
              <a:latin typeface="+mn-lt"/>
              <a:ea typeface="+mn-ea"/>
              <a:cs typeface="+mn-cs"/>
            </a:rPr>
            <a:t>* The Employer Paid rate is 29.25% and the Employee/ Employer Paid plan is 15.25% for the EE and 15.25% for the Employer.</a:t>
          </a:r>
        </a:p>
        <a:p>
          <a:r>
            <a:rPr lang="en-US" sz="1100" b="0" i="0">
              <a:solidFill>
                <a:schemeClr val="dk1"/>
              </a:solidFill>
              <a:effectLst/>
              <a:latin typeface="+mn-lt"/>
              <a:ea typeface="+mn-ea"/>
              <a:cs typeface="+mn-cs"/>
            </a:rPr>
            <a:t>PERS rate change, 7/12/2021</a:t>
          </a:r>
        </a:p>
        <a:p>
          <a:r>
            <a:rPr lang="en-US"/>
            <a:t>THE CONTRIBUTION RATE FOR MEMBERS OF THE RETIREMENT SYSTEM WHO ELECT EMPLOYEE/EMPLOYER PAY CONTRIBUTION PLAN IS 15.50%. </a:t>
          </a:r>
          <a:r>
            <a:rPr lang="en-US" sz="1100" b="0" i="0">
              <a:solidFill>
                <a:schemeClr val="dk1"/>
              </a:solidFill>
              <a:effectLst/>
              <a:latin typeface="+mn-lt"/>
              <a:ea typeface="+mn-ea"/>
              <a:cs typeface="+mn-cs"/>
            </a:rPr>
            <a:t> </a:t>
          </a:r>
        </a:p>
        <a:p>
          <a:pPr eaLnBrk="1" fontAlgn="auto" latinLnBrk="0" hangingPunct="1"/>
          <a:endParaRPr lang="en-US">
            <a:effectLst/>
          </a:endParaRPr>
        </a:p>
        <a:p>
          <a:endParaRPr lang="en-US">
            <a:effectLst/>
          </a:endParaRPr>
        </a:p>
        <a:p>
          <a:r>
            <a:rPr lang="en-US">
              <a:hlinkClick xmlns:r="http://schemas.openxmlformats.org/officeDocument/2006/relationships" r:id=""/>
            </a:rPr>
            <a:t>https://www.nvpers.org/public/employers/PERS%20Official%20Policies.pdf</a:t>
          </a:r>
          <a:endParaRPr lang="en-US">
            <a:effectLst/>
          </a:endParaRPr>
        </a:p>
        <a:p>
          <a:endParaRPr lang="en-US">
            <a:effectLst/>
          </a:endParaRPr>
        </a:p>
        <a:p>
          <a:r>
            <a:rPr lang="en-US"/>
            <a:t>CONTRIBUTION PLAN ELECTION 286.200 3.44 New hires after January 1, 1991, of the employee groups enumerated in Policy 3.24 shall have the option to: a. Contribute under the employee/employer contribution plan, or b. Contribute under the employer-pay contribution plan. 286.200 3.45 New hires under Policy 3.44 who elect to contribute under the employee/employer contribution plan may: a. At any time after their date of hire, elect to contribute under the employer-pay contribution plan but, b. Once they elect to contribute under the employer-pay contribution plan may not thereafter revert to the employee/employer contribution plan. 286.200 3.46 New hires failing to make an election to contribute under either the employee/employer contribution plan or the employer-pay contribution plan under Policy 3.44 shall be enrolled in the employee/employer contribution plan. </a:t>
          </a:r>
          <a:endParaRPr lang="en-US"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351075</xdr:colOff>
      <xdr:row>53</xdr:row>
      <xdr:rowOff>152288</xdr:rowOff>
    </xdr:from>
    <xdr:to>
      <xdr:col>5</xdr:col>
      <xdr:colOff>425530</xdr:colOff>
      <xdr:row>98</xdr:row>
      <xdr:rowOff>88375</xdr:rowOff>
    </xdr:to>
    <xdr:sp macro="" textlink="">
      <xdr:nvSpPr>
        <xdr:cNvPr id="2" name="TextBox 1">
          <a:extLst>
            <a:ext uri="{FF2B5EF4-FFF2-40B4-BE49-F238E27FC236}">
              <a16:creationId xmlns:a16="http://schemas.microsoft.com/office/drawing/2014/main" id="{240D1027-C1D0-47E6-B105-8D66286594A0}"/>
            </a:ext>
          </a:extLst>
        </xdr:cNvPr>
        <xdr:cNvSpPr txBox="1"/>
      </xdr:nvSpPr>
      <xdr:spPr>
        <a:xfrm>
          <a:off x="351075" y="10147935"/>
          <a:ext cx="6338543" cy="7500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NAC 388A.190</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Provision and maintenance of industrial and general liability insurance coverage. (</a:t>
          </a:r>
          <a:r>
            <a:rPr lang="en-US" sz="1100" u="sng">
              <a:solidFill>
                <a:schemeClr val="dk1"/>
              </a:solidFill>
              <a:effectLst/>
              <a:latin typeface="+mn-lt"/>
              <a:ea typeface="+mn-ea"/>
              <a:cs typeface="+mn-cs"/>
              <a:hlinkClick xmlns:r="http://schemas.openxmlformats.org/officeDocument/2006/relationships" r:id=""/>
            </a:rPr>
            <a:t>NRS 385.080</a:t>
          </a:r>
          <a:r>
            <a:rPr lang="en-US" sz="1100" b="1">
              <a:solidFill>
                <a:schemeClr val="dk1"/>
              </a:solidFill>
              <a:effectLst/>
              <a:latin typeface="+mn-lt"/>
              <a:ea typeface="+mn-ea"/>
              <a:cs typeface="+mn-cs"/>
            </a:rPr>
            <a:t>, </a:t>
          </a:r>
          <a:r>
            <a:rPr lang="en-US" sz="1100" u="sng">
              <a:solidFill>
                <a:schemeClr val="dk1"/>
              </a:solidFill>
              <a:effectLst/>
              <a:latin typeface="+mn-lt"/>
              <a:ea typeface="+mn-ea"/>
              <a:cs typeface="+mn-cs"/>
              <a:hlinkClick xmlns:r="http://schemas.openxmlformats.org/officeDocument/2006/relationships" r:id=""/>
            </a:rPr>
            <a:t>388A.110</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1.  Except as otherwise provided in subsection 4 of </a:t>
          </a:r>
          <a:r>
            <a:rPr lang="en-US" sz="1100" u="sng">
              <a:solidFill>
                <a:schemeClr val="dk1"/>
              </a:solidFill>
              <a:effectLst/>
              <a:latin typeface="+mn-lt"/>
              <a:ea typeface="+mn-ea"/>
              <a:cs typeface="+mn-cs"/>
              <a:hlinkClick xmlns:r="http://schemas.openxmlformats.org/officeDocument/2006/relationships" r:id=""/>
            </a:rPr>
            <a:t>NAC 388A.140</a:t>
          </a:r>
          <a:r>
            <a:rPr lang="en-US" sz="1100">
              <a:solidFill>
                <a:schemeClr val="dk1"/>
              </a:solidFill>
              <a:effectLst/>
              <a:latin typeface="+mn-lt"/>
              <a:ea typeface="+mn-ea"/>
              <a:cs typeface="+mn-cs"/>
            </a:rPr>
            <a:t>, a committee to form a charter school shall obtain insurance from an authorized insurer as follows:</a:t>
          </a:r>
        </a:p>
        <a:p>
          <a:r>
            <a:rPr lang="en-US" sz="1100">
              <a:solidFill>
                <a:schemeClr val="dk1"/>
              </a:solidFill>
              <a:effectLst/>
              <a:latin typeface="+mn-lt"/>
              <a:ea typeface="+mn-ea"/>
              <a:cs typeface="+mn-cs"/>
            </a:rPr>
            <a:t>     (a) Industrial insurance coverage in accordance with the applicable provisions of the Nevada Industrial Insurance Act, </a:t>
          </a:r>
          <a:r>
            <a:rPr lang="en-US" sz="1100" u="sng">
              <a:solidFill>
                <a:schemeClr val="dk1"/>
              </a:solidFill>
              <a:effectLst/>
              <a:latin typeface="+mn-lt"/>
              <a:ea typeface="+mn-ea"/>
              <a:cs typeface="+mn-cs"/>
              <a:hlinkClick xmlns:r="http://schemas.openxmlformats.org/officeDocument/2006/relationships" r:id=""/>
            </a:rPr>
            <a:t>chapters 616A</a:t>
          </a:r>
          <a:r>
            <a:rPr lang="en-US" sz="1100">
              <a:solidFill>
                <a:schemeClr val="dk1"/>
              </a:solidFill>
              <a:effectLst/>
              <a:latin typeface="+mn-lt"/>
              <a:ea typeface="+mn-ea"/>
              <a:cs typeface="+mn-cs"/>
            </a:rPr>
            <a:t> to </a:t>
          </a:r>
          <a:r>
            <a:rPr lang="en-US" sz="1100" u="sng">
              <a:solidFill>
                <a:schemeClr val="dk1"/>
              </a:solidFill>
              <a:effectLst/>
              <a:latin typeface="+mn-lt"/>
              <a:ea typeface="+mn-ea"/>
              <a:cs typeface="+mn-cs"/>
              <a:hlinkClick xmlns:r="http://schemas.openxmlformats.org/officeDocument/2006/relationships" r:id=""/>
            </a:rPr>
            <a:t>616D</a:t>
          </a:r>
          <a:r>
            <a:rPr lang="en-US" sz="1100">
              <a:solidFill>
                <a:schemeClr val="dk1"/>
              </a:solidFill>
              <a:effectLst/>
              <a:latin typeface="+mn-lt"/>
              <a:ea typeface="+mn-ea"/>
              <a:cs typeface="+mn-cs"/>
            </a:rPr>
            <a:t>, inclusive, of NRS.</a:t>
          </a:r>
        </a:p>
        <a:p>
          <a:r>
            <a:rPr lang="en-US" sz="1100">
              <a:solidFill>
                <a:schemeClr val="dk1"/>
              </a:solidFill>
              <a:effectLst/>
              <a:latin typeface="+mn-lt"/>
              <a:ea typeface="+mn-ea"/>
              <a:cs typeface="+mn-cs"/>
            </a:rPr>
            <a:t>     (b) Except as otherwise provided in subsection 2, </a:t>
          </a:r>
          <a:r>
            <a:rPr lang="en-US" sz="1100" b="0">
              <a:solidFill>
                <a:schemeClr val="dk1"/>
              </a:solidFill>
              <a:effectLst/>
              <a:latin typeface="+mn-lt"/>
              <a:ea typeface="+mn-ea"/>
              <a:cs typeface="+mn-cs"/>
            </a:rPr>
            <a:t>general liability</a:t>
          </a:r>
          <a:r>
            <a:rPr lang="en-US" sz="1100">
              <a:solidFill>
                <a:schemeClr val="dk1"/>
              </a:solidFill>
              <a:effectLst/>
              <a:latin typeface="+mn-lt"/>
              <a:ea typeface="+mn-ea"/>
              <a:cs typeface="+mn-cs"/>
            </a:rPr>
            <a:t> insurance with a minimum coverage of $1,000,000. The general liability insurance policy must include coverage for molestation and sexual abuse, and have a broad form policy, with the named insureds as follows:</a:t>
          </a:r>
        </a:p>
        <a:p>
          <a:r>
            <a:rPr lang="en-US" sz="1100">
              <a:solidFill>
                <a:schemeClr val="dk1"/>
              </a:solidFill>
              <a:effectLst/>
              <a:latin typeface="+mn-lt"/>
              <a:ea typeface="+mn-ea"/>
              <a:cs typeface="+mn-cs"/>
            </a:rPr>
            <a:t>          (1) The sponsor of the charter school;</a:t>
          </a:r>
        </a:p>
        <a:p>
          <a:r>
            <a:rPr lang="en-US" sz="1100">
              <a:solidFill>
                <a:schemeClr val="dk1"/>
              </a:solidFill>
              <a:effectLst/>
              <a:latin typeface="+mn-lt"/>
              <a:ea typeface="+mn-ea"/>
              <a:cs typeface="+mn-cs"/>
            </a:rPr>
            <a:t>          (2) All employees of the charter school, including, without limitation, former, present and future employees;</a:t>
          </a:r>
        </a:p>
        <a:p>
          <a:r>
            <a:rPr lang="en-US" sz="1100">
              <a:solidFill>
                <a:schemeClr val="dk1"/>
              </a:solidFill>
              <a:effectLst/>
              <a:latin typeface="+mn-lt"/>
              <a:ea typeface="+mn-ea"/>
              <a:cs typeface="+mn-cs"/>
            </a:rPr>
            <a:t>          (3) Volunteers at the charter school; and</a:t>
          </a:r>
        </a:p>
        <a:p>
          <a:r>
            <a:rPr lang="en-US" sz="1100">
              <a:solidFill>
                <a:schemeClr val="dk1"/>
              </a:solidFill>
              <a:effectLst/>
              <a:latin typeface="+mn-lt"/>
              <a:ea typeface="+mn-ea"/>
              <a:cs typeface="+mn-cs"/>
            </a:rPr>
            <a:t>          (4) </a:t>
          </a:r>
          <a:r>
            <a:rPr lang="en-US" sz="1100" b="0">
              <a:solidFill>
                <a:schemeClr val="dk1"/>
              </a:solidFill>
              <a:effectLst/>
              <a:latin typeface="+mn-lt"/>
              <a:ea typeface="+mn-ea"/>
              <a:cs typeface="+mn-cs"/>
            </a:rPr>
            <a:t>Directors </a:t>
          </a:r>
          <a:r>
            <a:rPr lang="en-US" sz="1100">
              <a:solidFill>
                <a:schemeClr val="dk1"/>
              </a:solidFill>
              <a:effectLst/>
              <a:latin typeface="+mn-lt"/>
              <a:ea typeface="+mn-ea"/>
              <a:cs typeface="+mn-cs"/>
            </a:rPr>
            <a:t>of the charter school, including, </a:t>
          </a:r>
          <a:r>
            <a:rPr lang="en-US" sz="1100" b="0">
              <a:solidFill>
                <a:schemeClr val="dk1"/>
              </a:solidFill>
              <a:effectLst/>
              <a:latin typeface="+mn-lt"/>
              <a:ea typeface="+mn-ea"/>
              <a:cs typeface="+mn-cs"/>
            </a:rPr>
            <a:t>without limitation, executive directors.</a:t>
          </a:r>
        </a:p>
        <a:p>
          <a:r>
            <a:rPr lang="en-US" sz="1100">
              <a:solidFill>
                <a:schemeClr val="dk1"/>
              </a:solidFill>
              <a:effectLst/>
              <a:latin typeface="+mn-lt"/>
              <a:ea typeface="+mn-ea"/>
              <a:cs typeface="+mn-cs"/>
            </a:rPr>
            <a:t>     (c) Umbrella liability insurance with a minimum coverage of $3,000,000.               </a:t>
          </a:r>
        </a:p>
        <a:p>
          <a:r>
            <a:rPr lang="en-US" sz="1100">
              <a:solidFill>
                <a:schemeClr val="dk1"/>
              </a:solidFill>
              <a:effectLst/>
              <a:latin typeface="+mn-lt"/>
              <a:ea typeface="+mn-ea"/>
              <a:cs typeface="+mn-cs"/>
            </a:rPr>
            <a:t>     (d) Educators’ legal liability insurance with a minimum coverage of $1,000,000.</a:t>
          </a:r>
        </a:p>
        <a:p>
          <a:r>
            <a:rPr lang="en-US" sz="1100">
              <a:solidFill>
                <a:schemeClr val="dk1"/>
              </a:solidFill>
              <a:effectLst/>
              <a:latin typeface="+mn-lt"/>
              <a:ea typeface="+mn-ea"/>
              <a:cs typeface="+mn-cs"/>
            </a:rPr>
            <a:t>     (e) Employment practices liability insurance with a minimum coverage of $1,000,000.</a:t>
          </a:r>
        </a:p>
        <a:p>
          <a:r>
            <a:rPr lang="en-US" sz="1100">
              <a:solidFill>
                <a:schemeClr val="dk1"/>
              </a:solidFill>
              <a:effectLst/>
              <a:latin typeface="+mn-lt"/>
              <a:ea typeface="+mn-ea"/>
              <a:cs typeface="+mn-cs"/>
            </a:rPr>
            <a:t>     (f) Employment benefits liability insurance with a minimum coverage of $1,000,000.</a:t>
          </a:r>
        </a:p>
        <a:p>
          <a:r>
            <a:rPr lang="en-US" sz="1100">
              <a:solidFill>
                <a:schemeClr val="dk1"/>
              </a:solidFill>
              <a:effectLst/>
              <a:latin typeface="+mn-lt"/>
              <a:ea typeface="+mn-ea"/>
              <a:cs typeface="+mn-cs"/>
            </a:rPr>
            <a:t>     (g) Insurance covering errors and omissions of the sponsor and governing body of the charter school with a minimum coverage of $1,000,000.</a:t>
          </a:r>
        </a:p>
        <a:p>
          <a:r>
            <a:rPr lang="en-US" sz="1100">
              <a:solidFill>
                <a:schemeClr val="dk1"/>
              </a:solidFill>
              <a:effectLst/>
              <a:latin typeface="+mn-lt"/>
              <a:ea typeface="+mn-ea"/>
              <a:cs typeface="+mn-cs"/>
            </a:rPr>
            <a:t>     (h) If applicable, motor vehicle liability insurance with a minimum coverage of $1,000,000.</a:t>
          </a:r>
        </a:p>
        <a:p>
          <a:r>
            <a:rPr lang="en-US" sz="1100">
              <a:solidFill>
                <a:schemeClr val="dk1"/>
              </a:solidFill>
              <a:effectLst/>
              <a:latin typeface="+mn-lt"/>
              <a:ea typeface="+mn-ea"/>
              <a:cs typeface="+mn-cs"/>
            </a:rPr>
            <a:t>     (i) If applicable, liability insurance for sports and athletic participation with a minimum coverage of $1,000,000.</a:t>
          </a:r>
        </a:p>
        <a:p>
          <a:r>
            <a:rPr lang="en-US" sz="1100">
              <a:solidFill>
                <a:schemeClr val="dk1"/>
              </a:solidFill>
              <a:effectLst/>
              <a:latin typeface="+mn-lt"/>
              <a:ea typeface="+mn-ea"/>
              <a:cs typeface="+mn-cs"/>
            </a:rPr>
            <a:t>Ê The cost of insurance required by this subsection must be provided to the proposed sponsor by the authorized insurer and included in each budget submitted pursuant to subsection 4 of </a:t>
          </a:r>
          <a:r>
            <a:rPr lang="en-US" sz="1100" u="sng">
              <a:solidFill>
                <a:schemeClr val="dk1"/>
              </a:solidFill>
              <a:effectLst/>
              <a:latin typeface="+mn-lt"/>
              <a:ea typeface="+mn-ea"/>
              <a:cs typeface="+mn-cs"/>
              <a:hlinkClick xmlns:r="http://schemas.openxmlformats.org/officeDocument/2006/relationships" r:id=""/>
            </a:rPr>
            <a:t>NAC 388A.160</a:t>
          </a:r>
          <a:r>
            <a:rPr lang="en-US" sz="1100">
              <a:solidFill>
                <a:schemeClr val="dk1"/>
              </a:solidFill>
              <a:effectLst/>
              <a:latin typeface="+mn-lt"/>
              <a:ea typeface="+mn-ea"/>
              <a:cs typeface="+mn-cs"/>
            </a:rPr>
            <a:t> and </a:t>
          </a:r>
          <a:r>
            <a:rPr lang="en-US" sz="1100" u="sng">
              <a:solidFill>
                <a:schemeClr val="dk1"/>
              </a:solidFill>
              <a:effectLst/>
              <a:latin typeface="+mn-lt"/>
              <a:ea typeface="+mn-ea"/>
              <a:cs typeface="+mn-cs"/>
              <a:hlinkClick xmlns:r="http://schemas.openxmlformats.org/officeDocument/2006/relationships" r:id=""/>
            </a:rPr>
            <a:t>NAC 387.725</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2.  The sponsor of a charter school may waive all or part of the general liability insurance required pursuant to paragraph (b) of subsection 1 if the sponsor determines that such a waiver is reasonable based upon the risk profile of the charter school or the conditions of the insurance market, or both, including, without limitation, a determination that the cost of obtaining the insurance is excessive or that the insurance is not available because of special circumstances of the charter school.</a:t>
          </a:r>
        </a:p>
        <a:p>
          <a:r>
            <a:rPr lang="en-US" sz="1100">
              <a:solidFill>
                <a:schemeClr val="dk1"/>
              </a:solidFill>
              <a:effectLst/>
              <a:latin typeface="+mn-lt"/>
              <a:ea typeface="+mn-ea"/>
              <a:cs typeface="+mn-cs"/>
            </a:rPr>
            <a:t>     3.  If an application to form a charter school is approved, the governing body of the charter school shall maintain the insurance required by this section.</a:t>
          </a:r>
        </a:p>
        <a:p>
          <a:r>
            <a:rPr lang="en-US" sz="1100">
              <a:solidFill>
                <a:schemeClr val="dk1"/>
              </a:solidFill>
              <a:effectLst/>
              <a:latin typeface="+mn-lt"/>
              <a:ea typeface="+mn-ea"/>
              <a:cs typeface="+mn-cs"/>
            </a:rPr>
            <a:t>     4.  An insurer that provides any insurance required pursuant to this section must have a rating of “A-” or better and be classified in a financial category of “VII” or better as determined by A.M. Best Company of Oldwick, New Jersey.</a:t>
          </a:r>
        </a:p>
        <a:p>
          <a:r>
            <a:rPr lang="en-US" sz="1100">
              <a:solidFill>
                <a:schemeClr val="dk1"/>
              </a:solidFill>
              <a:effectLst/>
              <a:latin typeface="+mn-lt"/>
              <a:ea typeface="+mn-ea"/>
              <a:cs typeface="+mn-cs"/>
            </a:rPr>
            <a:t>     5.  As used in this section, “motor vehicle” has the meaning ascribed to it in </a:t>
          </a:r>
          <a:r>
            <a:rPr lang="en-US" sz="1100" u="sng">
              <a:solidFill>
                <a:schemeClr val="dk1"/>
              </a:solidFill>
              <a:effectLst/>
              <a:latin typeface="+mn-lt"/>
              <a:ea typeface="+mn-ea"/>
              <a:cs typeface="+mn-cs"/>
              <a:hlinkClick xmlns:r="http://schemas.openxmlformats.org/officeDocument/2006/relationships" r:id=""/>
            </a:rPr>
            <a:t>NRS 485.050</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(Added to NAC by Dep’t of Education by R044-05, eff. 10-31-2005; A by R074-07, 10-31-2007; A by Bd. of Education by R026-09, 10-27-2009; A by Dep’t of Education by R035-14, 12-22-2014) — (Substituted in revision for NAC 386.215)</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xdr:colOff>
      <xdr:row>0</xdr:row>
      <xdr:rowOff>42861</xdr:rowOff>
    </xdr:from>
    <xdr:to>
      <xdr:col>14</xdr:col>
      <xdr:colOff>0</xdr:colOff>
      <xdr:row>8</xdr:row>
      <xdr:rowOff>133350</xdr:rowOff>
    </xdr:to>
    <xdr:graphicFrame macro="">
      <xdr:nvGraphicFramePr>
        <xdr:cNvPr id="3" name="Chart 2">
          <a:extLst>
            <a:ext uri="{FF2B5EF4-FFF2-40B4-BE49-F238E27FC236}">
              <a16:creationId xmlns:a16="http://schemas.microsoft.com/office/drawing/2014/main" id="{252BAAC3-BACD-46F0-9E2E-B6D3A33A0F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125016</xdr:colOff>
      <xdr:row>16</xdr:row>
      <xdr:rowOff>8283</xdr:rowOff>
    </xdr:from>
    <xdr:to>
      <xdr:col>4</xdr:col>
      <xdr:colOff>414130</xdr:colOff>
      <xdr:row>21</xdr:row>
      <xdr:rowOff>190500</xdr:rowOff>
    </xdr:to>
    <xdr:sp macro="" textlink="">
      <xdr:nvSpPr>
        <xdr:cNvPr id="2" name="Right Brace 1">
          <a:extLst>
            <a:ext uri="{FF2B5EF4-FFF2-40B4-BE49-F238E27FC236}">
              <a16:creationId xmlns:a16="http://schemas.microsoft.com/office/drawing/2014/main" id="{0F46D520-CD22-4243-8B12-BE1C09720F3A}"/>
            </a:ext>
          </a:extLst>
        </xdr:cNvPr>
        <xdr:cNvSpPr/>
      </xdr:nvSpPr>
      <xdr:spPr bwMode="auto">
        <a:xfrm>
          <a:off x="5417603" y="3163957"/>
          <a:ext cx="289114" cy="977347"/>
        </a:xfrm>
        <a:prstGeom prst="rightBrace">
          <a:avLst>
            <a:gd name="adj1" fmla="val 0"/>
            <a:gd name="adj2" fmla="val 5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238125</xdr:colOff>
      <xdr:row>231</xdr:row>
      <xdr:rowOff>190500</xdr:rowOff>
    </xdr:from>
    <xdr:to>
      <xdr:col>37</xdr:col>
      <xdr:colOff>266700</xdr:colOff>
      <xdr:row>252</xdr:row>
      <xdr:rowOff>133350</xdr:rowOff>
    </xdr:to>
    <xdr:sp macro="" textlink="">
      <xdr:nvSpPr>
        <xdr:cNvPr id="4" name="TextBox 3">
          <a:extLst>
            <a:ext uri="{FF2B5EF4-FFF2-40B4-BE49-F238E27FC236}">
              <a16:creationId xmlns:a16="http://schemas.microsoft.com/office/drawing/2014/main" id="{E02FF4D1-AE58-4044-885C-AF51C7C1B860}"/>
            </a:ext>
          </a:extLst>
        </xdr:cNvPr>
        <xdr:cNvSpPr txBox="1"/>
      </xdr:nvSpPr>
      <xdr:spPr>
        <a:xfrm>
          <a:off x="9229725" y="24745950"/>
          <a:ext cx="3952875" cy="414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Though a student can only be counted</a:t>
          </a:r>
          <a:r>
            <a:rPr lang="en-US" sz="1100" baseline="0"/>
            <a:t> in one category if they otherwise qualify for multiple categories I'm breaking out the mixture of  where a student is being counted and not counted.</a:t>
          </a:r>
        </a:p>
        <a:p>
          <a:endParaRPr lang="en-US" sz="1100" baseline="0"/>
        </a:p>
        <a:p>
          <a:r>
            <a:rPr lang="en-US" sz="1100" baseline="0"/>
            <a:t>That's because we've been counting "blended" students  historically and I think we want to still be able to  continue that "measurement" approach.</a:t>
          </a:r>
        </a:p>
        <a:p>
          <a:endParaRPr lang="en-US" sz="1100" baseline="0"/>
        </a:p>
        <a:p>
          <a:r>
            <a:rPr lang="en-US" sz="1100" baseline="0"/>
            <a:t>At the same time we want to know how many qualifying students there are for additional funding.  And  by having those students that are not qualified then we can essentially do a check for reasonability.  that check would be to ask how reasonable it would be to have a certain proportion of blended/diverse students versus not.  It's highly likely that some students should be counted in multiple categories they otherwise qualify for even if they dont't qualify for the additional funding.   </a:t>
          </a:r>
          <a:endParaRPr lang="en-US" sz="1100"/>
        </a:p>
      </xdr:txBody>
    </xdr:sp>
    <xdr:clientData/>
  </xdr:twoCellAnchor>
  <xdr:oneCellAnchor>
    <xdr:from>
      <xdr:col>5</xdr:col>
      <xdr:colOff>771525</xdr:colOff>
      <xdr:row>57</xdr:row>
      <xdr:rowOff>142875</xdr:rowOff>
    </xdr:from>
    <xdr:ext cx="184731" cy="264560"/>
    <xdr:sp macro="" textlink="">
      <xdr:nvSpPr>
        <xdr:cNvPr id="5" name="TextBox 4">
          <a:extLst>
            <a:ext uri="{FF2B5EF4-FFF2-40B4-BE49-F238E27FC236}">
              <a16:creationId xmlns:a16="http://schemas.microsoft.com/office/drawing/2014/main" id="{CF1715AC-FB00-451D-860C-E637E4496418}"/>
            </a:ext>
          </a:extLst>
        </xdr:cNvPr>
        <xdr:cNvSpPr txBox="1"/>
      </xdr:nvSpPr>
      <xdr:spPr>
        <a:xfrm>
          <a:off x="4953000"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478568</xdr:colOff>
      <xdr:row>25</xdr:row>
      <xdr:rowOff>26918</xdr:rowOff>
    </xdr:from>
    <xdr:to>
      <xdr:col>20</xdr:col>
      <xdr:colOff>57232</xdr:colOff>
      <xdr:row>46</xdr:row>
      <xdr:rowOff>154470</xdr:rowOff>
    </xdr:to>
    <xdr:pic>
      <xdr:nvPicPr>
        <xdr:cNvPr id="4" name="Picture 10">
          <a:extLst>
            <a:ext uri="{FF2B5EF4-FFF2-40B4-BE49-F238E27FC236}">
              <a16:creationId xmlns:a16="http://schemas.microsoft.com/office/drawing/2014/main" id="{10F8F633-D7A6-43D2-98E4-4A8A182DB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088" y="1261358"/>
          <a:ext cx="11450624" cy="3647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198782</xdr:colOff>
      <xdr:row>47</xdr:row>
      <xdr:rowOff>124239</xdr:rowOff>
    </xdr:from>
    <xdr:to>
      <xdr:col>10</xdr:col>
      <xdr:colOff>480391</xdr:colOff>
      <xdr:row>55</xdr:row>
      <xdr:rowOff>107674</xdr:rowOff>
    </xdr:to>
    <xdr:sp macro="" textlink="">
      <xdr:nvSpPr>
        <xdr:cNvPr id="3" name="TextBox 2">
          <a:extLst>
            <a:ext uri="{FF2B5EF4-FFF2-40B4-BE49-F238E27FC236}">
              <a16:creationId xmlns:a16="http://schemas.microsoft.com/office/drawing/2014/main" id="{D104F1A3-32FF-4A1B-9B3B-9F2787368E25}"/>
            </a:ext>
          </a:extLst>
        </xdr:cNvPr>
        <xdr:cNvSpPr txBox="1"/>
      </xdr:nvSpPr>
      <xdr:spPr>
        <a:xfrm>
          <a:off x="198782" y="4994413"/>
          <a:ext cx="6137413" cy="1308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Question on the FFE&amp;T tab of the budget workbook – the formula in row 55 is including only noncapitalized expenses and excluding the costs of furniture and computer equipment.  If the school has a capitalization policy of $5,000, these items would be considered noncapital and should be expensed fully in the year purchased (because individual costs are less than $5k).  What is the recommended workaround for properly including these expenses in each year?  Also, - in looking at row 53, a fixed 15 year life for all capitalized expenditures seems too long, particularly for computers. 7/13/2020</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115957</xdr:colOff>
      <xdr:row>5</xdr:row>
      <xdr:rowOff>49696</xdr:rowOff>
    </xdr:from>
    <xdr:to>
      <xdr:col>8</xdr:col>
      <xdr:colOff>397565</xdr:colOff>
      <xdr:row>25</xdr:row>
      <xdr:rowOff>1</xdr:rowOff>
    </xdr:to>
    <xdr:sp macro="" textlink="">
      <xdr:nvSpPr>
        <xdr:cNvPr id="2" name="TextBox 1">
          <a:hlinkClick xmlns:r="http://schemas.openxmlformats.org/officeDocument/2006/relationships" r:id="rId1"/>
          <a:extLst>
            <a:ext uri="{FF2B5EF4-FFF2-40B4-BE49-F238E27FC236}">
              <a16:creationId xmlns:a16="http://schemas.microsoft.com/office/drawing/2014/main" id="{26377E2C-059C-47BD-AD43-F0EAE52F1DE5}"/>
            </a:ext>
          </a:extLst>
        </xdr:cNvPr>
        <xdr:cNvSpPr txBox="1"/>
      </xdr:nvSpPr>
      <xdr:spPr>
        <a:xfrm>
          <a:off x="115957" y="944218"/>
          <a:ext cx="5284304" cy="3263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Generic Facilities and FFE narrative</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New to this application is built in capitalization and depreciation/amortization.  This applies to capital outlays on leases (such as tenant improvements) and several categories of FFE&amp;T.  Capital outlays are depreciated based on a 15-year schedule.  The FFE&amp;T tab states what depreciation schedule is being used for each category.  These schedules are based on the Nevada Personal Property Manual’s expected life for each category.  You can access the version of the NV Personal Property Manual used here: </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https://tax.nv.gov/LocalGovt/PolicyPub/ArchiveFiles/PersonalPropertyManual/2020-2021_Personal_Property_Manual_rev_03282019/</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 .  The values used come from the Information Systems section on page 11, and the Office Furniture, Retail Sales Equipment, Other section on page 16.</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The primary purpose of these additions is to give a better picture of what an audited full accrual basis Statement of Activities will look like for an applicant while still allowing for an analysis of the cash cost and cash flow outlook of operating the proposed school.  With the exception of the rows for “Other Equipment”, these calculations will all be done automatically for you and require no additional inputs.</a:t>
          </a:r>
        </a:p>
        <a:p>
          <a:r>
            <a:rPr lang="en-US" sz="1100" u="none" strike="noStrike" baseline="0">
              <a:solidFill>
                <a:srgbClr xmlns:mc="http://schemas.openxmlformats.org/markup-compatibility/2006" xmlns:a14="http://schemas.microsoft.com/office/drawing/2010/main" val="000000" mc:Ignorable="a14" a14:legacySpreadsheetColorIndex="8"/>
              </a:solidFill>
              <a:latin typeface="Times New Roman" panose="02020603050405020304" pitchFamily="18" charset="0"/>
            </a:rPr>
            <a:t>sdf</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10</xdr:col>
      <xdr:colOff>115956</xdr:colOff>
      <xdr:row>8</xdr:row>
      <xdr:rowOff>124238</xdr:rowOff>
    </xdr:from>
    <xdr:ext cx="2923761" cy="1297919"/>
    <xdr:sp macro="" textlink="">
      <xdr:nvSpPr>
        <xdr:cNvPr id="2" name="TextBox 1">
          <a:extLst>
            <a:ext uri="{FF2B5EF4-FFF2-40B4-BE49-F238E27FC236}">
              <a16:creationId xmlns:a16="http://schemas.microsoft.com/office/drawing/2014/main" id="{344B4FE5-32CA-449D-ADED-41FA2D531554}"/>
            </a:ext>
          </a:extLst>
        </xdr:cNvPr>
        <xdr:cNvSpPr txBox="1"/>
      </xdr:nvSpPr>
      <xdr:spPr>
        <a:xfrm>
          <a:off x="10576891" y="1292086"/>
          <a:ext cx="2923761" cy="1297919"/>
        </a:xfrm>
        <a:prstGeom prst="rect">
          <a:avLst/>
        </a:prstGeom>
        <a:solidFill>
          <a:schemeClr val="accent1">
            <a:alpha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This page is intended to be a quick view of how each cost center is affecting overall financial performance. </a:t>
          </a:r>
        </a:p>
        <a:p>
          <a:r>
            <a:rPr lang="en-US" sz="1100"/>
            <a:t>It will automatically populate</a:t>
          </a:r>
          <a:r>
            <a:rPr lang="en-US" sz="1100" baseline="0"/>
            <a:t> as you complete the required tabs in the application. The use of this tab is completely optional and at your discretion.</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tin.dietz/Box/Clients/Nevada%20Clients/SNTHS-South%20Nevada%20Trades%20HS/Charter%20Application-Budget%20(1.15.22)/SNTHS%20Expense%20details%20-%20Y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 Details"/>
    </sheetNames>
    <sheetDataSet>
      <sheetData sheetId="0">
        <row r="7">
          <cell r="E7">
            <v>33333</v>
          </cell>
        </row>
        <row r="8">
          <cell r="E8">
            <v>2000</v>
          </cell>
          <cell r="F8">
            <v>6000</v>
          </cell>
        </row>
        <row r="14">
          <cell r="E14">
            <v>20000</v>
          </cell>
          <cell r="F14">
            <v>30000</v>
          </cell>
        </row>
        <row r="15">
          <cell r="F15">
            <v>5667</v>
          </cell>
        </row>
        <row r="16">
          <cell r="E16">
            <v>19500</v>
          </cell>
          <cell r="F16">
            <v>20000</v>
          </cell>
        </row>
      </sheetData>
    </sheetDataSet>
  </externalBook>
</externalLink>
</file>

<file path=xl/persons/person.xml><?xml version="1.0" encoding="utf-8"?>
<personList xmlns="http://schemas.microsoft.com/office/spreadsheetml/2018/threadedcomments" xmlns:x="http://schemas.openxmlformats.org/spreadsheetml/2006/main">
  <person displayName="Michael Dang" id="{58D7CBF4-770A-4C73-A5CB-9F34A753C88F}" userId="Michael Dang" providerId="None"/>
  <person displayName="Rebecca Feiden" id="{3F526A3D-F904-4460-8024-57A590EB9F4D}" userId="Rebecca Feiden" providerId="None"/>
  <person displayName="Michael Dang" id="{53965B3A-B08B-4BC2-8174-88EB25E8A830}" userId="S::mdang@spcsa.nv.gov::a3e2d36e-033d-41a4-80d1-b0cff51c0698" providerId="AD"/>
  <person displayName="Michael Hutchins" id="{B99A2D5D-3262-48B4-9518-41102A0FECDD}" userId="S::m.hutchins@spcsa.nv.gov::0dee9529-13a7-462b-a458-930bcfd86a30" providerId="AD"/>
  <person displayName="Rebecca Feiden" id="{7A64DA6E-3042-4603-90E5-A73BD641A103}" userId="S::rebecca.feiden@spcsa.nv.gov::fd18cebc-0508-4b38-b6c1-d0a03d487c7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9" personId="{58D7CBF4-770A-4C73-A5CB-9F34A753C88F}" id="{C9720B80-4DE7-4342-B7EE-57EDC974AF12}">
    <text>Freeze pane anchor cell.</text>
  </threadedComment>
  <threadedComment ref="B14" dT="2019-10-09T22:19:25.08" personId="{B99A2D5D-3262-48B4-9518-41102A0FECDD}" id="{9909DB41-4054-4051-8E9D-3A06A152DDC1}">
    <text>Lines renamed to match profile</text>
  </threadedComment>
  <threadedComment ref="B42" dT="2019-10-09T22:19:55.60" personId="{B99A2D5D-3262-48B4-9518-41102A0FECDD}" id="{AE8693CC-D799-40D8-BC0A-DDEFCADE3B8B}">
    <text>Lines renamed to match profile and other tabs</text>
  </threadedComment>
  <threadedComment ref="C42" dT="2019-10-09T22:20:22.95" personId="{B99A2D5D-3262-48B4-9518-41102A0FECDD}" id="{14D4832A-A429-4B66-9D06-54B3C5043617}">
    <text>Numbers now pulling from depreciation based expenses instead of cash acquisition cost.</text>
  </threadedComment>
</ThreadedComments>
</file>

<file path=xl/threadedComments/threadedComment2.xml><?xml version="1.0" encoding="utf-8"?>
<ThreadedComments xmlns="http://schemas.microsoft.com/office/spreadsheetml/2018/threadedcomments" xmlns:x="http://schemas.openxmlformats.org/spreadsheetml/2006/main">
  <threadedComment ref="C9" personId="{58D7CBF4-770A-4C73-A5CB-9F34A753C88F}" id="{3C354C26-ABAF-4990-B105-01215F15C21A}">
    <text>Freeze pane anchor cell.</text>
  </threadedComment>
  <threadedComment ref="B75" dT="2019-10-09T22:21:33.10" personId="{B99A2D5D-3262-48B4-9518-41102A0FECDD}" id="{B6F42B41-A78D-412D-AF3D-9126A5E0D606}">
    <text>lines changed for consistency</text>
  </threadedComment>
  <threadedComment ref="B92" dT="2019-10-09T22:21:46.00" personId="{B99A2D5D-3262-48B4-9518-41102A0FECDD}" id="{60129E67-CD70-46E7-91DA-906463589E3F}">
    <text>lines changed for consistency</text>
  </threadedComment>
  <threadedComment ref="B112" dT="2019-10-09T22:21:59.11" personId="{B99A2D5D-3262-48B4-9518-41102A0FECDD}" id="{E0B74DCF-2136-4060-977D-5542CAFEBFAB}">
    <text>lines changed for consistency</text>
  </threadedComment>
</ThreadedComments>
</file>

<file path=xl/threadedComments/threadedComment3.xml><?xml version="1.0" encoding="utf-8"?>
<ThreadedComments xmlns="http://schemas.microsoft.com/office/spreadsheetml/2018/threadedcomments" xmlns:x="http://schemas.openxmlformats.org/spreadsheetml/2006/main">
  <threadedComment ref="B34" personId="{58D7CBF4-770A-4C73-A5CB-9F34A753C88F}" id="{87EFE0C2-FEF2-455B-9DF6-67099F02ADE0}">
    <text>A five mile distance as the crow flies or by google maps travel distance.</text>
  </threadedComment>
  <threadedComment ref="I34" personId="{58D7CBF4-770A-4C73-A5CB-9F34A753C88F}" id="{F01B7D95-1612-4E39-9CC5-6D2B6DA04B58}">
    <text>Based on Google Maps or another mapping program of your choice.
The distance from the school can be to your targeted location or to nearby cross-streets.</text>
  </threadedComment>
  <threadedComment ref="B59" personId="{58D7CBF4-770A-4C73-A5CB-9F34A753C88F}" id="{FC7B4D31-52E5-4D8E-9CFD-7E893C787CAE}">
    <text>A five mile distance as the crow flies or by google maps travel distance.</text>
  </threadedComment>
  <threadedComment ref="I59" personId="{58D7CBF4-770A-4C73-A5CB-9F34A753C88F}" id="{3148EB90-8AD1-426D-8608-1AB43F281B40}">
    <text>Based on Google Maps or another mapping program of your choice.
The distance from the school can be to your targeted location or to nearby cross-streets.</text>
  </threadedComment>
</ThreadedComments>
</file>

<file path=xl/threadedComments/threadedComment4.xml><?xml version="1.0" encoding="utf-8"?>
<ThreadedComments xmlns="http://schemas.microsoft.com/office/spreadsheetml/2018/threadedcomments" xmlns:x="http://schemas.openxmlformats.org/spreadsheetml/2006/main">
  <threadedComment ref="D12" personId="{58D7CBF4-770A-4C73-A5CB-9F34A753C88F}" id="{44638AEC-F4AF-481B-B482-D02A8E76DFE4}">
    <text xml:space="preserve">Freeze Pane Anchor cell.
Place cursor here if you wish to freeze the panes so you can see which e so you can continue to see the years for the columns you want to review. </text>
  </threadedComment>
  <threadedComment ref="B40" dT="2021-10-04T23:22:54.99" personId="{7A64DA6E-3042-4603-90E5-A73BD641A103}" id="{ACFF2C00-C68D-444F-A86C-AF37774166CB}">
    <text>I would call this "ENROLLMENT BY STUDENT GROUP (Federally Fundable)</text>
  </threadedComment>
  <threadedComment ref="B40" dT="2021-10-04T23:33:10.37" personId="{53965B3A-B08B-4BC2-8174-88EB25E8A830}" id="{EBFCEABF-E48C-4A48-80CC-451A555DB4CA}" parentId="{ACFF2C00-C68D-444F-A86C-AF37774166CB}">
    <text>Thank you.  It's updated.</text>
  </threadedComment>
  <threadedComment ref="C94" personId="{58D7CBF4-770A-4C73-A5CB-9F34A753C88F}" id="{FAF9EAF0-2408-4BEA-AA7F-D3ED4C6366EF}">
    <text>From $350. 2019.11.14</text>
  </threadedComment>
  <threadedComment ref="C94" dT="2021-09-30T17:34:30.93" personId="{53965B3A-B08B-4BC2-8174-88EB25E8A830}" id="{D547E158-008F-4D23-A342-727E8EDADA7E}" parentId="{FAF9EAF0-2408-4BEA-AA7F-D3ED4C6366EF}">
    <text>August 26, 2021 em from RF: $400 PP</text>
  </threadedComment>
  <threadedComment ref="C94" dT="2021-09-30T20:49:37.35" personId="{53965B3A-B08B-4BC2-8174-88EB25E8A830}" id="{80965E5C-60E9-4736-A322-1CF90D3DBC29}" parentId="{FAF9EAF0-2408-4BEA-AA7F-D3ED4C6366EF}">
    <text>RF 8/26/21 em @ $400</text>
  </threadedComment>
</ThreadedComments>
</file>

<file path=xl/threadedComments/threadedComment5.xml><?xml version="1.0" encoding="utf-8"?>
<ThreadedComments xmlns="http://schemas.microsoft.com/office/spreadsheetml/2018/threadedcomments" xmlns:x="http://schemas.openxmlformats.org/spreadsheetml/2006/main">
  <threadedComment ref="B17" dT="2019-10-09T22:22:23.61" personId="{B99A2D5D-3262-48B4-9518-41102A0FECDD}" id="{428C169F-7646-4CB0-B350-6B3997D0EBEC}">
    <text>lines changed to align with profile tab</text>
  </threadedComment>
  <threadedComment ref="F17" dT="2020-09-22T19:45:51.09" personId="{53965B3A-B08B-4BC2-8174-88EB25E8A830}" id="{BDF6EB88-3B12-45EF-B31B-51448D1C1895}">
    <text>=(B14/4)*0.75 used to reflect not getting full amount in Q1 but getting balance of payments equally for remaining quarters--for those on a quarterly payment plan.</text>
  </threadedComment>
  <threadedComment ref="F17" dT="2020-10-08T21:07:40.04" personId="{53965B3A-B08B-4BC2-8174-88EB25E8A830}" id="{8E21B931-9FD6-403A-B1CB-471B871E5471}" parentId="{BDF6EB88-3B12-45EF-B31B-51448D1C1895}">
    <text>Typically paid ~ 0.75~ of estimate and then the 0.25 is made up over the rest of the year.  See Sage formula; based on enrollment count in May.</text>
  </threadedComment>
  <threadedComment ref="I17" dT="2020-09-22T19:46:13.34" personId="{53965B3A-B08B-4BC2-8174-88EB25E8A830}" id="{CC4CE2D3-F1FC-4593-8BE0-D7109E7EAC25}">
    <text>used to reflect getting balance of payments equally for remaining quarters--for those on a quarterly payment plan.</text>
  </threadedComment>
  <threadedComment ref="B39" dT="2019-10-09T22:22:57.48" personId="{B99A2D5D-3262-48B4-9518-41102A0FECDD}" id="{747F349B-9CDE-4C7C-8445-7504F225BB0C}">
    <text>Lines changed to line up with profile and other tabs</text>
  </threadedComment>
  <threadedComment ref="E39" dT="2019-10-09T22:23:07.55" personId="{B99A2D5D-3262-48B4-9518-41102A0FECDD}" id="{5F5A5891-0F7E-438F-98FE-D46B19DAAF7A}">
    <text>conditional formatting added</text>
  </threadedComment>
  <threadedComment ref="B86" dT="2019-10-09T22:23:55.26" personId="{B99A2D5D-3262-48B4-9518-41102A0FECDD}" id="{E1B0AABC-FE85-4305-BCDA-D864236FBEFC}">
    <text>lines changed for consistency</text>
  </threadedComment>
  <threadedComment ref="B108" dT="2019-10-09T22:24:07.51" personId="{B99A2D5D-3262-48B4-9518-41102A0FECDD}" id="{105A4EF2-9C02-45A7-B312-9628B5927DF1}">
    <text>lines changed for consistency</text>
  </threadedComment>
  <threadedComment ref="B130" dT="2019-10-09T22:25:27.80" personId="{B99A2D5D-3262-48B4-9518-41102A0FECDD}" id="{5FEA338C-255D-43F8-9B7C-705D98B58B85}">
    <text>added lines to display cash expenses for each month as a percentage of the beginning and ending cash balance to highlight areas of potential liquidity concerns.</text>
  </threadedComment>
</ThreadedComments>
</file>

<file path=xl/threadedComments/threadedComment6.xml><?xml version="1.0" encoding="utf-8"?>
<ThreadedComments xmlns="http://schemas.microsoft.com/office/spreadsheetml/2018/threadedcomments" xmlns:x="http://schemas.openxmlformats.org/spreadsheetml/2006/main">
  <threadedComment ref="B60" personId="{58D7CBF4-770A-4C73-A5CB-9F34A753C88F}" id="{5A0A3B32-63B9-42AC-8F5E-76D6B93E179E}">
    <text xml:space="preserve">
PERS, 7/10/2020 :
* Charter Schools are Choice agencies so all PERS eligible employees would have the option to select the Employer paid or the Employee/Employer paid contribution plan if the employee has never selected the Employer paid plan in the past at a choice employer.
* For some School Districts their Certified employees are Non Choice and must be reported under the Employer Paid plan, and their non certified staff for some Districts do have a choice of plans. I believe the certified/ non certified would apply more to the School Districts in the State, and not the Charter Schools.  
PERS, 4/14/2020 :
* The Employer Paid rate is 29.25% and the Employee/ Employer Paid plan is 15.25% for the EE and 15.25% for the Employer.
PERS Policy Manual:
https://www.nvpers.org/public/employers/PERS%20Official%20Policies.pdf
CONTRIBUTION PLAN ELECTION 
286.200 3.44 New hires after January 1, 1991, of the employee groups enumerated in Policy 3.24 shall have the option to:
  a. Contribute under the employee/employer contribution plan, or 
  b. Contribute under the employer-pay contribution plan. 
286.200 3.45 New hires under Policy 3.44 who elect to contribute under the employee/employer contribution plan may: 
  a. At any time after their date of hire, elect to contribute under the employer-pay contribution plan but,
  b. Once they elect to contribute under the employer-pay contribution plan may not thereafter revert to the employee/employer contribution plan.
286.200 3.46 New hires failing to make an election to contribute under either the employee/employer contribution plan or the employer-pay contribution plan under Policy 3.44 shall be enrolled in the employee/employer contribution plan. 
</text>
  </threadedComment>
  <threadedComment ref="C62" personId="{58D7CBF4-770A-4C73-A5CB-9F34A753C88F}" id="{3FB75770-6A7E-41E4-989A-899F878C4E99}">
    <text xml:space="preserve">8/10/20  
GASB Statement No. 45 (Superseded by GASB Statement 75 eff. FY 2018)
GASB 45 recognizes the liability within a footnote of the financial statements, with only a portion of the total liability going on the book through the Net OPEB Obligation. GASB 75 does away with the Net OPEB Obligation, requiring the full liability to be recognized immediately on the balance sheet.
Move over GASB 45, here comes GASB 75​ | The Burke Groupburkegroup.com 
GASB 75 = Accounting and Financial Reporting for Postemployment Benefits Other Than Pensionshttps://www.gasb.org/jsp/GASB/Document_C/DocumentPage?cid=1176166144750&amp;acceptedDisclaimer=true
Notes re GASB 45
https://www.trs.texas.gov/Pages/re_gasb_45.aspx 
GASB Statement No. 45, Accounting and Financial Reporting by Employers for Postemployment Benefits Other Than Pensions became effective in three phases based on a government's total annual revenues in the first fiscal year ending after June 15, 1999 with all employers implementing by periods beginning after December 15, 2008 or earlier.
This statement establishes standards for the measurement, recognition, and display of other postemployment benefits (OPEB) expense/expenditure and related liabilities (assets), note disclosures, and if applicable required supplementary information (RSI) in the financial reports of state and local government employers.
The Teacher Retirement System of Texas is furnishing this information to assist reporting employer in complying with the GASB requirements. Certain information required by GASB 45 will have to be derived from the reporting employer's payroll records. Please forward this document to your reporting employer's financial/accounting manager and your auditor.
</text>
  </threadedComment>
  <threadedComment ref="G140" dT="2020-09-22T19:01:17.23" personId="{53965B3A-B08B-4BC2-8174-88EB25E8A830}" id="{9FA39296-9023-4041-80FE-8575CCE2873E}">
    <text>You may now increase/decrease staff counts in this section of the model.</text>
  </threadedComment>
  <threadedComment ref="B427" dT="2020-10-14T22:58:10.23" personId="{53965B3A-B08B-4BC2-8174-88EB25E8A830}" id="{D1F6324D-8682-456C-9C83-BF47E7B5D48E}">
    <text>E.g., 0.5 + 0.5 + 0.25 + 0.6 = 1.85 PTE</text>
  </threadedComment>
</ThreadedComments>
</file>

<file path=xl/threadedComments/threadedComment7.xml><?xml version="1.0" encoding="utf-8"?>
<ThreadedComments xmlns="http://schemas.microsoft.com/office/spreadsheetml/2018/threadedcomments" xmlns:x="http://schemas.openxmlformats.org/spreadsheetml/2006/main">
  <threadedComment ref="C9" personId="{58D7CBF4-770A-4C73-A5CB-9F34A753C88F}" id="{8EDDD725-5C94-46C0-924D-C11E83DCC10F}">
    <text>Freeze Pane Anchor cell</text>
  </threadedComment>
  <threadedComment ref="F40" dT="2019-10-09T22:26:48.95" personId="{B99A2D5D-3262-48B4-9518-41102A0FECDD}" id="{049FD8B7-A556-4458-B741-9CE337C84F58}">
    <text>added capitalization assumption for capital outlay.  15 year depreciation schedule used based on Nevada Personal Property Manual (PPM)</text>
  </threadedComment>
  <threadedComment ref="G40" dT="2019-10-09T22:26:48.95" personId="{B99A2D5D-3262-48B4-9518-41102A0FECDD}" id="{7EE94EAF-B192-4E48-A3B1-248D938F898C}">
    <text>added capitalization assumption for capital outlay.  15 year depreciation schedule used based on Nevada Personal Property Manual (PPM)</text>
  </threadedComment>
  <threadedComment ref="F41" dT="2019-10-09T22:28:14.70" personId="{B99A2D5D-3262-48B4-9518-41102A0FECDD}" id="{DBC2E7CB-2685-404F-A07E-01603B5F45EF}">
    <text>LIst both the cash cost and the book expense</text>
  </threadedComment>
  <threadedComment ref="G41" dT="2019-10-09T22:28:14.70" personId="{B99A2D5D-3262-48B4-9518-41102A0FECDD}" id="{4D20B39F-CCD5-40F6-88A7-DA908090EB1A}">
    <text>LIst both the cash cost and the book expense</text>
  </threadedComment>
  <threadedComment ref="H41" dT="2019-10-09T22:28:14.70" personId="{B99A2D5D-3262-48B4-9518-41102A0FECDD}" id="{21BECB29-E1AE-4A1A-B3D7-3382A184FF5F}">
    <text>LIst both the cash cost and the book expense</text>
  </threadedComment>
  <threadedComment ref="I41" dT="2019-10-09T22:28:14.70" personId="{B99A2D5D-3262-48B4-9518-41102A0FECDD}" id="{CCEB1454-32E8-49D9-8901-DA3D297336F2}">
    <text>LIst both the cash cost and the book expense</text>
  </threadedComment>
  <threadedComment ref="J41" dT="2019-10-09T22:28:14.70" personId="{B99A2D5D-3262-48B4-9518-41102A0FECDD}" id="{37ECE0C7-2DF0-4069-83FB-34611AA80C80}">
    <text>LIst both the cash cost and the book expense</text>
  </threadedComment>
  <threadedComment ref="K41" dT="2019-10-09T22:28:14.70" personId="{B99A2D5D-3262-48B4-9518-41102A0FECDD}" id="{FEAE4CC4-5BE1-46EA-B674-1643248BBC0F}">
    <text>LIst both the cash cost and the book expense</text>
  </threadedComment>
  <threadedComment ref="L41" dT="2019-10-09T22:28:14.70" personId="{B99A2D5D-3262-48B4-9518-41102A0FECDD}" id="{E09D1AC0-CF29-4CCB-8732-58DCF484386E}">
    <text>LIst both the cash cost and the book expense</text>
  </threadedComment>
  <threadedComment ref="F71" dT="2019-10-09T22:28:29.17" personId="{B99A2D5D-3262-48B4-9518-41102A0FECDD}" id="{5A1E9927-B689-4F2F-9FDF-9AC411BA394B}">
    <text>LIst both the cash cost and the book expense</text>
  </threadedComment>
  <threadedComment ref="G71" dT="2019-10-09T22:28:29.17" personId="{B99A2D5D-3262-48B4-9518-41102A0FECDD}" id="{8B4CE012-06EE-44EF-B9A4-70A151D8CD64}">
    <text>LIst both the cash cost and the book expense</text>
  </threadedComment>
  <threadedComment ref="F72" dT="2019-10-09T22:27:53.20" personId="{B99A2D5D-3262-48B4-9518-41102A0FECDD}" id="{4A77444D-2667-414A-ACA6-5CACB9E7392C}">
    <text>Added a depreciation schedule for new building purchase/construction using a 50 year asset life per the Nevada PPM.</text>
  </threadedComment>
  <threadedComment ref="G72" dT="2019-10-09T22:27:53.20" personId="{B99A2D5D-3262-48B4-9518-41102A0FECDD}" id="{C044C3D4-0587-448F-AE58-11BAA9E73751}">
    <text>Added a depreciation schedule for new building purchase/construction using a 50 year asset life per the Nevada PPM.</text>
  </threadedComment>
  <threadedComment ref="F76" dT="2019-10-09T22:28:23.38" personId="{B99A2D5D-3262-48B4-9518-41102A0FECDD}" id="{CE06D8D1-4B55-4EF4-8B14-2444C8B0CA22}">
    <text>LIst both the cash cost and the book expense</text>
  </threadedComment>
</ThreadedComments>
</file>

<file path=xl/threadedComments/threadedComment8.xml><?xml version="1.0" encoding="utf-8"?>
<ThreadedComments xmlns="http://schemas.microsoft.com/office/spreadsheetml/2018/threadedcomments" xmlns:x="http://schemas.openxmlformats.org/spreadsheetml/2006/main">
  <threadedComment ref="D12" personId="{58D7CBF4-770A-4C73-A5CB-9F34A753C88F}" id="{88D99629-9430-4799-888B-536E1B48C1B0}">
    <text xml:space="preserve">Freeze Pane Anchor cell.
Place cursor here if you wish to freeze the panes so you can see which e so you can continue to see the years for the columns you want to review. </text>
  </threadedComment>
  <threadedComment ref="B66" dT="2019-10-09T22:25:54.66" personId="{B99A2D5D-3262-48B4-9518-41102A0FECDD}" id="{B7BA76B9-72DC-4B51-84FC-DCB653FB95D7}">
    <text>removed marketing from this section</text>
  </threadedComment>
  <threadedComment ref="D146" personId="{58D7CBF4-770A-4C73-A5CB-9F34A753C88F}" id="{9A98AA4F-1C78-4B0C-ADC0-E55A5537B0DC}">
    <text>Per student</text>
  </threadedComment>
  <threadedComment ref="D147" personId="{58D7CBF4-770A-4C73-A5CB-9F34A753C88F}" id="{B89FAE20-3CE4-47C1-AE62-E249220CB33F}">
    <text>Per student (not covered by Title I)</text>
  </threadedComment>
  <threadedComment ref="D148" personId="{58D7CBF4-770A-4C73-A5CB-9F34A753C88F}" id="{9DC1CA07-96B1-4C44-B3E3-EB5D74F6B99A}">
    <text>Input "yes or "no"</text>
  </threadedComment>
  <threadedComment ref="D149" personId="{58D7CBF4-770A-4C73-A5CB-9F34A753C88F}" id="{081B3B9E-102C-4FB3-AD68-C0B3B1CBEAFF}">
    <text>Input "yes or "no"</text>
  </threadedComment>
</ThreadedComments>
</file>

<file path=xl/threadedComments/threadedComment9.xml><?xml version="1.0" encoding="utf-8"?>
<ThreadedComments xmlns="http://schemas.microsoft.com/office/spreadsheetml/2018/threadedcomments" xmlns:x="http://schemas.openxmlformats.org/spreadsheetml/2006/main">
  <threadedComment ref="C13" dT="2019-10-09T22:28:59.88" personId="{B99A2D5D-3262-48B4-9518-41102A0FECDD}" id="{F988B70B-290B-4766-ABAF-6F3E355164A9}">
    <text>added depreciation schedules with asset lives based on their category in the Nevada PPM</text>
  </threadedComment>
  <threadedComment ref="C18" dT="2020-09-18T16:50:29.94" personId="{53965B3A-B08B-4BC2-8174-88EB25E8A830}" id="{3FF9201C-DBC8-4F22-A8BB-367D4D170A1D}">
    <text>you can comment here</text>
  </threadedComment>
</ThreadedComments>
</file>

<file path=xl/threadedComments/threadedComment10.xml><?xml version="1.0" encoding="utf-8"?>
<ThreadedComments xmlns="http://schemas.microsoft.com/office/spreadsheetml/2018/threadedcomments" xmlns:x="http://schemas.openxmlformats.org/spreadsheetml/2006/main">
  <threadedComment ref="Q14" personId="{3F526A3D-F904-4460-8024-57A590EB9F4D}" id="{AE20A937-C675-4D93-974B-C8C4FB974162}">
    <text>Used SY 2017-18 projections from NDE Budget Template</text>
  </threadedComment>
</ThreadedComments>
</file>

<file path=xl/threadedComments/threadedComment11.xml><?xml version="1.0" encoding="utf-8"?>
<ThreadedComments xmlns="http://schemas.microsoft.com/office/spreadsheetml/2018/threadedcomments" xmlns:x="http://schemas.openxmlformats.org/spreadsheetml/2006/main">
  <threadedComment ref="B36" personId="{58D7CBF4-770A-4C73-A5CB-9F34A753C88F}" id="{5A0475E5-6B0D-4D68-9F79-BF251AC40EF8}">
    <text xml:space="preserve">Keep at &gt;=1 in FTE section; use PT section for PT, like 0.5 </text>
  </threadedComment>
</ThreadedComments>
</file>

<file path=xl/threadedComments/threadedComment12.xml><?xml version="1.0" encoding="utf-8"?>
<ThreadedComments xmlns="http://schemas.microsoft.com/office/spreadsheetml/2018/threadedcomments" xmlns:x="http://schemas.openxmlformats.org/spreadsheetml/2006/main">
  <threadedComment ref="B33" personId="{58D7CBF4-770A-4C73-A5CB-9F34A753C88F}" id="{3A938AAD-556B-4D4E-BDCA-B0961C23113C}">
    <text>Great Teaching &amp; Leading, NV Ready Technology, Teacher Incentives, and other measures in AB309 of the 2019 legislative session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7.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 Id="rId4" Type="http://schemas.microsoft.com/office/2017/10/relationships/threadedComment" Target="../threadedComments/threadedComment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8.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20.bin"/><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 Id="rId4" Type="http://schemas.microsoft.com/office/2017/10/relationships/threadedComment" Target="../threadedComments/threadedComment1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8"/>
  <sheetViews>
    <sheetView zoomScale="145" zoomScaleNormal="145" workbookViewId="0">
      <selection activeCell="A3" sqref="A3"/>
    </sheetView>
  </sheetViews>
  <sheetFormatPr defaultRowHeight="14.4"/>
  <cols>
    <col min="1" max="1" width="119.21875" customWidth="1"/>
  </cols>
  <sheetData>
    <row r="1" spans="1:11" ht="26.55" customHeight="1">
      <c r="A1" s="1905" t="s">
        <v>1433</v>
      </c>
    </row>
    <row r="2" spans="1:11" ht="15.6">
      <c r="A2" s="26" t="s">
        <v>0</v>
      </c>
    </row>
    <row r="3" spans="1:11" ht="15.6">
      <c r="A3" s="187" t="str">
        <f>SchoolName</f>
        <v>Southern Nevada Trades High School</v>
      </c>
    </row>
    <row r="4" spans="1:11">
      <c r="A4" s="502" t="s">
        <v>1</v>
      </c>
      <c r="G4" s="616"/>
      <c r="H4" s="616"/>
      <c r="I4" s="616"/>
      <c r="J4" s="616"/>
      <c r="K4" s="616"/>
    </row>
    <row r="5" spans="1:11">
      <c r="A5" s="503" t="str">
        <f ca="1">CELL("filename")</f>
        <v>C:\Users\jewel\Documents\SNTHS\CHARTER APP FINAL\FINAL COMPILED\[SNTHS Budget Worksheet.xlsx]Summary</v>
      </c>
    </row>
    <row r="6" spans="1:11" ht="15.6">
      <c r="A6" s="1912" t="s">
        <v>2</v>
      </c>
    </row>
    <row r="7" spans="1:11" ht="6" customHeight="1">
      <c r="A7" s="1911"/>
    </row>
    <row r="8" spans="1:11" ht="15.6">
      <c r="A8" s="556" t="s">
        <v>3</v>
      </c>
    </row>
    <row r="9" spans="1:11" ht="12.6" customHeight="1"/>
    <row r="10" spans="1:11" ht="138.75" customHeight="1">
      <c r="A10" s="915" t="s">
        <v>4</v>
      </c>
    </row>
    <row r="12" spans="1:11" ht="15.6">
      <c r="A12" s="556" t="s">
        <v>5</v>
      </c>
    </row>
    <row r="13" spans="1:11" ht="95.25" customHeight="1">
      <c r="A13" s="411" t="s">
        <v>6</v>
      </c>
    </row>
    <row r="14" spans="1:11">
      <c r="A14" s="2"/>
    </row>
    <row r="15" spans="1:11">
      <c r="A15" s="413" t="s">
        <v>7</v>
      </c>
    </row>
    <row r="16" spans="1:11">
      <c r="A16" s="3" t="s">
        <v>8</v>
      </c>
    </row>
    <row r="17" spans="1:26">
      <c r="A17" s="3"/>
    </row>
    <row r="18" spans="1:26">
      <c r="A18" s="413" t="s">
        <v>9</v>
      </c>
    </row>
    <row r="19" spans="1:26" ht="28.8">
      <c r="A19" s="3" t="s">
        <v>10</v>
      </c>
    </row>
    <row r="20" spans="1:26">
      <c r="A20" s="2"/>
    </row>
    <row r="21" spans="1:26">
      <c r="A21" s="1600" t="s">
        <v>11</v>
      </c>
    </row>
    <row r="22" spans="1:26">
      <c r="A22" s="413" t="s">
        <v>12</v>
      </c>
    </row>
    <row r="23" spans="1:26" hidden="1">
      <c r="A23" s="412" t="s">
        <v>13</v>
      </c>
    </row>
    <row r="24" spans="1:26" ht="28.8" hidden="1">
      <c r="A24" s="412" t="s">
        <v>14</v>
      </c>
    </row>
    <row r="25" spans="1:26" ht="28.8" hidden="1">
      <c r="A25" s="412" t="s">
        <v>15</v>
      </c>
    </row>
    <row r="26" spans="1:26" ht="43.2">
      <c r="A26" s="2" t="s">
        <v>16</v>
      </c>
    </row>
    <row r="27" spans="1:26" ht="33.75" customHeight="1">
      <c r="A27" s="2" t="s">
        <v>17</v>
      </c>
    </row>
    <row r="28" spans="1:26" ht="28.8">
      <c r="A28" s="2" t="s">
        <v>18</v>
      </c>
      <c r="S28" s="6"/>
      <c r="T28" s="6"/>
      <c r="U28" s="6"/>
      <c r="V28" s="6"/>
      <c r="W28" s="6"/>
      <c r="X28" s="6"/>
      <c r="Y28" s="6"/>
      <c r="Z28" s="6"/>
    </row>
    <row r="29" spans="1:26">
      <c r="A29" t="s">
        <v>19</v>
      </c>
      <c r="S29" s="6"/>
      <c r="T29" s="6"/>
      <c r="U29" s="6"/>
      <c r="V29" s="6"/>
      <c r="W29" s="6"/>
      <c r="X29" s="6"/>
      <c r="Y29" s="6"/>
      <c r="Z29" s="6"/>
    </row>
    <row r="30" spans="1:26">
      <c r="A30" s="1" t="s">
        <v>20</v>
      </c>
      <c r="S30" s="6"/>
      <c r="T30" s="6"/>
      <c r="U30" s="6"/>
      <c r="V30" s="6"/>
      <c r="W30" s="6"/>
      <c r="X30" s="6"/>
      <c r="Y30" s="6"/>
      <c r="Z30" s="6"/>
    </row>
    <row r="31" spans="1:26">
      <c r="A31" s="1" t="s">
        <v>21</v>
      </c>
      <c r="S31" s="6"/>
      <c r="T31" s="6"/>
      <c r="U31" s="6"/>
      <c r="V31" s="6"/>
      <c r="W31" s="6"/>
      <c r="X31" s="6"/>
      <c r="Y31" s="6"/>
      <c r="Z31" s="6"/>
    </row>
    <row r="32" spans="1:26">
      <c r="A32" s="1" t="s">
        <v>22</v>
      </c>
      <c r="S32" s="6"/>
      <c r="T32" s="6"/>
      <c r="U32" s="6"/>
      <c r="V32" s="6"/>
      <c r="W32" s="6"/>
      <c r="X32" s="6"/>
      <c r="Y32" s="6"/>
      <c r="Z32" s="6"/>
    </row>
    <row r="33" spans="1:26">
      <c r="A33" s="1" t="s">
        <v>23</v>
      </c>
      <c r="S33" s="6"/>
      <c r="T33" s="6"/>
      <c r="U33" s="6"/>
      <c r="V33" s="6"/>
      <c r="W33" s="6"/>
      <c r="X33" s="6"/>
      <c r="Y33" s="6"/>
      <c r="Z33" s="6"/>
    </row>
    <row r="34" spans="1:26">
      <c r="A34" s="1" t="s">
        <v>24</v>
      </c>
      <c r="S34" s="6"/>
      <c r="T34" s="6"/>
      <c r="U34" s="6"/>
      <c r="V34" s="6"/>
      <c r="W34" s="6"/>
      <c r="X34" s="6"/>
      <c r="Y34" s="6"/>
      <c r="Z34" s="6"/>
    </row>
    <row r="35" spans="1:26">
      <c r="A35" s="1" t="s">
        <v>25</v>
      </c>
      <c r="S35" s="6"/>
      <c r="T35" s="6"/>
      <c r="U35" s="6"/>
      <c r="V35" s="6"/>
      <c r="W35" s="6"/>
      <c r="X35" s="6"/>
      <c r="Y35" s="6"/>
      <c r="Z35" s="6"/>
    </row>
    <row r="36" spans="1:26">
      <c r="S36" s="6"/>
      <c r="T36" s="6"/>
      <c r="U36" s="6"/>
      <c r="V36" s="6"/>
      <c r="W36" s="6"/>
      <c r="X36" s="6"/>
      <c r="Y36" s="6"/>
      <c r="Z36" s="6"/>
    </row>
    <row r="37" spans="1:26">
      <c r="A37" s="413" t="s">
        <v>26</v>
      </c>
      <c r="S37" s="6"/>
      <c r="T37" s="6"/>
      <c r="U37" s="6"/>
      <c r="V37" s="6"/>
      <c r="W37" s="6"/>
      <c r="X37" s="6"/>
      <c r="Y37" s="6"/>
      <c r="Z37" s="6"/>
    </row>
    <row r="38" spans="1:26" ht="43.2">
      <c r="A38" s="3" t="s">
        <v>27</v>
      </c>
      <c r="S38" s="6"/>
      <c r="T38" s="6"/>
      <c r="U38" s="6"/>
      <c r="V38" s="6"/>
      <c r="W38" s="6"/>
      <c r="X38" s="6"/>
      <c r="Y38" s="6"/>
      <c r="Z38" s="6"/>
    </row>
    <row r="39" spans="1:26">
      <c r="A39" s="413" t="s">
        <v>28</v>
      </c>
      <c r="S39" s="6"/>
      <c r="T39" s="6"/>
      <c r="U39" s="6"/>
      <c r="V39" s="6"/>
      <c r="W39" s="6"/>
      <c r="X39" s="6"/>
      <c r="Y39" s="6"/>
      <c r="Z39" s="6"/>
    </row>
    <row r="40" spans="1:26" hidden="1">
      <c r="A40" s="336" t="s">
        <v>29</v>
      </c>
      <c r="S40" s="6"/>
      <c r="T40" s="6"/>
      <c r="U40" s="6"/>
      <c r="V40" s="6"/>
      <c r="W40" s="6"/>
      <c r="X40" s="6"/>
      <c r="Y40" s="6"/>
      <c r="Z40" s="6"/>
    </row>
    <row r="41" spans="1:26" hidden="1">
      <c r="A41" s="336" t="s">
        <v>30</v>
      </c>
      <c r="S41" s="6"/>
      <c r="T41" s="6"/>
      <c r="U41" s="6"/>
      <c r="V41" s="6"/>
      <c r="W41" s="6"/>
      <c r="X41" s="6"/>
      <c r="Y41" s="6"/>
      <c r="Z41" s="6"/>
    </row>
    <row r="42" spans="1:26" hidden="1">
      <c r="A42" s="336" t="s">
        <v>31</v>
      </c>
      <c r="S42" s="6"/>
      <c r="T42" s="6"/>
      <c r="U42" s="6"/>
      <c r="V42" s="6"/>
      <c r="W42" s="6"/>
      <c r="X42" s="6"/>
      <c r="Y42" s="6"/>
      <c r="Z42" s="6"/>
    </row>
    <row r="43" spans="1:26" ht="28.8" hidden="1">
      <c r="A43" s="412" t="s">
        <v>32</v>
      </c>
      <c r="S43" s="6"/>
      <c r="T43" s="6"/>
      <c r="U43" s="6"/>
      <c r="V43" s="6"/>
      <c r="W43" s="6"/>
      <c r="X43" s="6"/>
      <c r="Y43" s="6"/>
      <c r="Z43" s="6"/>
    </row>
    <row r="44" spans="1:26" hidden="1">
      <c r="A44" s="336" t="s">
        <v>33</v>
      </c>
      <c r="S44" s="6"/>
      <c r="T44" s="6"/>
      <c r="U44" s="6"/>
      <c r="V44" s="6"/>
      <c r="W44" s="6"/>
      <c r="X44" s="6"/>
      <c r="Y44" s="6"/>
      <c r="Z44" s="6"/>
    </row>
    <row r="45" spans="1:26" hidden="1">
      <c r="A45" s="336" t="s">
        <v>34</v>
      </c>
      <c r="S45" s="6"/>
      <c r="T45" s="6"/>
      <c r="U45" s="6"/>
      <c r="V45" s="6"/>
      <c r="W45" s="6"/>
      <c r="X45" s="6"/>
      <c r="Y45" s="6"/>
      <c r="Z45" s="6"/>
    </row>
    <row r="46" spans="1:26" hidden="1">
      <c r="A46" s="336" t="s">
        <v>35</v>
      </c>
      <c r="S46" s="6"/>
      <c r="T46" s="6"/>
      <c r="U46" s="6"/>
      <c r="V46" s="6"/>
      <c r="W46" s="6"/>
      <c r="X46" s="6"/>
      <c r="Y46" s="6"/>
      <c r="Z46" s="6"/>
    </row>
    <row r="47" spans="1:26" ht="28.8" hidden="1">
      <c r="A47" s="412" t="s">
        <v>36</v>
      </c>
      <c r="S47" s="6"/>
      <c r="T47" s="6"/>
      <c r="U47" s="6"/>
      <c r="V47" s="6"/>
      <c r="W47" s="6"/>
      <c r="X47" s="6"/>
      <c r="Y47" s="6"/>
      <c r="Z47" s="6"/>
    </row>
    <row r="48" spans="1:26" ht="47.25" hidden="1" customHeight="1">
      <c r="A48" s="412" t="s">
        <v>37</v>
      </c>
      <c r="S48" s="6"/>
      <c r="T48" s="6"/>
      <c r="U48" s="6"/>
      <c r="V48" s="6"/>
      <c r="W48" s="6"/>
      <c r="X48" s="6"/>
      <c r="Y48" s="6"/>
      <c r="Z48" s="6"/>
    </row>
    <row r="49" spans="1:26" ht="15" hidden="1" customHeight="1">
      <c r="A49" s="412" t="s">
        <v>38</v>
      </c>
      <c r="S49" s="6"/>
      <c r="T49" s="6"/>
      <c r="U49" s="6"/>
      <c r="V49" s="6"/>
      <c r="W49" s="6"/>
      <c r="X49" s="6"/>
      <c r="Y49" s="6"/>
      <c r="Z49" s="6"/>
    </row>
    <row r="50" spans="1:26" ht="29.25" hidden="1" customHeight="1">
      <c r="A50" s="412" t="s">
        <v>39</v>
      </c>
      <c r="S50" s="6"/>
      <c r="T50" s="6"/>
      <c r="U50" s="6"/>
      <c r="V50" s="6"/>
      <c r="W50" s="6"/>
      <c r="X50" s="6"/>
      <c r="Y50" s="6"/>
      <c r="Z50" s="6"/>
    </row>
    <row r="51" spans="1:26">
      <c r="S51" s="6"/>
      <c r="T51" s="6"/>
      <c r="U51" s="6"/>
      <c r="V51" s="6"/>
      <c r="W51" s="6"/>
      <c r="X51" s="6"/>
      <c r="Y51" s="6"/>
      <c r="Z51" s="6"/>
    </row>
    <row r="52" spans="1:26">
      <c r="A52" s="413" t="s">
        <v>40</v>
      </c>
      <c r="S52" s="6"/>
      <c r="T52" s="6"/>
      <c r="U52" s="6"/>
      <c r="V52" s="6"/>
      <c r="W52" s="6"/>
      <c r="X52" s="6"/>
      <c r="Y52" s="6"/>
      <c r="Z52" s="6"/>
    </row>
    <row r="53" spans="1:26">
      <c r="A53" s="3" t="s">
        <v>41</v>
      </c>
      <c r="S53" s="6"/>
      <c r="T53" s="6"/>
      <c r="U53" s="6"/>
      <c r="V53" s="6"/>
      <c r="W53" s="6"/>
      <c r="X53" s="6"/>
      <c r="Y53" s="6"/>
      <c r="Z53" s="6"/>
    </row>
    <row r="54" spans="1:26">
      <c r="A54" s="3" t="s">
        <v>42</v>
      </c>
      <c r="S54" s="6"/>
      <c r="T54" s="6"/>
      <c r="U54" s="6"/>
      <c r="V54" s="6"/>
      <c r="W54" s="6"/>
      <c r="X54" s="6"/>
      <c r="Y54" s="6"/>
      <c r="Z54" s="6"/>
    </row>
    <row r="55" spans="1:26" ht="30.75" hidden="1" customHeight="1">
      <c r="A55" s="2" t="s">
        <v>43</v>
      </c>
      <c r="S55" s="6"/>
      <c r="T55" s="6"/>
      <c r="U55" s="6"/>
      <c r="V55" s="6"/>
      <c r="W55" s="6"/>
      <c r="X55" s="6"/>
      <c r="Y55" s="6"/>
      <c r="Z55" s="6"/>
    </row>
    <row r="56" spans="1:26" ht="28.8" hidden="1">
      <c r="A56" s="2" t="s">
        <v>44</v>
      </c>
      <c r="S56" s="6"/>
      <c r="T56" s="6"/>
      <c r="U56" s="6"/>
      <c r="V56" s="6"/>
      <c r="W56" s="6"/>
      <c r="X56" s="6"/>
      <c r="Y56" s="6"/>
      <c r="Z56" s="6"/>
    </row>
    <row r="57" spans="1:26">
      <c r="A57" s="2" t="s">
        <v>45</v>
      </c>
      <c r="S57" s="6"/>
      <c r="T57" s="6"/>
      <c r="U57" s="6"/>
      <c r="V57" s="6"/>
      <c r="W57" s="6"/>
      <c r="X57" s="6"/>
      <c r="Y57" s="6"/>
      <c r="Z57" s="6"/>
    </row>
    <row r="58" spans="1:26">
      <c r="S58" s="6"/>
      <c r="T58" s="6"/>
      <c r="U58" s="6"/>
      <c r="V58" s="6"/>
      <c r="W58" s="6"/>
      <c r="X58" s="6"/>
      <c r="Y58" s="6"/>
      <c r="Z58" s="6"/>
    </row>
    <row r="59" spans="1:26">
      <c r="A59" s="413" t="s">
        <v>46</v>
      </c>
      <c r="S59" s="6"/>
      <c r="T59" s="6"/>
      <c r="U59" s="6"/>
      <c r="V59" s="6"/>
      <c r="W59" s="6"/>
      <c r="X59" s="6"/>
      <c r="Y59" s="6"/>
      <c r="Z59" s="6"/>
    </row>
    <row r="60" spans="1:26">
      <c r="A60" s="3" t="s">
        <v>47</v>
      </c>
      <c r="S60" s="6"/>
      <c r="T60" s="6"/>
      <c r="U60" s="6"/>
      <c r="V60" s="6"/>
      <c r="W60" s="6"/>
      <c r="X60" s="6"/>
      <c r="Y60" s="6"/>
      <c r="Z60" s="6"/>
    </row>
    <row r="61" spans="1:26">
      <c r="A61" s="2"/>
      <c r="S61" s="6"/>
      <c r="T61" s="6"/>
      <c r="U61" s="6"/>
      <c r="V61" s="6"/>
      <c r="W61" s="6"/>
      <c r="X61" s="6"/>
      <c r="Y61" s="6"/>
      <c r="Z61" s="6"/>
    </row>
    <row r="62" spans="1:26">
      <c r="A62" s="413" t="s">
        <v>48</v>
      </c>
      <c r="S62" s="6"/>
      <c r="T62" s="6"/>
      <c r="U62" s="6"/>
      <c r="V62" s="6"/>
      <c r="W62" s="6"/>
      <c r="X62" s="6"/>
      <c r="Y62" s="6"/>
      <c r="Z62" s="6"/>
    </row>
    <row r="63" spans="1:26">
      <c r="A63" s="3" t="s">
        <v>49</v>
      </c>
      <c r="S63" s="6"/>
      <c r="T63" s="6"/>
      <c r="U63" s="6"/>
      <c r="V63" s="6"/>
      <c r="W63" s="6"/>
      <c r="X63" s="6"/>
      <c r="Y63" s="6"/>
      <c r="Z63" s="6"/>
    </row>
    <row r="64" spans="1:26" ht="15" customHeight="1">
      <c r="A64" s="3" t="s">
        <v>50</v>
      </c>
      <c r="S64" s="6"/>
      <c r="T64" s="6"/>
      <c r="U64" s="6"/>
      <c r="V64" s="6"/>
      <c r="W64" s="6"/>
      <c r="X64" s="6"/>
      <c r="Y64" s="6"/>
      <c r="Z64" s="6"/>
    </row>
    <row r="65" spans="1:26">
      <c r="S65" s="6"/>
      <c r="T65" s="6"/>
      <c r="U65" s="6"/>
      <c r="V65" s="6"/>
      <c r="W65" s="6"/>
      <c r="X65" s="6"/>
      <c r="Y65" s="6"/>
      <c r="Z65" s="6"/>
    </row>
    <row r="66" spans="1:26">
      <c r="A66" s="413" t="s">
        <v>51</v>
      </c>
    </row>
    <row r="67" spans="1:26">
      <c r="A67" s="3" t="s">
        <v>52</v>
      </c>
    </row>
    <row r="68" spans="1:26">
      <c r="A68" s="3"/>
    </row>
    <row r="69" spans="1:26">
      <c r="A69" s="413" t="s">
        <v>53</v>
      </c>
    </row>
    <row r="70" spans="1:26">
      <c r="A70" s="3" t="s">
        <v>54</v>
      </c>
    </row>
    <row r="71" spans="1:26">
      <c r="A71" s="3" t="s">
        <v>55</v>
      </c>
    </row>
    <row r="72" spans="1:26">
      <c r="A72" s="413" t="s">
        <v>51</v>
      </c>
    </row>
    <row r="74" spans="1:26">
      <c r="A74" s="413" t="s">
        <v>56</v>
      </c>
    </row>
    <row r="75" spans="1:26">
      <c r="A75" s="3" t="s">
        <v>57</v>
      </c>
    </row>
    <row r="77" spans="1:26">
      <c r="A77" s="413" t="s">
        <v>58</v>
      </c>
    </row>
    <row r="78" spans="1:26">
      <c r="A78" s="1931" t="s">
        <v>1440</v>
      </c>
    </row>
    <row r="80" spans="1:26">
      <c r="A80" s="413" t="s">
        <v>59</v>
      </c>
    </row>
    <row r="81" spans="1:1">
      <c r="A81" s="3" t="s">
        <v>60</v>
      </c>
    </row>
    <row r="82" spans="1:1">
      <c r="A82" s="3"/>
    </row>
    <row r="83" spans="1:1">
      <c r="A83" s="413" t="s">
        <v>61</v>
      </c>
    </row>
    <row r="84" spans="1:1">
      <c r="A84" s="3" t="s">
        <v>62</v>
      </c>
    </row>
    <row r="85" spans="1:1">
      <c r="A85" s="3"/>
    </row>
    <row r="86" spans="1:1">
      <c r="A86" s="413" t="s">
        <v>63</v>
      </c>
    </row>
    <row r="87" spans="1:1">
      <c r="A87" s="3" t="s">
        <v>64</v>
      </c>
    </row>
    <row r="88" spans="1:1">
      <c r="A88" s="3"/>
    </row>
    <row r="89" spans="1:1">
      <c r="A89" s="413" t="s">
        <v>65</v>
      </c>
    </row>
    <row r="90" spans="1:1">
      <c r="A90" s="3" t="s">
        <v>66</v>
      </c>
    </row>
    <row r="91" spans="1:1" ht="28.8">
      <c r="A91" s="3" t="s">
        <v>67</v>
      </c>
    </row>
    <row r="92" spans="1:1">
      <c r="A92" s="902"/>
    </row>
    <row r="93" spans="1:1">
      <c r="A93" s="413" t="s">
        <v>68</v>
      </c>
    </row>
    <row r="96" spans="1:1">
      <c r="A96" s="555" t="s">
        <v>69</v>
      </c>
    </row>
    <row r="97" spans="1:1">
      <c r="A97" s="3" t="s">
        <v>1438</v>
      </c>
    </row>
    <row r="98" spans="1:1">
      <c r="A98" s="3" t="s">
        <v>70</v>
      </c>
    </row>
  </sheetData>
  <sheetProtection algorithmName="SHA-512" hashValue="hXLK6Xb56NkGELUNk+hYaztM+PlJ+OU/nXZV7nq9eHi2KQtMXIGo29S1VyoL21TgmerUa0j3wf5Mb8XcqMPcyg==" saltValue="IeyxmI+QDWyVolxXqXifzw==" spinCount="100000" sheet="1" objects="1" scenarios="1"/>
  <hyperlinks>
    <hyperlink ref="A6" location="HypLink1" display="HypLink1" xr:uid="{B4FAA55C-DF6E-4B2A-9D27-F7F9957BFA3F}"/>
  </hyperlinks>
  <pageMargins left="0.35" right="0.25" top="0.32" bottom="0.5" header="0.32" footer="0.3"/>
  <pageSetup orientation="portrait" r:id="rId1"/>
  <headerFooter>
    <oddFooter>&amp;L&amp;7&amp;D  at &amp;T Mike 702.854.0691&amp;C&amp;7Page &amp;P of &amp;N&amp;R&amp;7&amp;F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81CE9-B846-4798-9852-6D9BC3CBBF3C}">
  <sheetPr codeName="Sheet15">
    <tabColor theme="3" tint="0.59999389629810485"/>
  </sheetPr>
  <dimension ref="A1:G28"/>
  <sheetViews>
    <sheetView workbookViewId="0"/>
  </sheetViews>
  <sheetFormatPr defaultRowHeight="15.6"/>
  <cols>
    <col min="1" max="1" width="1.21875" style="183" customWidth="1"/>
    <col min="2" max="2" width="3.21875" customWidth="1"/>
    <col min="3" max="3" width="19" customWidth="1"/>
    <col min="4" max="4" width="21.5546875" customWidth="1"/>
    <col min="5" max="5" width="25.44140625" customWidth="1"/>
    <col min="6" max="6" width="23.21875" customWidth="1"/>
    <col min="7" max="7" width="14.5546875" customWidth="1"/>
  </cols>
  <sheetData>
    <row r="1" spans="1:7">
      <c r="A1" s="26" t="s">
        <v>71</v>
      </c>
      <c r="B1" s="26"/>
      <c r="C1" s="26"/>
      <c r="D1" s="26"/>
      <c r="F1" s="557" t="s">
        <v>2</v>
      </c>
    </row>
    <row r="2" spans="1:7">
      <c r="A2" s="187" t="str">
        <f>SchoolName</f>
        <v>Southern Nevada Trades High School</v>
      </c>
      <c r="B2" s="188"/>
      <c r="C2" s="188"/>
      <c r="D2" s="188"/>
    </row>
    <row r="3" spans="1:7" ht="14.4">
      <c r="A3" s="184" t="s">
        <v>72</v>
      </c>
    </row>
    <row r="4" spans="1:7" ht="14.4">
      <c r="A4" s="185" t="s">
        <v>73</v>
      </c>
    </row>
    <row r="5" spans="1:7" ht="14.4">
      <c r="A5" s="186" t="str">
        <f ca="1">CELL("filename")</f>
        <v>C:\Users\jewel\Documents\SNTHS\CHARTER APP FINAL\FINAL COMPILED\[SNTHS Budget Worksheet.xlsx]Summary</v>
      </c>
    </row>
    <row r="8" spans="1:7">
      <c r="C8" s="1597" t="s">
        <v>74</v>
      </c>
      <c r="D8" s="1597"/>
      <c r="E8" s="1597"/>
      <c r="F8" s="94"/>
      <c r="G8" s="94"/>
    </row>
    <row r="9" spans="1:7" ht="34.799999999999997">
      <c r="B9" s="649">
        <f>ROW()</f>
        <v>9</v>
      </c>
      <c r="C9" s="2175" t="s">
        <v>1550</v>
      </c>
      <c r="D9" s="2175"/>
      <c r="E9" s="2175"/>
      <c r="F9" s="2175"/>
      <c r="G9" s="2175"/>
    </row>
    <row r="10" spans="1:7">
      <c r="B10" s="649">
        <f>ROW()</f>
        <v>10</v>
      </c>
    </row>
    <row r="11" spans="1:7">
      <c r="B11" s="649">
        <f>ROW()</f>
        <v>11</v>
      </c>
      <c r="C11" s="237" t="s">
        <v>76</v>
      </c>
      <c r="E11" s="409">
        <v>2023</v>
      </c>
      <c r="F11" s="1260" t="str">
        <f>"Fiscal Year July 1, 20"&amp;RIGHT(E11,2)</f>
        <v>Fiscal Year July 1, 2023</v>
      </c>
    </row>
    <row r="12" spans="1:7">
      <c r="B12" s="649">
        <f>ROW()</f>
        <v>12</v>
      </c>
      <c r="C12" s="237" t="s">
        <v>77</v>
      </c>
      <c r="E12" s="270">
        <f>+E11+1</f>
        <v>2024</v>
      </c>
      <c r="F12" s="1260" t="str">
        <f>"aka Fiscal Year Ending (FYE) Jun 30, 20"&amp;RIGHT(E12,2)</f>
        <v>aka Fiscal Year Ending (FYE) Jun 30, 2024</v>
      </c>
    </row>
    <row r="13" spans="1:7">
      <c r="B13" s="649">
        <f>ROW()</f>
        <v>13</v>
      </c>
    </row>
    <row r="14" spans="1:7">
      <c r="B14" s="649">
        <f>ROW()</f>
        <v>14</v>
      </c>
      <c r="C14" s="1597" t="s">
        <v>78</v>
      </c>
      <c r="D14" s="1597"/>
      <c r="E14" s="93" t="s">
        <v>79</v>
      </c>
      <c r="F14" s="2177" t="s">
        <v>80</v>
      </c>
      <c r="G14" s="2177"/>
    </row>
    <row r="15" spans="1:7">
      <c r="B15" s="649">
        <f>ROW()</f>
        <v>15</v>
      </c>
      <c r="C15" s="2178" t="s">
        <v>1472</v>
      </c>
      <c r="D15" s="2178"/>
      <c r="E15" s="410" t="s">
        <v>1473</v>
      </c>
      <c r="F15" s="2179" t="s">
        <v>1474</v>
      </c>
      <c r="G15" s="2179"/>
    </row>
    <row r="16" spans="1:7">
      <c r="B16" s="649">
        <f>ROW()</f>
        <v>16</v>
      </c>
      <c r="C16" s="2180"/>
      <c r="D16" s="2180"/>
      <c r="E16" s="410"/>
      <c r="F16" s="2181"/>
      <c r="G16" s="2181"/>
    </row>
    <row r="17" spans="2:7" ht="30.75" customHeight="1">
      <c r="B17" s="649">
        <f>ROW()</f>
        <v>17</v>
      </c>
      <c r="C17" s="2176" t="s">
        <v>82</v>
      </c>
      <c r="D17" s="2176"/>
      <c r="E17" s="2176"/>
      <c r="F17" s="2176"/>
      <c r="G17" s="2176"/>
    </row>
    <row r="18" spans="2:7" ht="18" customHeight="1">
      <c r="B18" s="649">
        <f>ROW()</f>
        <v>18</v>
      </c>
      <c r="C18" s="2182" t="s">
        <v>1546</v>
      </c>
      <c r="D18" s="2182"/>
      <c r="E18" s="2182"/>
      <c r="F18" s="2182"/>
      <c r="G18" s="2182"/>
    </row>
    <row r="19" spans="2:7" ht="18" customHeight="1">
      <c r="B19" s="649">
        <f>ROW()</f>
        <v>19</v>
      </c>
      <c r="C19" s="2174" t="s">
        <v>83</v>
      </c>
      <c r="D19" s="2174"/>
      <c r="E19" s="2174"/>
      <c r="F19" s="2174"/>
      <c r="G19" s="2174"/>
    </row>
    <row r="20" spans="2:7">
      <c r="B20" s="649">
        <f>ROW()</f>
        <v>20</v>
      </c>
      <c r="C20" s="141" t="s">
        <v>84</v>
      </c>
    </row>
    <row r="21" spans="2:7">
      <c r="B21" s="649">
        <f>ROW()</f>
        <v>21</v>
      </c>
      <c r="C21" s="141"/>
    </row>
    <row r="22" spans="2:7">
      <c r="B22" s="649">
        <f>ROW()</f>
        <v>22</v>
      </c>
      <c r="C22" s="81" t="s">
        <v>85</v>
      </c>
    </row>
    <row r="23" spans="2:7">
      <c r="B23" s="649">
        <f>ROW()</f>
        <v>23</v>
      </c>
      <c r="C23" s="359" t="s">
        <v>990</v>
      </c>
      <c r="D23" s="237" t="s">
        <v>86</v>
      </c>
    </row>
    <row r="24" spans="2:7">
      <c r="B24" s="649">
        <f>ROW()</f>
        <v>24</v>
      </c>
      <c r="C24" s="170"/>
      <c r="D24" s="75" t="s">
        <v>87</v>
      </c>
    </row>
    <row r="25" spans="2:7">
      <c r="B25" s="649">
        <f>ROW()</f>
        <v>25</v>
      </c>
      <c r="C25" s="359" t="s">
        <v>990</v>
      </c>
      <c r="D25" s="75" t="s">
        <v>88</v>
      </c>
    </row>
    <row r="26" spans="2:7">
      <c r="B26" s="649">
        <f>ROW()</f>
        <v>26</v>
      </c>
      <c r="C26" s="170"/>
    </row>
    <row r="27" spans="2:7">
      <c r="B27" s="649">
        <f>ROW()</f>
        <v>27</v>
      </c>
      <c r="C27" s="359" t="s">
        <v>990</v>
      </c>
      <c r="D27" s="75" t="s">
        <v>89</v>
      </c>
    </row>
    <row r="28" spans="2:7">
      <c r="B28" s="649">
        <f>ROW()</f>
        <v>28</v>
      </c>
    </row>
  </sheetData>
  <sheetProtection algorithmName="SHA-512" hashValue="OS6mbYDPPm05qp503uj8jD/dKde2ca8OFe5faLTDbxCFDCgdiVsLkdXHmVLcB/Z8dNwv12fFfT1022fNIGLlvQ==" saltValue="wZUHydx2V5w0XmlnB1vCLw==" spinCount="100000" sheet="1" objects="1" scenarios="1"/>
  <mergeCells count="9">
    <mergeCell ref="C19:G19"/>
    <mergeCell ref="C9:G9"/>
    <mergeCell ref="C17:G17"/>
    <mergeCell ref="F14:G14"/>
    <mergeCell ref="C15:D15"/>
    <mergeCell ref="F15:G15"/>
    <mergeCell ref="C16:D16"/>
    <mergeCell ref="F16:G16"/>
    <mergeCell ref="C18:G18"/>
  </mergeCells>
  <conditionalFormatting sqref="D23">
    <cfRule type="cellIs" dxfId="112" priority="9" stopIfTrue="1" operator="equal">
      <formula>0</formula>
    </cfRule>
  </conditionalFormatting>
  <conditionalFormatting sqref="C11">
    <cfRule type="cellIs" dxfId="111" priority="8" stopIfTrue="1" operator="equal">
      <formula>0</formula>
    </cfRule>
  </conditionalFormatting>
  <conditionalFormatting sqref="F1">
    <cfRule type="expression" dxfId="110" priority="3" stopIfTrue="1">
      <formula>MOD(ROW(),2)=0</formula>
    </cfRule>
  </conditionalFormatting>
  <conditionalFormatting sqref="C12">
    <cfRule type="cellIs" dxfId="109" priority="1" stopIfTrue="1" operator="equal">
      <formula>0</formula>
    </cfRule>
  </conditionalFormatting>
  <hyperlinks>
    <hyperlink ref="F1" location="HypLink1" display="HypLink1" xr:uid="{A1A8BAD8-FB75-4113-A7FE-EC7887A9CE4A}"/>
  </hyperlinks>
  <printOptions horizontalCentered="1"/>
  <pageMargins left="0.25" right="0.25" top="0.5" bottom="0.45" header="0.25" footer="0.25"/>
  <pageSetup scale="98" orientation="landscape" r:id="rId1"/>
  <headerFooter>
    <oddHeader xml:space="preserve">&amp;L &amp;C &amp;R </oddHeader>
    <oddFooter>&amp;L&amp;7&amp;D  at &amp;T Mike 702.486.8879&amp;C&amp;7&amp;F  &amp;A&amp;R&amp;7Page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5338-B7CD-4126-B245-F298DB5C0541}">
  <sheetPr codeName="Sheet23">
    <tabColor theme="3" tint="0.59999389629810485"/>
  </sheetPr>
  <dimension ref="A1:S34"/>
  <sheetViews>
    <sheetView showGridLines="0" view="pageBreakPreview" zoomScale="115" zoomScaleNormal="100" zoomScaleSheetLayoutView="115" workbookViewId="0">
      <selection activeCell="C9" sqref="C9"/>
    </sheetView>
  </sheetViews>
  <sheetFormatPr defaultRowHeight="15.6"/>
  <cols>
    <col min="1" max="1" width="6.21875" style="183" customWidth="1"/>
    <col min="2" max="2" width="31.77734375" style="183" customWidth="1"/>
    <col min="3" max="4" width="11.21875" style="183" bestFit="1" customWidth="1"/>
    <col min="10" max="10" width="14.77734375" customWidth="1"/>
    <col min="11" max="11" width="2.21875" customWidth="1"/>
    <col min="12" max="12" width="4.77734375" customWidth="1"/>
    <col min="13" max="13" width="47.77734375" style="1937" customWidth="1"/>
  </cols>
  <sheetData>
    <row r="1" spans="1:19">
      <c r="A1" s="26" t="s">
        <v>90</v>
      </c>
      <c r="B1" s="26"/>
      <c r="C1" s="26"/>
      <c r="D1" s="26"/>
      <c r="E1" s="26"/>
      <c r="F1" s="26"/>
    </row>
    <row r="2" spans="1:19">
      <c r="A2" s="187" t="str">
        <f>SchoolName</f>
        <v>Southern Nevada Trades High School</v>
      </c>
      <c r="B2" s="187"/>
      <c r="C2" s="187"/>
      <c r="D2" s="187"/>
      <c r="E2" s="188"/>
      <c r="F2" s="188"/>
    </row>
    <row r="3" spans="1:19" ht="14.4">
      <c r="A3" s="502" t="s">
        <v>1</v>
      </c>
      <c r="B3" s="502"/>
      <c r="C3" s="502"/>
      <c r="D3" s="502"/>
    </row>
    <row r="4" spans="1:19" ht="14.4">
      <c r="A4" s="503" t="str">
        <f ca="1">CELL("filename")</f>
        <v>C:\Users\jewel\Documents\SNTHS\CHARTER APP FINAL\FINAL COMPILED\[SNTHS Budget Worksheet.xlsx]Summary</v>
      </c>
      <c r="B4" s="503"/>
      <c r="C4" s="503"/>
      <c r="D4" s="503"/>
    </row>
    <row r="5" spans="1:19">
      <c r="A5" s="1842" t="s">
        <v>1346</v>
      </c>
    </row>
    <row r="6" spans="1:19">
      <c r="C6" s="1929" t="s">
        <v>91</v>
      </c>
      <c r="D6" s="1929" t="s">
        <v>91</v>
      </c>
      <c r="E6" s="75"/>
      <c r="F6" s="75"/>
    </row>
    <row r="7" spans="1:19">
      <c r="B7" s="553"/>
      <c r="C7" s="1930" t="s">
        <v>92</v>
      </c>
      <c r="D7" s="1930" t="s">
        <v>93</v>
      </c>
      <c r="E7" s="923" t="s">
        <v>94</v>
      </c>
      <c r="F7" s="94"/>
      <c r="G7" s="554"/>
      <c r="H7" s="554"/>
      <c r="I7" s="554"/>
      <c r="J7" s="554"/>
      <c r="M7" s="1936" t="s">
        <v>95</v>
      </c>
    </row>
    <row r="8" spans="1:19" ht="18.600000000000001" customHeight="1">
      <c r="B8" s="1842" t="s">
        <v>1345</v>
      </c>
      <c r="C8" s="1910" t="s">
        <v>1437</v>
      </c>
      <c r="F8" s="551"/>
      <c r="G8" s="551"/>
      <c r="H8" s="551"/>
      <c r="I8" s="552"/>
      <c r="J8" s="552"/>
      <c r="M8" s="922"/>
      <c r="S8" s="616"/>
    </row>
    <row r="9" spans="1:19" ht="18.600000000000001" customHeight="1">
      <c r="A9" s="1906">
        <f>ROW()-8</f>
        <v>1</v>
      </c>
      <c r="B9" s="2162" t="s">
        <v>1434</v>
      </c>
      <c r="C9" s="1728"/>
      <c r="D9" s="1728"/>
      <c r="E9" s="1909" t="s">
        <v>1435</v>
      </c>
      <c r="F9" s="1907"/>
      <c r="G9" s="1907"/>
      <c r="H9" s="1907"/>
      <c r="I9" s="1908"/>
      <c r="J9" s="1908"/>
      <c r="M9" s="922"/>
      <c r="S9" s="616"/>
    </row>
    <row r="10" spans="1:19" ht="18.600000000000001" customHeight="1">
      <c r="A10" s="1906">
        <f t="shared" ref="A10:A27" si="0">ROW()-8</f>
        <v>2</v>
      </c>
      <c r="B10" s="2163" t="s">
        <v>1418</v>
      </c>
      <c r="C10" s="1728"/>
      <c r="D10" s="1728"/>
      <c r="E10" s="500" t="s">
        <v>97</v>
      </c>
      <c r="F10" s="222"/>
      <c r="G10" s="222"/>
      <c r="H10" s="222"/>
      <c r="I10" s="501"/>
      <c r="J10" s="501"/>
      <c r="L10" s="1204"/>
      <c r="M10" s="922" t="s">
        <v>98</v>
      </c>
      <c r="S10" s="616"/>
    </row>
    <row r="11" spans="1:19" ht="18.600000000000001" customHeight="1">
      <c r="A11" s="1906">
        <f t="shared" si="0"/>
        <v>3</v>
      </c>
      <c r="B11" s="2163" t="s">
        <v>1419</v>
      </c>
      <c r="C11" s="1728"/>
      <c r="D11" s="1728"/>
      <c r="E11" s="550"/>
      <c r="G11" s="222"/>
      <c r="H11" s="222"/>
      <c r="I11" s="501"/>
      <c r="J11" s="501"/>
      <c r="M11" s="922"/>
      <c r="S11" s="616"/>
    </row>
    <row r="12" spans="1:19" ht="18.600000000000001" customHeight="1">
      <c r="A12" s="1906">
        <f t="shared" si="0"/>
        <v>4</v>
      </c>
      <c r="B12" s="2163" t="s">
        <v>1426</v>
      </c>
      <c r="C12" s="1728"/>
      <c r="D12" s="1728"/>
      <c r="E12" s="500" t="s">
        <v>99</v>
      </c>
      <c r="F12" s="222"/>
      <c r="G12" s="222"/>
      <c r="H12" s="222"/>
      <c r="I12" s="501"/>
      <c r="J12" s="501"/>
      <c r="M12" s="922"/>
      <c r="S12" s="616"/>
    </row>
    <row r="13" spans="1:19" ht="18.600000000000001" customHeight="1">
      <c r="A13" s="1906">
        <f t="shared" si="0"/>
        <v>5</v>
      </c>
      <c r="B13" s="2163" t="s">
        <v>1425</v>
      </c>
      <c r="C13" s="1728"/>
      <c r="D13" s="1728"/>
      <c r="E13" s="500" t="s">
        <v>100</v>
      </c>
      <c r="F13" s="222"/>
      <c r="G13" s="222"/>
      <c r="H13" s="222"/>
      <c r="I13" s="501"/>
      <c r="J13" s="501"/>
      <c r="M13" s="922"/>
      <c r="S13" s="616"/>
    </row>
    <row r="14" spans="1:19" ht="18.600000000000001" customHeight="1">
      <c r="A14" s="1906">
        <f t="shared" si="0"/>
        <v>6</v>
      </c>
      <c r="B14" s="2163" t="s">
        <v>802</v>
      </c>
      <c r="C14" s="1728"/>
      <c r="D14" s="1728"/>
      <c r="E14" s="500" t="s">
        <v>101</v>
      </c>
      <c r="F14" s="222"/>
      <c r="G14" s="222"/>
      <c r="H14" s="222"/>
      <c r="I14" s="501"/>
      <c r="J14" s="501"/>
      <c r="M14" s="922"/>
      <c r="S14" s="616"/>
    </row>
    <row r="15" spans="1:19" ht="18.600000000000001" customHeight="1">
      <c r="A15" s="1906">
        <f t="shared" si="0"/>
        <v>7</v>
      </c>
      <c r="B15" s="2163" t="s">
        <v>241</v>
      </c>
      <c r="C15" s="1728"/>
      <c r="D15" s="1728"/>
      <c r="E15" s="500" t="s">
        <v>103</v>
      </c>
      <c r="F15" s="222"/>
      <c r="G15" s="222"/>
      <c r="H15" s="222"/>
      <c r="I15" s="501"/>
      <c r="J15" s="501"/>
      <c r="M15" s="922"/>
      <c r="S15" s="616"/>
    </row>
    <row r="16" spans="1:19" ht="18.600000000000001" customHeight="1">
      <c r="A16" s="1906">
        <f t="shared" si="0"/>
        <v>8</v>
      </c>
      <c r="B16" s="2163" t="s">
        <v>1416</v>
      </c>
      <c r="C16" s="1728"/>
      <c r="D16" s="1728"/>
      <c r="E16" s="500" t="s">
        <v>104</v>
      </c>
      <c r="F16" s="222"/>
      <c r="G16" s="222"/>
      <c r="H16" s="222"/>
      <c r="I16" s="501"/>
      <c r="J16" s="501"/>
      <c r="M16" s="922"/>
      <c r="S16" s="616"/>
    </row>
    <row r="17" spans="1:19" ht="18.600000000000001" customHeight="1">
      <c r="A17" s="1906">
        <f t="shared" si="0"/>
        <v>9</v>
      </c>
      <c r="B17" s="2163" t="s">
        <v>102</v>
      </c>
      <c r="C17" s="1728"/>
      <c r="D17" s="1728"/>
      <c r="E17" s="500" t="s">
        <v>106</v>
      </c>
      <c r="F17" s="222"/>
      <c r="G17" s="222"/>
      <c r="H17" s="222"/>
      <c r="I17" s="501"/>
      <c r="J17" s="501"/>
      <c r="M17" s="922"/>
      <c r="S17" s="616"/>
    </row>
    <row r="18" spans="1:19" ht="31.95" customHeight="1">
      <c r="A18" s="1906">
        <f t="shared" si="0"/>
        <v>10</v>
      </c>
      <c r="B18" s="2163" t="s">
        <v>105</v>
      </c>
      <c r="C18" s="1728"/>
      <c r="D18" s="1728"/>
      <c r="E18" s="500" t="s">
        <v>108</v>
      </c>
      <c r="F18" s="222"/>
      <c r="G18" s="222"/>
      <c r="H18" s="222"/>
      <c r="I18" s="501"/>
      <c r="J18" s="501"/>
      <c r="M18" s="922"/>
      <c r="S18" s="616"/>
    </row>
    <row r="19" spans="1:19" ht="18.600000000000001" customHeight="1">
      <c r="A19" s="1906">
        <f t="shared" si="0"/>
        <v>11</v>
      </c>
      <c r="B19" s="2163" t="s">
        <v>1420</v>
      </c>
      <c r="C19" s="1728"/>
      <c r="D19" s="1728"/>
      <c r="E19" s="500" t="s">
        <v>109</v>
      </c>
      <c r="F19" s="222"/>
      <c r="G19" s="222"/>
      <c r="H19" s="222"/>
      <c r="I19" s="501"/>
      <c r="J19" s="501"/>
      <c r="M19" s="922"/>
      <c r="S19" s="616"/>
    </row>
    <row r="20" spans="1:19" ht="33.6" customHeight="1">
      <c r="A20" s="1906">
        <f t="shared" si="0"/>
        <v>12</v>
      </c>
      <c r="B20" s="2164" t="s">
        <v>1436</v>
      </c>
      <c r="C20" s="1728"/>
      <c r="D20" s="1728"/>
      <c r="E20" s="500" t="s">
        <v>111</v>
      </c>
      <c r="F20" s="222"/>
      <c r="G20" s="222"/>
      <c r="H20" s="222"/>
      <c r="I20" s="501"/>
      <c r="J20" s="501"/>
      <c r="M20" s="922"/>
      <c r="S20" s="616"/>
    </row>
    <row r="21" spans="1:19" ht="41.55" customHeight="1">
      <c r="A21" s="1906">
        <f t="shared" si="0"/>
        <v>13</v>
      </c>
      <c r="B21" s="2163" t="s">
        <v>149</v>
      </c>
      <c r="C21" s="1728"/>
      <c r="D21" s="1728"/>
      <c r="E21" s="2183" t="s">
        <v>1421</v>
      </c>
      <c r="F21" s="2184"/>
      <c r="G21" s="2184"/>
      <c r="H21" s="2184"/>
      <c r="I21" s="2184"/>
      <c r="J21" s="2184"/>
      <c r="M21" s="922"/>
      <c r="S21" s="616"/>
    </row>
    <row r="22" spans="1:19" ht="18.600000000000001" customHeight="1">
      <c r="A22" s="1906">
        <f t="shared" si="0"/>
        <v>14</v>
      </c>
      <c r="B22" s="2163" t="s">
        <v>110</v>
      </c>
      <c r="C22" s="1728"/>
      <c r="D22" s="1728"/>
      <c r="E22" s="500" t="s">
        <v>113</v>
      </c>
      <c r="F22" s="222"/>
      <c r="G22" s="222"/>
      <c r="H22" s="222"/>
      <c r="I22" s="501"/>
      <c r="J22" s="501"/>
      <c r="M22" s="922"/>
      <c r="S22" s="616"/>
    </row>
    <row r="23" spans="1:19" ht="18.600000000000001" customHeight="1">
      <c r="A23" s="1906">
        <f t="shared" si="0"/>
        <v>15</v>
      </c>
      <c r="B23" s="2163" t="s">
        <v>1422</v>
      </c>
      <c r="C23" s="1728"/>
      <c r="D23" s="1728"/>
      <c r="E23" s="500" t="s">
        <v>114</v>
      </c>
      <c r="F23" s="222"/>
      <c r="G23" s="222"/>
      <c r="H23" s="222"/>
      <c r="I23" s="501"/>
      <c r="J23" s="501"/>
      <c r="M23" s="922"/>
      <c r="S23" s="616"/>
    </row>
    <row r="24" spans="1:19" ht="18.600000000000001" customHeight="1">
      <c r="A24" s="1906">
        <f t="shared" si="0"/>
        <v>16</v>
      </c>
      <c r="B24" s="2163" t="s">
        <v>1423</v>
      </c>
      <c r="C24" s="1727" t="s">
        <v>96</v>
      </c>
      <c r="D24" s="1727" t="s">
        <v>96</v>
      </c>
      <c r="E24" s="500" t="s">
        <v>116</v>
      </c>
      <c r="F24" s="222"/>
      <c r="G24" s="222"/>
      <c r="H24" s="222"/>
      <c r="I24" s="501"/>
      <c r="J24" s="501"/>
      <c r="M24" s="922"/>
      <c r="S24" s="616"/>
    </row>
    <row r="25" spans="1:19" ht="18.600000000000001" customHeight="1">
      <c r="A25" s="1906">
        <f t="shared" si="0"/>
        <v>17</v>
      </c>
      <c r="B25" s="2163" t="s">
        <v>1417</v>
      </c>
      <c r="C25" s="1727" t="s">
        <v>96</v>
      </c>
      <c r="D25" s="1727" t="s">
        <v>96</v>
      </c>
      <c r="E25" s="500" t="s">
        <v>117</v>
      </c>
      <c r="F25" s="222"/>
      <c r="G25" s="222"/>
      <c r="H25" s="222"/>
      <c r="I25" s="501"/>
      <c r="J25" s="501"/>
      <c r="M25" s="922"/>
      <c r="S25" s="616"/>
    </row>
    <row r="26" spans="1:19" ht="18.600000000000001" customHeight="1">
      <c r="A26" s="1906"/>
      <c r="B26" s="2163" t="s">
        <v>1424</v>
      </c>
      <c r="C26" s="1727" t="s">
        <v>96</v>
      </c>
      <c r="D26" s="1727" t="s">
        <v>96</v>
      </c>
      <c r="E26" s="498" t="s">
        <v>1452</v>
      </c>
      <c r="F26" s="144"/>
      <c r="G26" s="144"/>
      <c r="H26" s="144"/>
      <c r="I26" s="1418"/>
      <c r="J26" s="1418"/>
      <c r="M26" s="922"/>
      <c r="S26" s="616"/>
    </row>
    <row r="27" spans="1:19" ht="18.600000000000001" customHeight="1">
      <c r="A27" s="1906">
        <f t="shared" si="0"/>
        <v>19</v>
      </c>
      <c r="B27" s="2165" t="s">
        <v>1450</v>
      </c>
      <c r="C27" s="1727" t="s">
        <v>96</v>
      </c>
      <c r="D27" s="1727" t="s">
        <v>96</v>
      </c>
      <c r="E27" s="498" t="s">
        <v>1451</v>
      </c>
      <c r="F27" s="75"/>
      <c r="G27" s="75"/>
      <c r="H27" s="75"/>
      <c r="M27" s="922"/>
      <c r="S27" s="616"/>
    </row>
    <row r="28" spans="1:19" ht="18.600000000000001" customHeight="1">
      <c r="B28" s="1795" t="s">
        <v>1248</v>
      </c>
      <c r="C28" s="496"/>
      <c r="D28" s="496"/>
      <c r="S28" s="616"/>
    </row>
    <row r="29" spans="1:19" ht="18.600000000000001" customHeight="1">
      <c r="A29" s="496"/>
      <c r="C29" s="496"/>
      <c r="D29" s="496"/>
      <c r="S29" s="616"/>
    </row>
    <row r="30" spans="1:19" ht="18.600000000000001" customHeight="1">
      <c r="A30" s="497"/>
      <c r="B30" s="497"/>
      <c r="C30" s="497"/>
      <c r="D30" s="497"/>
      <c r="S30" s="616"/>
    </row>
    <row r="31" spans="1:19">
      <c r="S31" s="616"/>
    </row>
    <row r="32" spans="1:19">
      <c r="S32" s="616"/>
    </row>
    <row r="33" spans="19:19">
      <c r="S33" s="616"/>
    </row>
    <row r="34" spans="19:19">
      <c r="S34" s="616"/>
    </row>
  </sheetData>
  <sheetProtection algorithmName="SHA-512" hashValue="8rtmF5quoR5bX467BsoxA8istwM+tXx9YdFNfhvKv3FqrOJZC7ZBRH3pyE6qBqPmc5ufuUtsG+h3JuIjzuXO9Q==" saltValue="nPeqazDUk+NJovD+qsoiXA==" spinCount="100000" sheet="1" objects="1" scenarios="1"/>
  <mergeCells count="1">
    <mergeCell ref="E21:J21"/>
  </mergeCells>
  <conditionalFormatting sqref="L10">
    <cfRule type="cellIs" dxfId="108" priority="23" stopIfTrue="1" operator="equal">
      <formula>0</formula>
    </cfRule>
  </conditionalFormatting>
  <conditionalFormatting sqref="C24:D27">
    <cfRule type="cellIs" dxfId="107" priority="2" stopIfTrue="1" operator="equal">
      <formula>0</formula>
    </cfRule>
  </conditionalFormatting>
  <conditionalFormatting sqref="C26:D27">
    <cfRule type="cellIs" dxfId="106" priority="1" stopIfTrue="1" operator="equal">
      <formula>0</formula>
    </cfRule>
  </conditionalFormatting>
  <hyperlinks>
    <hyperlink ref="B9" location="HypLink2" display="HypLink2" xr:uid="{7D9162AF-D92F-4248-A12C-14964BF55E7E}"/>
    <hyperlink ref="B10" location="HypLink3" display="HypLink3" xr:uid="{C11764ED-49AF-4E94-A571-79759B2234AE}"/>
    <hyperlink ref="B11" location="HypLink4" display="HypLink4" xr:uid="{4B09F3E1-B185-4D83-BC5E-B5A4BA324C14}"/>
    <hyperlink ref="B12" location="HypLink5" display="HypLink5" xr:uid="{5EA45AA0-68B9-4963-8F26-2254ABCD3FDE}"/>
    <hyperlink ref="B13" location="HypLink6" display="HypLink6" xr:uid="{E820666D-67E6-4027-8755-BBCAE7760EA4}"/>
    <hyperlink ref="B14" location="HypLink7" display="HypLink7" xr:uid="{D6ECF6AC-D9D9-407C-AD68-D2CBB235801A}"/>
    <hyperlink ref="B15" location="HypLink8" display="HypLink8" xr:uid="{84AB94D7-3A28-4F5A-9A78-72B10566006F}"/>
    <hyperlink ref="B16" location="HypLink10" display="HypLink10" xr:uid="{8E51BDB3-FE24-4E50-85F6-CB75AC22527B}"/>
    <hyperlink ref="B17" location="HypLink11" display="HypLink11" xr:uid="{F928B374-250C-46BC-91B6-C98B45D462B1}"/>
    <hyperlink ref="B18" location="HypLink12" display="HypLink12" xr:uid="{A31A44E5-7DB5-4E2C-B3CC-B1E73BEF4831}"/>
    <hyperlink ref="B19" location="HypLink13" display="HypLink13" xr:uid="{C283D8BC-017D-427E-94C8-E3068CD67C45}"/>
    <hyperlink ref="B20" location="HypLink14" display="HypLink14" xr:uid="{F8B30D34-F6C9-4205-A905-9D5C0FA9D88D}"/>
    <hyperlink ref="B21" location="HypLink15" display="HypLink15" xr:uid="{233107C2-460C-42C1-9DE5-77B366FCD5B0}"/>
    <hyperlink ref="B22" location="HypLink16" display="HypLink16" xr:uid="{32F28830-12F5-4931-BF54-D56CB8055B56}"/>
    <hyperlink ref="B23" location="HypLink17" display="HypLink17" xr:uid="{6EDF4990-56F9-4E63-8EFB-8AEF34C592F8}"/>
    <hyperlink ref="B24" location="HypLink18" display="HypLink18" xr:uid="{1E05B101-3450-40A9-843A-4FBF37BE668F}"/>
    <hyperlink ref="B25" location="HypLink19" display="HypLink19" xr:uid="{3EA926C5-B772-4B36-8806-94C49FD0BD72}"/>
    <hyperlink ref="B26" location="HypLink25" display="HypLink25" xr:uid="{650F1845-4B0C-43EF-B863-F9C8B954477D}"/>
    <hyperlink ref="B27" location="HypLink26" display="HypLink26" xr:uid="{2C0D588B-8248-4C3D-8F57-01A90DAC8E36}"/>
  </hyperlinks>
  <pageMargins left="0.25" right="0.25" top="0.5" bottom="0.44999999999999996" header="0.25" footer="0.25"/>
  <pageSetup scale="98" orientation="landscape" r:id="rId1"/>
  <headerFooter>
    <oddHeader xml:space="preserve">&amp;L &amp;C &amp;R </oddHeader>
    <oddFooter>&amp;L&amp;7&amp;D  at &amp;T Mike 702.486.8879&amp;C&amp;7&amp;F  &amp;A&amp;R&amp;7Page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0000FF"/>
  </sheetPr>
  <dimension ref="A1:T202"/>
  <sheetViews>
    <sheetView tabSelected="1" zoomScale="115" zoomScaleNormal="115" workbookViewId="0"/>
  </sheetViews>
  <sheetFormatPr defaultColWidth="7.77734375" defaultRowHeight="13.8" outlineLevelRow="1"/>
  <cols>
    <col min="1" max="1" width="4.77734375" style="75" customWidth="1"/>
    <col min="2" max="2" width="32.77734375" style="75" customWidth="1"/>
    <col min="3" max="3" width="16.77734375" style="75" bestFit="1" customWidth="1"/>
    <col min="4" max="4" width="14.5546875" style="75" bestFit="1" customWidth="1"/>
    <col min="5" max="5" width="10.5546875" style="75" bestFit="1" customWidth="1"/>
    <col min="6" max="6" width="13.77734375" style="75" customWidth="1"/>
    <col min="7" max="8" width="13.44140625" style="75" bestFit="1" customWidth="1"/>
    <col min="9" max="12" width="14.5546875" style="75" bestFit="1" customWidth="1"/>
    <col min="13" max="13" width="2.5546875" style="75" customWidth="1"/>
    <col min="14" max="14" width="5.44140625" style="75" customWidth="1"/>
    <col min="15" max="15" width="55.5546875" style="416" customWidth="1"/>
    <col min="16" max="18" width="9.21875" style="75" customWidth="1"/>
    <col min="19" max="19" width="10.5546875" style="75" bestFit="1" customWidth="1"/>
    <col min="20" max="20" width="11.77734375" style="75" bestFit="1" customWidth="1"/>
    <col min="21" max="16384" width="7.77734375" style="75"/>
  </cols>
  <sheetData>
    <row r="1" spans="1:19" ht="17.399999999999999">
      <c r="A1" s="1829" t="s">
        <v>1426</v>
      </c>
      <c r="B1" s="602"/>
      <c r="C1" s="559"/>
      <c r="D1" s="559"/>
      <c r="E1" s="557" t="s">
        <v>2</v>
      </c>
      <c r="F1" s="40"/>
      <c r="G1" s="40"/>
      <c r="H1" s="40"/>
      <c r="I1" s="40"/>
      <c r="J1" s="40"/>
      <c r="K1" s="560"/>
      <c r="L1" s="557"/>
      <c r="M1" s="40"/>
      <c r="P1" s="75" t="s">
        <v>118</v>
      </c>
      <c r="Q1" s="75" t="s">
        <v>118</v>
      </c>
      <c r="S1" s="468"/>
    </row>
    <row r="2" spans="1:19" ht="15.6">
      <c r="A2" s="175" t="str">
        <f>SchoolName</f>
        <v>Southern Nevada Trades High School</v>
      </c>
      <c r="B2" s="46"/>
      <c r="C2" s="38"/>
      <c r="D2" s="38"/>
      <c r="E2" s="40"/>
      <c r="F2" s="40"/>
      <c r="G2" s="37"/>
      <c r="H2" s="40"/>
      <c r="I2" s="40"/>
      <c r="J2" s="40"/>
      <c r="K2" s="40"/>
      <c r="L2" s="40"/>
      <c r="M2" s="40"/>
      <c r="P2" s="75" t="s">
        <v>118</v>
      </c>
      <c r="Q2" s="75" t="s">
        <v>118</v>
      </c>
    </row>
    <row r="3" spans="1:19">
      <c r="A3" s="47" t="s">
        <v>1</v>
      </c>
      <c r="B3" s="40"/>
      <c r="C3" s="43"/>
      <c r="D3" s="43"/>
      <c r="E3" s="40"/>
      <c r="F3" s="40"/>
      <c r="G3" s="40"/>
      <c r="H3" s="40"/>
      <c r="I3" s="40"/>
      <c r="J3" s="40"/>
      <c r="K3" s="40"/>
      <c r="L3" s="40"/>
      <c r="M3" s="40"/>
      <c r="P3" s="75" t="s">
        <v>118</v>
      </c>
      <c r="Q3" s="75" t="s">
        <v>118</v>
      </c>
    </row>
    <row r="4" spans="1:19">
      <c r="A4" s="36" t="str">
        <f ca="1">CELL("filename")</f>
        <v>C:\Users\jewel\Documents\SNTHS\CHARTER APP FINAL\FINAL COMPILED\[SNTHS Budget Worksheet.xlsx]Summary</v>
      </c>
      <c r="B4" s="40"/>
      <c r="C4" s="40"/>
      <c r="D4" s="40"/>
      <c r="E4" s="40"/>
      <c r="F4" s="40"/>
      <c r="G4" s="40"/>
      <c r="H4" s="40"/>
      <c r="I4" s="40"/>
      <c r="J4" s="40"/>
      <c r="K4" s="40"/>
      <c r="L4" s="40"/>
      <c r="M4" s="40"/>
      <c r="P4" s="75" t="s">
        <v>118</v>
      </c>
      <c r="Q4" s="75" t="s">
        <v>118</v>
      </c>
    </row>
    <row r="5" spans="1:19" ht="10.199999999999999" customHeight="1">
      <c r="A5" s="40"/>
      <c r="B5" s="40"/>
      <c r="C5" s="40"/>
      <c r="D5" s="40"/>
      <c r="E5" s="40"/>
      <c r="F5" s="40"/>
      <c r="G5" s="40"/>
      <c r="H5" s="40"/>
      <c r="I5" s="40"/>
      <c r="J5" s="40"/>
      <c r="K5" s="40"/>
      <c r="L5" s="40"/>
      <c r="M5" s="40"/>
      <c r="P5" s="75" t="s">
        <v>118</v>
      </c>
      <c r="Q5" s="75" t="s">
        <v>118</v>
      </c>
    </row>
    <row r="6" spans="1:19">
      <c r="A6" s="40"/>
      <c r="B6" s="37"/>
      <c r="C6" s="39"/>
      <c r="D6" s="39"/>
      <c r="E6" s="39"/>
      <c r="F6" s="1878" t="str">
        <f>' Enrol &amp; Rev'!F9</f>
        <v>SY 0/Incu</v>
      </c>
      <c r="G6" s="953">
        <f>' Enrol &amp; Rev'!G9</f>
        <v>1</v>
      </c>
      <c r="H6" s="953">
        <f>' Enrol &amp; Rev'!H9</f>
        <v>2</v>
      </c>
      <c r="I6" s="953">
        <f>' Enrol &amp; Rev'!I9</f>
        <v>3</v>
      </c>
      <c r="J6" s="953">
        <f>' Enrol &amp; Rev'!J9</f>
        <v>4</v>
      </c>
      <c r="K6" s="953">
        <f>' Enrol &amp; Rev'!K9</f>
        <v>5</v>
      </c>
      <c r="L6" s="1601">
        <f>' Enrol &amp; Rev'!L9</f>
        <v>6</v>
      </c>
      <c r="M6" s="40"/>
      <c r="P6" s="75" t="s">
        <v>118</v>
      </c>
      <c r="Q6" s="75" t="s">
        <v>118</v>
      </c>
    </row>
    <row r="7" spans="1:19">
      <c r="A7" s="40"/>
      <c r="B7" s="37"/>
      <c r="C7" s="60" t="s">
        <v>119</v>
      </c>
      <c r="D7" s="60"/>
      <c r="E7" s="60"/>
      <c r="F7" s="1876">
        <f>' Enrol &amp; Rev'!F10</f>
        <v>2022</v>
      </c>
      <c r="G7" s="955">
        <f>' Enrol &amp; Rev'!G10</f>
        <v>2023</v>
      </c>
      <c r="H7" s="955">
        <f>' Enrol &amp; Rev'!H10</f>
        <v>2024</v>
      </c>
      <c r="I7" s="955">
        <f>' Enrol &amp; Rev'!I10</f>
        <v>2025</v>
      </c>
      <c r="J7" s="955">
        <f>' Enrol &amp; Rev'!J10</f>
        <v>2026</v>
      </c>
      <c r="K7" s="955">
        <f>' Enrol &amp; Rev'!K10</f>
        <v>2027</v>
      </c>
      <c r="L7" s="956">
        <f>' Enrol &amp; Rev'!L10</f>
        <v>2028</v>
      </c>
      <c r="M7" s="40"/>
      <c r="P7" s="75" t="s">
        <v>118</v>
      </c>
      <c r="Q7" s="75" t="s">
        <v>118</v>
      </c>
    </row>
    <row r="8" spans="1:19">
      <c r="A8" s="40"/>
      <c r="B8" s="492"/>
      <c r="C8" s="834"/>
      <c r="D8" s="834"/>
      <c r="E8" s="835"/>
      <c r="F8" s="1877">
        <f>' Enrol &amp; Rev'!F11</f>
        <v>2023</v>
      </c>
      <c r="G8" s="958">
        <f>' Enrol &amp; Rev'!G11</f>
        <v>2024</v>
      </c>
      <c r="H8" s="958">
        <f>' Enrol &amp; Rev'!H11</f>
        <v>2025</v>
      </c>
      <c r="I8" s="958">
        <f>' Enrol &amp; Rev'!I11</f>
        <v>2026</v>
      </c>
      <c r="J8" s="958">
        <f>' Enrol &amp; Rev'!J11</f>
        <v>2027</v>
      </c>
      <c r="K8" s="958">
        <f>' Enrol &amp; Rev'!K11</f>
        <v>2028</v>
      </c>
      <c r="L8" s="959">
        <f>' Enrol &amp; Rev'!L11</f>
        <v>2029</v>
      </c>
      <c r="M8" s="40"/>
      <c r="O8" s="1936" t="s">
        <v>95</v>
      </c>
      <c r="P8" s="75" t="s">
        <v>118</v>
      </c>
      <c r="Q8" s="75" t="s">
        <v>118</v>
      </c>
    </row>
    <row r="9" spans="1:19" s="79" customFormat="1">
      <c r="A9" s="650">
        <f>ROW()</f>
        <v>9</v>
      </c>
      <c r="B9" s="561" t="s">
        <v>120</v>
      </c>
      <c r="C9" s="946">
        <f>MAX(F9:L9)</f>
        <v>550</v>
      </c>
      <c r="D9" s="882"/>
      <c r="E9" s="60"/>
      <c r="F9" s="836">
        <f>+Statistics!F19</f>
        <v>0</v>
      </c>
      <c r="G9" s="836">
        <f>+Statistics!G19</f>
        <v>200</v>
      </c>
      <c r="H9" s="836">
        <f>+Statistics!H19</f>
        <v>300</v>
      </c>
      <c r="I9" s="836">
        <f>+Statistics!I19</f>
        <v>400</v>
      </c>
      <c r="J9" s="836">
        <f>+Statistics!J19</f>
        <v>450</v>
      </c>
      <c r="K9" s="836">
        <f>+Statistics!K19</f>
        <v>500</v>
      </c>
      <c r="L9" s="836">
        <f>+Statistics!L19</f>
        <v>550</v>
      </c>
      <c r="M9" s="60"/>
      <c r="O9" s="628"/>
      <c r="P9" s="79" t="s">
        <v>118</v>
      </c>
      <c r="Q9" s="79" t="s">
        <v>118</v>
      </c>
      <c r="S9" s="75"/>
    </row>
    <row r="10" spans="1:19" s="79" customFormat="1">
      <c r="A10" s="650">
        <f>ROW()</f>
        <v>10</v>
      </c>
      <c r="B10" s="562" t="s">
        <v>121</v>
      </c>
      <c r="C10" s="946">
        <f>MAX(F10:L10)</f>
        <v>45</v>
      </c>
      <c r="D10" s="882"/>
      <c r="E10" s="60"/>
      <c r="F10" s="837">
        <f>+Statistics!F20</f>
        <v>1</v>
      </c>
      <c r="G10" s="837">
        <f>+Statistics!G20</f>
        <v>13.25</v>
      </c>
      <c r="H10" s="837">
        <f>+Statistics!H20</f>
        <v>24</v>
      </c>
      <c r="I10" s="837">
        <f>+Statistics!I20</f>
        <v>36</v>
      </c>
      <c r="J10" s="837">
        <f>+Statistics!J20</f>
        <v>40</v>
      </c>
      <c r="K10" s="837">
        <f>+Statistics!K20</f>
        <v>45</v>
      </c>
      <c r="L10" s="837">
        <f>+Statistics!L20</f>
        <v>45</v>
      </c>
      <c r="M10" s="60"/>
      <c r="O10" s="462"/>
      <c r="P10" s="79" t="s">
        <v>118</v>
      </c>
      <c r="Q10" s="79" t="s">
        <v>118</v>
      </c>
      <c r="S10" s="75"/>
    </row>
    <row r="11" spans="1:19" s="79" customFormat="1">
      <c r="A11" s="650">
        <f>ROW()</f>
        <v>11</v>
      </c>
      <c r="B11" s="562" t="s">
        <v>1223</v>
      </c>
      <c r="C11" s="946"/>
      <c r="D11" s="882"/>
      <c r="E11" s="60"/>
      <c r="F11" s="836">
        <f>+Facilities!E11</f>
        <v>0</v>
      </c>
      <c r="G11" s="836">
        <f>+Facilities!F11</f>
        <v>0</v>
      </c>
      <c r="H11" s="836">
        <f>+Facilities!G11</f>
        <v>25000</v>
      </c>
      <c r="I11" s="836">
        <f>+Facilities!H11</f>
        <v>25000</v>
      </c>
      <c r="J11" s="836">
        <f>+Facilities!I11</f>
        <v>25000</v>
      </c>
      <c r="K11" s="836">
        <f>+Facilities!J11</f>
        <v>25000</v>
      </c>
      <c r="L11" s="836">
        <f>+Facilities!K11</f>
        <v>25000</v>
      </c>
      <c r="M11" s="60"/>
      <c r="O11" s="462"/>
      <c r="S11" s="75"/>
    </row>
    <row r="12" spans="1:19" s="79" customFormat="1">
      <c r="A12" s="650">
        <f>ROW()</f>
        <v>12</v>
      </c>
      <c r="B12" s="38"/>
      <c r="C12" s="60"/>
      <c r="D12" s="60"/>
      <c r="E12" s="60"/>
      <c r="F12" s="838"/>
      <c r="G12" s="838"/>
      <c r="H12" s="838"/>
      <c r="I12" s="838"/>
      <c r="J12" s="838"/>
      <c r="K12" s="838"/>
      <c r="L12" s="838"/>
      <c r="M12" s="60"/>
      <c r="O12" s="462"/>
      <c r="P12" s="79" t="s">
        <v>118</v>
      </c>
      <c r="Q12" s="79" t="s">
        <v>118</v>
      </c>
    </row>
    <row r="13" spans="1:19" ht="17.399999999999999">
      <c r="A13" s="650">
        <f>ROW()</f>
        <v>13</v>
      </c>
      <c r="B13" s="1241" t="s">
        <v>1374</v>
      </c>
      <c r="C13" s="1242" t="s">
        <v>123</v>
      </c>
      <c r="D13" s="1242" t="s">
        <v>124</v>
      </c>
      <c r="E13" s="1243" t="s">
        <v>125</v>
      </c>
      <c r="F13" s="1244" t="str">
        <f t="shared" ref="F13:L13" si="0">+F6</f>
        <v>SY 0/Incu</v>
      </c>
      <c r="G13" s="1245">
        <f t="shared" si="0"/>
        <v>1</v>
      </c>
      <c r="H13" s="1245">
        <f t="shared" si="0"/>
        <v>2</v>
      </c>
      <c r="I13" s="1245">
        <f t="shared" si="0"/>
        <v>3</v>
      </c>
      <c r="J13" s="1245">
        <f t="shared" si="0"/>
        <v>4</v>
      </c>
      <c r="K13" s="1245">
        <f t="shared" si="0"/>
        <v>5</v>
      </c>
      <c r="L13" s="1245">
        <f t="shared" si="0"/>
        <v>6</v>
      </c>
      <c r="M13" s="563"/>
      <c r="O13" s="462"/>
      <c r="P13" s="75" t="s">
        <v>118</v>
      </c>
      <c r="Q13" s="75" t="s">
        <v>118</v>
      </c>
    </row>
    <row r="14" spans="1:19">
      <c r="A14" s="650">
        <f>ROW()</f>
        <v>14</v>
      </c>
      <c r="B14" s="43" t="s">
        <v>1412</v>
      </c>
      <c r="C14" s="1938">
        <f t="shared" ref="C14:C33" si="1">SUM(F14:L14)</f>
        <v>20479233.484406002</v>
      </c>
      <c r="D14" s="1938">
        <f t="shared" ref="D14:D33" si="2">AVERAGE(G14:L14)</f>
        <v>3413205.5807343335</v>
      </c>
      <c r="E14" s="1939">
        <f t="shared" ref="E14:E34" si="3">IFERROR(+D14/$D$34,0)</f>
        <v>0.84021409164533711</v>
      </c>
      <c r="F14" s="840">
        <f>+' Enrol &amp; Rev'!F114-' Enrol &amp; Rev'!G111</f>
        <v>0</v>
      </c>
      <c r="G14" s="840">
        <f>+' Enrol &amp; Rev'!G114-' Enrol &amp; Rev'!G111</f>
        <v>1458600</v>
      </c>
      <c r="H14" s="840">
        <f>+' Enrol &amp; Rev'!H114-' Enrol &amp; Rev'!H111</f>
        <v>2514166.8361519999</v>
      </c>
      <c r="I14" s="840">
        <f>+' Enrol &amp; Rev'!I114-' Enrol &amp; Rev'!I111</f>
        <v>3402953.7542280005</v>
      </c>
      <c r="J14" s="840">
        <f>+' Enrol &amp; Rev'!J114-' Enrol &amp; Rev'!J111</f>
        <v>3923444.1723040002</v>
      </c>
      <c r="K14" s="840">
        <f>+' Enrol &amp; Rev'!K114-' Enrol &amp; Rev'!K111</f>
        <v>4367837.6313419994</v>
      </c>
      <c r="L14" s="840">
        <f>+' Enrol &amp; Rev'!L114-' Enrol &amp; Rev'!L111</f>
        <v>4812231.09038</v>
      </c>
      <c r="M14" s="564"/>
      <c r="O14" s="462"/>
      <c r="P14" s="75" t="s">
        <v>118</v>
      </c>
      <c r="Q14" s="75" t="s">
        <v>118</v>
      </c>
    </row>
    <row r="15" spans="1:19">
      <c r="A15" s="650">
        <f>ROW()</f>
        <v>15</v>
      </c>
      <c r="B15" s="43" t="s">
        <v>1202</v>
      </c>
      <c r="C15" s="67">
        <f t="shared" si="1"/>
        <v>-240974.80400749997</v>
      </c>
      <c r="D15" s="67">
        <f t="shared" si="2"/>
        <v>-40162.467334583329</v>
      </c>
      <c r="E15" s="1940">
        <f t="shared" si="3"/>
        <v>-9.8866213041004045E-3</v>
      </c>
      <c r="F15" s="839">
        <f>+' Enrol &amp; Rev'!F115</f>
        <v>0</v>
      </c>
      <c r="G15" s="839">
        <f>+' Enrol &amp; Rev'!G115</f>
        <v>-18232.5</v>
      </c>
      <c r="H15" s="839">
        <f>+' Enrol &amp; Rev'!H115</f>
        <v>-29747.107189999999</v>
      </c>
      <c r="I15" s="839">
        <f>+' Enrol &amp; Rev'!I115</f>
        <v>-40062.535785000007</v>
      </c>
      <c r="J15" s="839">
        <f>+' Enrol &amp; Rev'!J115</f>
        <v>-45819.839380000005</v>
      </c>
      <c r="K15" s="839">
        <f>+' Enrol &amp; Rev'!K115</f>
        <v>-50977.5536775</v>
      </c>
      <c r="L15" s="839">
        <f>+' Enrol &amp; Rev'!L115</f>
        <v>-56135.267975000002</v>
      </c>
      <c r="M15" s="66"/>
      <c r="O15" s="462"/>
      <c r="P15" s="75" t="s">
        <v>118</v>
      </c>
      <c r="Q15" s="75" t="s">
        <v>118</v>
      </c>
    </row>
    <row r="16" spans="1:19">
      <c r="A16" s="650">
        <f>ROW()</f>
        <v>16</v>
      </c>
      <c r="B16" s="43" t="s">
        <v>127</v>
      </c>
      <c r="C16" s="67">
        <f t="shared" si="1"/>
        <v>1026000</v>
      </c>
      <c r="D16" s="67">
        <f t="shared" si="2"/>
        <v>171000</v>
      </c>
      <c r="E16" s="1939">
        <f t="shared" si="3"/>
        <v>4.209433222608331E-2</v>
      </c>
      <c r="F16" s="839">
        <f>' Enrol &amp; Rev'!F122</f>
        <v>0</v>
      </c>
      <c r="G16" s="839">
        <f>' Enrol &amp; Rev'!G122</f>
        <v>85500</v>
      </c>
      <c r="H16" s="839">
        <f>' Enrol &amp; Rev'!H122</f>
        <v>128250</v>
      </c>
      <c r="I16" s="839">
        <f>' Enrol &amp; Rev'!I122</f>
        <v>171000</v>
      </c>
      <c r="J16" s="839">
        <f>' Enrol &amp; Rev'!J122</f>
        <v>192375</v>
      </c>
      <c r="K16" s="839">
        <f>' Enrol &amp; Rev'!K122</f>
        <v>213750</v>
      </c>
      <c r="L16" s="839">
        <f>' Enrol &amp; Rev'!L122</f>
        <v>235125</v>
      </c>
      <c r="M16" s="66"/>
      <c r="O16" s="462"/>
      <c r="P16" s="75" t="s">
        <v>118</v>
      </c>
      <c r="Q16" s="75" t="s">
        <v>118</v>
      </c>
    </row>
    <row r="17" spans="1:17">
      <c r="A17" s="650">
        <f>ROW()</f>
        <v>17</v>
      </c>
      <c r="B17" s="43" t="s">
        <v>128</v>
      </c>
      <c r="C17" s="67">
        <f t="shared" si="1"/>
        <v>166200</v>
      </c>
      <c r="D17" s="67">
        <f t="shared" si="2"/>
        <v>27700</v>
      </c>
      <c r="E17" s="1939">
        <f t="shared" si="3"/>
        <v>6.8187894892544308E-3</v>
      </c>
      <c r="F17" s="839">
        <f>' Enrol &amp; Rev'!F123+' Enrol &amp; Rev'!F124</f>
        <v>0</v>
      </c>
      <c r="G17" s="839">
        <f>' Enrol &amp; Rev'!G123+' Enrol &amp; Rev'!G124</f>
        <v>13850</v>
      </c>
      <c r="H17" s="839">
        <f>' Enrol &amp; Rev'!H123+' Enrol &amp; Rev'!H124</f>
        <v>20775</v>
      </c>
      <c r="I17" s="839">
        <f>' Enrol &amp; Rev'!I123+' Enrol &amp; Rev'!I124</f>
        <v>27700</v>
      </c>
      <c r="J17" s="839">
        <f>' Enrol &amp; Rev'!J123+' Enrol &amp; Rev'!J124</f>
        <v>31162.5</v>
      </c>
      <c r="K17" s="839">
        <f>' Enrol &amp; Rev'!K123+' Enrol &amp; Rev'!K124</f>
        <v>34625</v>
      </c>
      <c r="L17" s="839">
        <f>' Enrol &amp; Rev'!L123+' Enrol &amp; Rev'!L124</f>
        <v>38087.5</v>
      </c>
      <c r="M17" s="66"/>
      <c r="O17" s="462"/>
      <c r="P17" s="75" t="s">
        <v>118</v>
      </c>
      <c r="Q17" s="75" t="s">
        <v>118</v>
      </c>
    </row>
    <row r="18" spans="1:17">
      <c r="A18" s="650">
        <f>ROW()</f>
        <v>18</v>
      </c>
      <c r="B18" s="43" t="s">
        <v>129</v>
      </c>
      <c r="C18" s="67">
        <f t="shared" si="1"/>
        <v>72000</v>
      </c>
      <c r="D18" s="67">
        <f t="shared" si="2"/>
        <v>12000</v>
      </c>
      <c r="E18" s="1939">
        <f t="shared" si="3"/>
        <v>2.9539882263918114E-3</v>
      </c>
      <c r="F18" s="839">
        <f>' Enrol &amp; Rev'!F125</f>
        <v>0</v>
      </c>
      <c r="G18" s="839">
        <f>' Enrol &amp; Rev'!G125</f>
        <v>6000</v>
      </c>
      <c r="H18" s="839">
        <f>' Enrol &amp; Rev'!H125</f>
        <v>9000</v>
      </c>
      <c r="I18" s="839">
        <f>' Enrol &amp; Rev'!I125</f>
        <v>12000</v>
      </c>
      <c r="J18" s="839">
        <f>' Enrol &amp; Rev'!J125</f>
        <v>13500</v>
      </c>
      <c r="K18" s="839">
        <f>' Enrol &amp; Rev'!K125</f>
        <v>15000</v>
      </c>
      <c r="L18" s="839">
        <f>' Enrol &amp; Rev'!L125</f>
        <v>16500</v>
      </c>
      <c r="M18" s="66"/>
      <c r="O18" s="462"/>
      <c r="P18" s="75" t="s">
        <v>118</v>
      </c>
      <c r="Q18" s="75" t="s">
        <v>118</v>
      </c>
    </row>
    <row r="19" spans="1:17">
      <c r="A19" s="650">
        <f>ROW()</f>
        <v>19</v>
      </c>
      <c r="B19" s="43" t="s">
        <v>130</v>
      </c>
      <c r="C19" s="67">
        <f t="shared" si="1"/>
        <v>0</v>
      </c>
      <c r="D19" s="67">
        <f t="shared" si="2"/>
        <v>0</v>
      </c>
      <c r="E19" s="1939">
        <f t="shared" si="3"/>
        <v>0</v>
      </c>
      <c r="F19" s="839">
        <f>' Enrol &amp; Rev'!F126</f>
        <v>0</v>
      </c>
      <c r="G19" s="839">
        <f>' Enrol &amp; Rev'!G126</f>
        <v>0</v>
      </c>
      <c r="H19" s="839">
        <f>' Enrol &amp; Rev'!H126</f>
        <v>0</v>
      </c>
      <c r="I19" s="839">
        <f>' Enrol &amp; Rev'!I126</f>
        <v>0</v>
      </c>
      <c r="J19" s="839">
        <f>' Enrol &amp; Rev'!J126</f>
        <v>0</v>
      </c>
      <c r="K19" s="839">
        <f>' Enrol &amp; Rev'!K126</f>
        <v>0</v>
      </c>
      <c r="L19" s="839">
        <f>' Enrol &amp; Rev'!L126</f>
        <v>0</v>
      </c>
      <c r="M19" s="66"/>
      <c r="O19" s="462"/>
      <c r="P19" s="75" t="s">
        <v>118</v>
      </c>
      <c r="Q19" s="75" t="s">
        <v>118</v>
      </c>
    </row>
    <row r="20" spans="1:17">
      <c r="A20" s="650">
        <f>ROW()</f>
        <v>20</v>
      </c>
      <c r="B20" s="43" t="s">
        <v>131</v>
      </c>
      <c r="C20" s="67">
        <f t="shared" si="1"/>
        <v>738720</v>
      </c>
      <c r="D20" s="67">
        <f t="shared" si="2"/>
        <v>123120</v>
      </c>
      <c r="E20" s="1939">
        <f t="shared" si="3"/>
        <v>3.0307919202779983E-2</v>
      </c>
      <c r="F20" s="839">
        <f>' Enrol &amp; Rev'!F127</f>
        <v>0</v>
      </c>
      <c r="G20" s="839">
        <f>' Enrol &amp; Rev'!G127</f>
        <v>61560</v>
      </c>
      <c r="H20" s="839">
        <f>' Enrol &amp; Rev'!H127</f>
        <v>92340</v>
      </c>
      <c r="I20" s="839">
        <f>' Enrol &amp; Rev'!I127</f>
        <v>123120</v>
      </c>
      <c r="J20" s="839">
        <f>' Enrol &amp; Rev'!J127</f>
        <v>138510</v>
      </c>
      <c r="K20" s="839">
        <f>' Enrol &amp; Rev'!K127</f>
        <v>153900</v>
      </c>
      <c r="L20" s="839">
        <f>' Enrol &amp; Rev'!L127</f>
        <v>169290</v>
      </c>
      <c r="M20" s="66"/>
      <c r="O20" s="462"/>
      <c r="P20" s="75" t="s">
        <v>118</v>
      </c>
      <c r="Q20" s="75" t="s">
        <v>118</v>
      </c>
    </row>
    <row r="21" spans="1:17">
      <c r="A21" s="650">
        <f>ROW()</f>
        <v>21</v>
      </c>
      <c r="B21" s="43" t="s">
        <v>132</v>
      </c>
      <c r="C21" s="67">
        <f t="shared" si="1"/>
        <v>1026000</v>
      </c>
      <c r="D21" s="67">
        <f t="shared" si="2"/>
        <v>171000</v>
      </c>
      <c r="E21" s="1939">
        <f t="shared" si="3"/>
        <v>4.209433222608331E-2</v>
      </c>
      <c r="F21" s="839">
        <f>' Enrol &amp; Rev'!F128</f>
        <v>0</v>
      </c>
      <c r="G21" s="839">
        <f>' Enrol &amp; Rev'!G128</f>
        <v>85500</v>
      </c>
      <c r="H21" s="839">
        <f>' Enrol &amp; Rev'!H128</f>
        <v>128250</v>
      </c>
      <c r="I21" s="839">
        <f>' Enrol &amp; Rev'!I128</f>
        <v>171000</v>
      </c>
      <c r="J21" s="839">
        <f>' Enrol &amp; Rev'!J128</f>
        <v>192375</v>
      </c>
      <c r="K21" s="839">
        <f>' Enrol &amp; Rev'!K128</f>
        <v>213750</v>
      </c>
      <c r="L21" s="839">
        <f>' Enrol &amp; Rev'!L128</f>
        <v>235125</v>
      </c>
      <c r="M21" s="66"/>
      <c r="O21" s="462"/>
      <c r="P21" s="75" t="s">
        <v>118</v>
      </c>
      <c r="Q21" s="75" t="s">
        <v>118</v>
      </c>
    </row>
    <row r="22" spans="1:17">
      <c r="A22" s="650">
        <f>ROW()</f>
        <v>22</v>
      </c>
      <c r="B22" s="43" t="s">
        <v>133</v>
      </c>
      <c r="C22" s="67">
        <f t="shared" si="1"/>
        <v>279840</v>
      </c>
      <c r="D22" s="67">
        <f t="shared" si="2"/>
        <v>46640</v>
      </c>
      <c r="E22" s="1939">
        <f t="shared" si="3"/>
        <v>1.1481167573242839E-2</v>
      </c>
      <c r="F22" s="839">
        <f>' Enrol &amp; Rev'!F129</f>
        <v>0</v>
      </c>
      <c r="G22" s="839">
        <f>' Enrol &amp; Rev'!G129</f>
        <v>23320</v>
      </c>
      <c r="H22" s="839">
        <f>' Enrol &amp; Rev'!H129</f>
        <v>34980</v>
      </c>
      <c r="I22" s="839">
        <f>' Enrol &amp; Rev'!I129</f>
        <v>46640</v>
      </c>
      <c r="J22" s="839">
        <f>' Enrol &amp; Rev'!J129</f>
        <v>52470</v>
      </c>
      <c r="K22" s="839">
        <f>' Enrol &amp; Rev'!K129</f>
        <v>58300</v>
      </c>
      <c r="L22" s="839">
        <f>' Enrol &amp; Rev'!L129</f>
        <v>64130</v>
      </c>
      <c r="M22" s="66"/>
      <c r="O22" s="462"/>
      <c r="P22" s="75" t="s">
        <v>118</v>
      </c>
      <c r="Q22" s="75" t="s">
        <v>118</v>
      </c>
    </row>
    <row r="23" spans="1:17">
      <c r="A23" s="650">
        <f>ROW()</f>
        <v>23</v>
      </c>
      <c r="B23" s="43" t="s">
        <v>134</v>
      </c>
      <c r="C23" s="67">
        <f t="shared" si="1"/>
        <v>751729</v>
      </c>
      <c r="D23" s="67">
        <f t="shared" si="2"/>
        <v>125288.16666666667</v>
      </c>
      <c r="E23" s="1939">
        <f t="shared" si="3"/>
        <v>3.0841647436629028E-2</v>
      </c>
      <c r="F23" s="839">
        <f>' Enrol &amp; Rev'!F111</f>
        <v>0</v>
      </c>
      <c r="G23" s="839">
        <f>' Enrol &amp; Rev'!G111</f>
        <v>0</v>
      </c>
      <c r="H23" s="839">
        <f>' Enrol &amp; Rev'!H111</f>
        <v>81268</v>
      </c>
      <c r="I23" s="839">
        <f>' Enrol &amp; Rev'!I111</f>
        <v>121902</v>
      </c>
      <c r="J23" s="839">
        <f>' Enrol &amp; Rev'!J111</f>
        <v>162536</v>
      </c>
      <c r="K23" s="839">
        <f>' Enrol &amp; Rev'!K111</f>
        <v>182853</v>
      </c>
      <c r="L23" s="839">
        <f>' Enrol &amp; Rev'!L111</f>
        <v>203170</v>
      </c>
      <c r="M23" s="66"/>
      <c r="O23" s="462"/>
      <c r="P23" s="75" t="s">
        <v>118</v>
      </c>
      <c r="Q23" s="75" t="s">
        <v>118</v>
      </c>
    </row>
    <row r="24" spans="1:17">
      <c r="A24" s="650">
        <f>ROW()</f>
        <v>24</v>
      </c>
      <c r="B24" s="43" t="s">
        <v>135</v>
      </c>
      <c r="C24" s="67">
        <f t="shared" si="1"/>
        <v>0</v>
      </c>
      <c r="D24" s="67">
        <f t="shared" si="2"/>
        <v>0</v>
      </c>
      <c r="E24" s="1939">
        <f t="shared" si="3"/>
        <v>0</v>
      </c>
      <c r="F24" s="839">
        <f>' Enrol &amp; Rev'!F130</f>
        <v>0</v>
      </c>
      <c r="G24" s="839">
        <f>' Enrol &amp; Rev'!G130</f>
        <v>0</v>
      </c>
      <c r="H24" s="839">
        <f>' Enrol &amp; Rev'!H130</f>
        <v>0</v>
      </c>
      <c r="I24" s="839">
        <f>' Enrol &amp; Rev'!I130</f>
        <v>0</v>
      </c>
      <c r="J24" s="839">
        <f>' Enrol &amp; Rev'!J130</f>
        <v>0</v>
      </c>
      <c r="K24" s="839">
        <f>' Enrol &amp; Rev'!K130</f>
        <v>0</v>
      </c>
      <c r="L24" s="839">
        <f>' Enrol &amp; Rev'!L130</f>
        <v>0</v>
      </c>
      <c r="M24" s="66"/>
      <c r="O24" s="462" t="s">
        <v>1290</v>
      </c>
      <c r="P24" s="75" t="s">
        <v>118</v>
      </c>
      <c r="Q24" s="75" t="s">
        <v>118</v>
      </c>
    </row>
    <row r="25" spans="1:17">
      <c r="A25" s="650">
        <f>ROW()</f>
        <v>25</v>
      </c>
      <c r="B25" s="43" t="str">
        <f>+' Enrol &amp; Rev'!B131</f>
        <v>Charter School Program (CSP) Grant (w/letter)</v>
      </c>
      <c r="C25" s="67">
        <f t="shared" si="1"/>
        <v>0</v>
      </c>
      <c r="D25" s="67">
        <f t="shared" si="2"/>
        <v>0</v>
      </c>
      <c r="E25" s="1939">
        <f t="shared" si="3"/>
        <v>0</v>
      </c>
      <c r="F25" s="839">
        <f>' Enrol &amp; Rev'!F131</f>
        <v>0</v>
      </c>
      <c r="G25" s="839">
        <f>' Enrol &amp; Rev'!G131</f>
        <v>0</v>
      </c>
      <c r="H25" s="839">
        <f>' Enrol &amp; Rev'!H131</f>
        <v>0</v>
      </c>
      <c r="I25" s="839">
        <f>' Enrol &amp; Rev'!I131</f>
        <v>0</v>
      </c>
      <c r="J25" s="839">
        <f>' Enrol &amp; Rev'!J131</f>
        <v>0</v>
      </c>
      <c r="K25" s="839">
        <f>' Enrol &amp; Rev'!K131</f>
        <v>0</v>
      </c>
      <c r="L25" s="839">
        <f>' Enrol &amp; Rev'!L131</f>
        <v>0</v>
      </c>
      <c r="M25" s="66"/>
      <c r="O25" s="462" t="s">
        <v>1290</v>
      </c>
    </row>
    <row r="26" spans="1:17">
      <c r="A26" s="650">
        <f>ROW()</f>
        <v>26</v>
      </c>
      <c r="B26" s="43" t="s">
        <v>136</v>
      </c>
      <c r="C26" s="67">
        <f t="shared" si="1"/>
        <v>0</v>
      </c>
      <c r="D26" s="67">
        <f t="shared" si="2"/>
        <v>0</v>
      </c>
      <c r="E26" s="1939">
        <f t="shared" si="3"/>
        <v>0</v>
      </c>
      <c r="F26" s="839">
        <f>' Enrol &amp; Rev'!F132</f>
        <v>0</v>
      </c>
      <c r="G26" s="839">
        <f>' Enrol &amp; Rev'!G132</f>
        <v>0</v>
      </c>
      <c r="H26" s="839">
        <f>' Enrol &amp; Rev'!H132</f>
        <v>0</v>
      </c>
      <c r="I26" s="839">
        <f>' Enrol &amp; Rev'!I132</f>
        <v>0</v>
      </c>
      <c r="J26" s="839">
        <f>' Enrol &amp; Rev'!J132</f>
        <v>0</v>
      </c>
      <c r="K26" s="839">
        <f>' Enrol &amp; Rev'!K132</f>
        <v>0</v>
      </c>
      <c r="L26" s="839">
        <f>' Enrol &amp; Rev'!L132</f>
        <v>0</v>
      </c>
      <c r="M26" s="66"/>
      <c r="O26" s="462" t="s">
        <v>1290</v>
      </c>
      <c r="P26" s="75" t="s">
        <v>118</v>
      </c>
      <c r="Q26" s="75" t="s">
        <v>118</v>
      </c>
    </row>
    <row r="27" spans="1:17">
      <c r="A27" s="650">
        <f>ROW()</f>
        <v>27</v>
      </c>
      <c r="B27" s="43" t="s">
        <v>1428</v>
      </c>
      <c r="C27" s="67">
        <f t="shared" si="1"/>
        <v>46080</v>
      </c>
      <c r="D27" s="67">
        <f t="shared" si="2"/>
        <v>7680</v>
      </c>
      <c r="E27" s="1939">
        <f t="shared" si="3"/>
        <v>1.8905524648907591E-3</v>
      </c>
      <c r="F27" s="839">
        <f>' Enrol &amp; Rev'!F134</f>
        <v>0</v>
      </c>
      <c r="G27" s="839">
        <f>' Enrol &amp; Rev'!G134</f>
        <v>3840</v>
      </c>
      <c r="H27" s="839">
        <f>' Enrol &amp; Rev'!H134</f>
        <v>5760</v>
      </c>
      <c r="I27" s="839">
        <f>' Enrol &amp; Rev'!I134</f>
        <v>7680</v>
      </c>
      <c r="J27" s="839">
        <f>' Enrol &amp; Rev'!J134</f>
        <v>8640</v>
      </c>
      <c r="K27" s="839">
        <f>' Enrol &amp; Rev'!K134</f>
        <v>9600</v>
      </c>
      <c r="L27" s="839">
        <f>' Enrol &amp; Rev'!L134</f>
        <v>10560</v>
      </c>
      <c r="M27" s="66"/>
      <c r="O27" s="462"/>
      <c r="P27" s="75" t="s">
        <v>118</v>
      </c>
      <c r="Q27" s="75" t="s">
        <v>118</v>
      </c>
    </row>
    <row r="28" spans="1:17">
      <c r="A28" s="650">
        <f>ROW()</f>
        <v>28</v>
      </c>
      <c r="B28" s="43" t="s">
        <v>138</v>
      </c>
      <c r="C28" s="67">
        <f t="shared" si="1"/>
        <v>0</v>
      </c>
      <c r="D28" s="67">
        <f t="shared" si="2"/>
        <v>0</v>
      </c>
      <c r="E28" s="1939">
        <f t="shared" si="3"/>
        <v>0</v>
      </c>
      <c r="F28" s="839">
        <f>' Enrol &amp; Rev'!F135</f>
        <v>0</v>
      </c>
      <c r="G28" s="839">
        <f>' Enrol &amp; Rev'!G135</f>
        <v>0</v>
      </c>
      <c r="H28" s="839">
        <f>' Enrol &amp; Rev'!H135</f>
        <v>0</v>
      </c>
      <c r="I28" s="839">
        <f>' Enrol &amp; Rev'!I135</f>
        <v>0</v>
      </c>
      <c r="J28" s="839">
        <f>' Enrol &amp; Rev'!J135</f>
        <v>0</v>
      </c>
      <c r="K28" s="839">
        <f>' Enrol &amp; Rev'!K135</f>
        <v>0</v>
      </c>
      <c r="L28" s="839">
        <f>' Enrol &amp; Rev'!L135</f>
        <v>0</v>
      </c>
      <c r="M28" s="66"/>
      <c r="O28" s="462"/>
      <c r="P28" s="75" t="s">
        <v>118</v>
      </c>
      <c r="Q28" s="75" t="s">
        <v>118</v>
      </c>
    </row>
    <row r="29" spans="1:17">
      <c r="A29" s="650">
        <f>ROW()</f>
        <v>29</v>
      </c>
      <c r="B29" s="43" t="s">
        <v>139</v>
      </c>
      <c r="C29" s="67">
        <f t="shared" si="1"/>
        <v>0</v>
      </c>
      <c r="D29" s="67">
        <f t="shared" si="2"/>
        <v>0</v>
      </c>
      <c r="E29" s="1939">
        <f t="shared" si="3"/>
        <v>0</v>
      </c>
      <c r="F29" s="839">
        <f>' Enrol &amp; Rev'!F136</f>
        <v>0</v>
      </c>
      <c r="G29" s="839">
        <f>' Enrol &amp; Rev'!G136</f>
        <v>0</v>
      </c>
      <c r="H29" s="839">
        <f>' Enrol &amp; Rev'!H136</f>
        <v>0</v>
      </c>
      <c r="I29" s="839">
        <f>' Enrol &amp; Rev'!I136</f>
        <v>0</v>
      </c>
      <c r="J29" s="839">
        <f>' Enrol &amp; Rev'!J136</f>
        <v>0</v>
      </c>
      <c r="K29" s="839">
        <f>' Enrol &amp; Rev'!K136</f>
        <v>0</v>
      </c>
      <c r="L29" s="839">
        <f>' Enrol &amp; Rev'!L136</f>
        <v>0</v>
      </c>
      <c r="M29" s="66"/>
      <c r="O29" s="462"/>
    </row>
    <row r="30" spans="1:17">
      <c r="A30" s="650">
        <f>ROW()</f>
        <v>30</v>
      </c>
      <c r="B30" s="43" t="s">
        <v>140</v>
      </c>
      <c r="C30" s="67">
        <f t="shared" si="1"/>
        <v>0</v>
      </c>
      <c r="D30" s="67">
        <f t="shared" si="2"/>
        <v>0</v>
      </c>
      <c r="E30" s="1939">
        <f t="shared" si="3"/>
        <v>0</v>
      </c>
      <c r="F30" s="839">
        <f>' Enrol &amp; Rev'!F137</f>
        <v>0</v>
      </c>
      <c r="G30" s="839">
        <f>' Enrol &amp; Rev'!G137</f>
        <v>0</v>
      </c>
      <c r="H30" s="839">
        <f>' Enrol &amp; Rev'!H137</f>
        <v>0</v>
      </c>
      <c r="I30" s="839">
        <f>' Enrol &amp; Rev'!I137</f>
        <v>0</v>
      </c>
      <c r="J30" s="839">
        <f>' Enrol &amp; Rev'!J137</f>
        <v>0</v>
      </c>
      <c r="K30" s="839">
        <f>' Enrol &amp; Rev'!K137</f>
        <v>0</v>
      </c>
      <c r="L30" s="839">
        <f>' Enrol &amp; Rev'!L137</f>
        <v>0</v>
      </c>
      <c r="M30" s="66"/>
      <c r="O30" s="462"/>
      <c r="P30" s="75" t="s">
        <v>118</v>
      </c>
      <c r="Q30" s="75" t="s">
        <v>118</v>
      </c>
    </row>
    <row r="31" spans="1:17">
      <c r="A31" s="650">
        <f>ROW()</f>
        <v>31</v>
      </c>
      <c r="B31" s="43" t="s">
        <v>141</v>
      </c>
      <c r="C31" s="67">
        <f>SUM(F31:L31)</f>
        <v>0</v>
      </c>
      <c r="D31" s="67">
        <f t="shared" si="2"/>
        <v>0</v>
      </c>
      <c r="E31" s="1939">
        <f t="shared" si="3"/>
        <v>0</v>
      </c>
      <c r="F31" s="839">
        <f>' Enrol &amp; Rev'!F133</f>
        <v>0</v>
      </c>
      <c r="G31" s="839">
        <f>' Enrol &amp; Rev'!G133</f>
        <v>0</v>
      </c>
      <c r="H31" s="839">
        <f>' Enrol &amp; Rev'!H133</f>
        <v>0</v>
      </c>
      <c r="I31" s="839">
        <f>' Enrol &amp; Rev'!I133</f>
        <v>0</v>
      </c>
      <c r="J31" s="839">
        <f>' Enrol &amp; Rev'!J133</f>
        <v>0</v>
      </c>
      <c r="K31" s="839">
        <f>' Enrol &amp; Rev'!K133</f>
        <v>0</v>
      </c>
      <c r="L31" s="839">
        <f>' Enrol &amp; Rev'!L133</f>
        <v>0</v>
      </c>
      <c r="M31" s="66"/>
      <c r="O31" s="462"/>
      <c r="P31" s="75" t="s">
        <v>118</v>
      </c>
      <c r="Q31" s="75" t="s">
        <v>118</v>
      </c>
    </row>
    <row r="32" spans="1:17">
      <c r="A32" s="650">
        <f>ROW()</f>
        <v>32</v>
      </c>
      <c r="B32" s="43" t="s">
        <v>142</v>
      </c>
      <c r="C32" s="67">
        <f t="shared" si="1"/>
        <v>100000</v>
      </c>
      <c r="D32" s="67">
        <f t="shared" si="2"/>
        <v>0</v>
      </c>
      <c r="E32" s="1939">
        <f t="shared" si="3"/>
        <v>0</v>
      </c>
      <c r="F32" s="839">
        <f>' Enrol &amp; Rev'!F138</f>
        <v>100000</v>
      </c>
      <c r="G32" s="839">
        <f>' Enrol &amp; Rev'!G138</f>
        <v>0</v>
      </c>
      <c r="H32" s="839">
        <f>' Enrol &amp; Rev'!H138</f>
        <v>0</v>
      </c>
      <c r="I32" s="839">
        <f>' Enrol &amp; Rev'!I138</f>
        <v>0</v>
      </c>
      <c r="J32" s="839">
        <f>' Enrol &amp; Rev'!J138</f>
        <v>0</v>
      </c>
      <c r="K32" s="839">
        <f>' Enrol &amp; Rev'!K138</f>
        <v>0</v>
      </c>
      <c r="L32" s="839">
        <f>' Enrol &amp; Rev'!L138</f>
        <v>0</v>
      </c>
      <c r="M32" s="66"/>
      <c r="O32" s="462" t="s">
        <v>1291</v>
      </c>
      <c r="P32" s="75" t="s">
        <v>118</v>
      </c>
      <c r="Q32" s="75" t="s">
        <v>118</v>
      </c>
    </row>
    <row r="33" spans="1:17">
      <c r="A33" s="650">
        <f>ROW()</f>
        <v>33</v>
      </c>
      <c r="B33" s="43" t="s">
        <v>143</v>
      </c>
      <c r="C33" s="67">
        <f t="shared" si="1"/>
        <v>326500</v>
      </c>
      <c r="D33" s="67">
        <f t="shared" si="2"/>
        <v>4833.333333333333</v>
      </c>
      <c r="E33" s="1939">
        <f t="shared" si="3"/>
        <v>1.1898008134078129E-3</v>
      </c>
      <c r="F33" s="1753">
        <f>' Enrol &amp; Rev'!F139</f>
        <v>297500</v>
      </c>
      <c r="G33" s="1753">
        <f>' Enrol &amp; Rev'!G139</f>
        <v>29000</v>
      </c>
      <c r="H33" s="1753">
        <f>' Enrol &amp; Rev'!H139</f>
        <v>0</v>
      </c>
      <c r="I33" s="1753">
        <f>' Enrol &amp; Rev'!I139</f>
        <v>0</v>
      </c>
      <c r="J33" s="1753">
        <f>' Enrol &amp; Rev'!J139</f>
        <v>0</v>
      </c>
      <c r="K33" s="1753">
        <f>' Enrol &amp; Rev'!K139</f>
        <v>0</v>
      </c>
      <c r="L33" s="1753">
        <f>' Enrol &amp; Rev'!L139</f>
        <v>0</v>
      </c>
      <c r="M33" s="66"/>
      <c r="O33" s="462" t="s">
        <v>1291</v>
      </c>
    </row>
    <row r="34" spans="1:17">
      <c r="A34" s="650">
        <f>ROW()</f>
        <v>34</v>
      </c>
      <c r="B34" s="1941" t="s">
        <v>196</v>
      </c>
      <c r="C34" s="1942">
        <f>SUM(C14:C33)</f>
        <v>24771327.680398501</v>
      </c>
      <c r="D34" s="1942">
        <f>AVERAGE(G34:L34)</f>
        <v>4062304.6133997501</v>
      </c>
      <c r="E34" s="1943">
        <f t="shared" si="3"/>
        <v>1</v>
      </c>
      <c r="F34" s="1944">
        <f t="shared" ref="F34:L34" si="4">SUM(F14:F33)</f>
        <v>397500</v>
      </c>
      <c r="G34" s="1944">
        <f t="shared" si="4"/>
        <v>1748937.5</v>
      </c>
      <c r="H34" s="1944">
        <f t="shared" si="4"/>
        <v>2985042.728962</v>
      </c>
      <c r="I34" s="1944">
        <f t="shared" si="4"/>
        <v>4043933.2184430007</v>
      </c>
      <c r="J34" s="1944">
        <f t="shared" si="4"/>
        <v>4669192.8329240009</v>
      </c>
      <c r="K34" s="1944">
        <f t="shared" si="4"/>
        <v>5198638.0776644992</v>
      </c>
      <c r="L34" s="1944">
        <f t="shared" si="4"/>
        <v>5728083.3224050002</v>
      </c>
      <c r="M34" s="1603"/>
      <c r="O34" s="462"/>
      <c r="P34" s="75" t="s">
        <v>118</v>
      </c>
      <c r="Q34" s="75" t="s">
        <v>118</v>
      </c>
    </row>
    <row r="35" spans="1:17" hidden="1" outlineLevel="1">
      <c r="A35" s="650">
        <f>ROW()</f>
        <v>35</v>
      </c>
      <c r="B35" s="1945" t="s">
        <v>1414</v>
      </c>
      <c r="C35" s="79"/>
      <c r="D35" s="79"/>
      <c r="E35" s="79"/>
      <c r="F35" s="226">
        <f>' Enrol &amp; Rev'!F142</f>
        <v>397500</v>
      </c>
      <c r="G35" s="226">
        <f>' Enrol &amp; Rev'!G142</f>
        <v>1748937.5</v>
      </c>
      <c r="H35" s="226">
        <f>' Enrol &amp; Rev'!H142</f>
        <v>2985042.728962</v>
      </c>
      <c r="I35" s="226">
        <f>' Enrol &amp; Rev'!I142</f>
        <v>4043933.2184430007</v>
      </c>
      <c r="J35" s="226">
        <f>' Enrol &amp; Rev'!J142</f>
        <v>4669192.8329240009</v>
      </c>
      <c r="K35" s="226">
        <f>' Enrol &amp; Rev'!K142</f>
        <v>5198638.0776644992</v>
      </c>
      <c r="L35" s="226">
        <f>' Enrol &amp; Rev'!L142</f>
        <v>5728083.3224050002</v>
      </c>
      <c r="M35" s="423"/>
      <c r="O35" s="462"/>
      <c r="P35" s="75" t="s">
        <v>118</v>
      </c>
      <c r="Q35" s="75" t="s">
        <v>118</v>
      </c>
    </row>
    <row r="36" spans="1:17" hidden="1" outlineLevel="1">
      <c r="A36" s="650">
        <f>ROW()</f>
        <v>36</v>
      </c>
      <c r="B36" s="269" t="s">
        <v>1372</v>
      </c>
      <c r="C36" s="595"/>
      <c r="D36" s="595"/>
      <c r="E36" s="595"/>
      <c r="F36" s="1053">
        <f>+F34-F35</f>
        <v>0</v>
      </c>
      <c r="G36" s="1053">
        <f t="shared" ref="G36:L36" si="5">+G34-G35</f>
        <v>0</v>
      </c>
      <c r="H36" s="1053">
        <f t="shared" si="5"/>
        <v>0</v>
      </c>
      <c r="I36" s="1053">
        <f t="shared" si="5"/>
        <v>0</v>
      </c>
      <c r="J36" s="1053">
        <f t="shared" si="5"/>
        <v>0</v>
      </c>
      <c r="K36" s="1053">
        <f t="shared" si="5"/>
        <v>0</v>
      </c>
      <c r="L36" s="1053">
        <f t="shared" si="5"/>
        <v>0</v>
      </c>
      <c r="M36" s="423"/>
      <c r="O36" s="462"/>
    </row>
    <row r="37" spans="1:17" collapsed="1">
      <c r="A37" s="650">
        <f>ROW()</f>
        <v>37</v>
      </c>
      <c r="B37" s="269" t="s">
        <v>1413</v>
      </c>
      <c r="C37" s="595"/>
      <c r="D37" s="595"/>
      <c r="E37" s="595"/>
      <c r="F37" s="863"/>
      <c r="G37" s="1946">
        <f t="shared" ref="G37:L37" si="6">+G34/G9</f>
        <v>8744.6875</v>
      </c>
      <c r="H37" s="1946">
        <f t="shared" si="6"/>
        <v>9950.1424298733327</v>
      </c>
      <c r="I37" s="1946">
        <f t="shared" si="6"/>
        <v>10109.833046107502</v>
      </c>
      <c r="J37" s="1946">
        <f t="shared" si="6"/>
        <v>10375.984073164447</v>
      </c>
      <c r="K37" s="1946">
        <f t="shared" si="6"/>
        <v>10397.276155328998</v>
      </c>
      <c r="L37" s="1946">
        <f t="shared" si="6"/>
        <v>10414.696949827274</v>
      </c>
      <c r="M37" s="423"/>
      <c r="O37" s="462"/>
    </row>
    <row r="38" spans="1:17" hidden="1" outlineLevel="1">
      <c r="A38" s="650">
        <f>ROW()</f>
        <v>38</v>
      </c>
      <c r="B38" s="1947" t="s">
        <v>1369</v>
      </c>
      <c r="C38" s="1948"/>
      <c r="D38" s="1948"/>
      <c r="E38" s="1949"/>
      <c r="F38" s="1950"/>
      <c r="G38" s="1950">
        <f>+' Enrol &amp; Rev'!G143</f>
        <v>8744.6875</v>
      </c>
      <c r="H38" s="1950">
        <f>+' Enrol &amp; Rev'!H143</f>
        <v>9950.1424298733327</v>
      </c>
      <c r="I38" s="1950">
        <f>+' Enrol &amp; Rev'!I143</f>
        <v>10109.833046107502</v>
      </c>
      <c r="J38" s="1950">
        <f>+' Enrol &amp; Rev'!J143</f>
        <v>10375.984073164447</v>
      </c>
      <c r="K38" s="1950">
        <f>+' Enrol &amp; Rev'!K143</f>
        <v>10397.276155328998</v>
      </c>
      <c r="L38" s="1950">
        <f>+' Enrol &amp; Rev'!L143</f>
        <v>10414.696949827274</v>
      </c>
      <c r="M38" s="423"/>
      <c r="O38" s="462"/>
    </row>
    <row r="39" spans="1:17" hidden="1" outlineLevel="1">
      <c r="A39" s="650">
        <f>ROW()</f>
        <v>39</v>
      </c>
      <c r="B39" s="269" t="s">
        <v>1373</v>
      </c>
      <c r="C39" s="595"/>
      <c r="D39" s="595"/>
      <c r="E39" s="595"/>
      <c r="F39" s="863"/>
      <c r="G39" s="1946">
        <f t="shared" ref="G39:L39" si="7">+G38-G37</f>
        <v>0</v>
      </c>
      <c r="H39" s="1946">
        <f t="shared" si="7"/>
        <v>0</v>
      </c>
      <c r="I39" s="1946">
        <f t="shared" si="7"/>
        <v>0</v>
      </c>
      <c r="J39" s="1946">
        <f t="shared" si="7"/>
        <v>0</v>
      </c>
      <c r="K39" s="1946">
        <f t="shared" si="7"/>
        <v>0</v>
      </c>
      <c r="L39" s="1946">
        <f t="shared" si="7"/>
        <v>0</v>
      </c>
      <c r="M39" s="423"/>
      <c r="O39" s="462"/>
    </row>
    <row r="40" spans="1:17" collapsed="1">
      <c r="A40" s="650">
        <f>ROW()</f>
        <v>40</v>
      </c>
      <c r="B40" s="595"/>
      <c r="C40" s="595"/>
      <c r="D40" s="595"/>
      <c r="E40" s="595"/>
      <c r="F40" s="863"/>
      <c r="G40" s="1946"/>
      <c r="H40" s="1946"/>
      <c r="I40" s="1946"/>
      <c r="J40" s="1946"/>
      <c r="K40" s="1946"/>
      <c r="L40" s="1946"/>
      <c r="M40" s="423"/>
      <c r="O40" s="462"/>
    </row>
    <row r="41" spans="1:17" ht="17.399999999999999">
      <c r="A41" s="650">
        <f>ROW()</f>
        <v>41</v>
      </c>
      <c r="B41" s="1236" t="s">
        <v>145</v>
      </c>
      <c r="C41" s="1237" t="s">
        <v>123</v>
      </c>
      <c r="D41" s="1237" t="s">
        <v>124</v>
      </c>
      <c r="E41" s="1238" t="s">
        <v>125</v>
      </c>
      <c r="F41" s="1239" t="str">
        <f t="shared" ref="F41:L41" si="8">F6</f>
        <v>SY 0/Incu</v>
      </c>
      <c r="G41" s="1240">
        <f t="shared" si="8"/>
        <v>1</v>
      </c>
      <c r="H41" s="1240">
        <f t="shared" si="8"/>
        <v>2</v>
      </c>
      <c r="I41" s="1240">
        <f t="shared" si="8"/>
        <v>3</v>
      </c>
      <c r="J41" s="1240">
        <f t="shared" si="8"/>
        <v>4</v>
      </c>
      <c r="K41" s="1240">
        <f t="shared" si="8"/>
        <v>5</v>
      </c>
      <c r="L41" s="1240">
        <f t="shared" si="8"/>
        <v>6</v>
      </c>
      <c r="M41" s="423"/>
      <c r="O41" s="462"/>
      <c r="P41" s="75" t="s">
        <v>118</v>
      </c>
      <c r="Q41" s="75" t="s">
        <v>118</v>
      </c>
    </row>
    <row r="42" spans="1:17">
      <c r="A42" s="650">
        <f>ROW()</f>
        <v>42</v>
      </c>
      <c r="B42" s="40" t="s">
        <v>146</v>
      </c>
      <c r="C42" s="937">
        <f t="shared" ref="C42:C49" si="9">SUM(F42:L42)</f>
        <v>13530970.846404864</v>
      </c>
      <c r="D42" s="937">
        <f t="shared" ref="D42:D49" si="10">AVERAGE(G42:L42)</f>
        <v>2233698.7077341438</v>
      </c>
      <c r="E42" s="565">
        <f t="shared" ref="E42:E50" si="11">IFERROR(+D42/$D$34,0)</f>
        <v>0.54985997366277206</v>
      </c>
      <c r="F42" s="840">
        <f>+Staff!G457</f>
        <v>128778.6</v>
      </c>
      <c r="G42" s="840">
        <f>+Staff!H457</f>
        <v>908420.65500000003</v>
      </c>
      <c r="H42" s="840">
        <f>+Staff!I457</f>
        <v>1568197.26</v>
      </c>
      <c r="I42" s="840">
        <f>+Staff!J457</f>
        <v>2358735.9863999998</v>
      </c>
      <c r="J42" s="840">
        <f>+Staff!K457</f>
        <v>2619609.6139199999</v>
      </c>
      <c r="K42" s="840">
        <f>+Staff!L457</f>
        <v>2969739.0419231998</v>
      </c>
      <c r="L42" s="840">
        <f>+Staff!M457</f>
        <v>2977489.6891616639</v>
      </c>
      <c r="M42" s="422"/>
      <c r="O42" s="462"/>
      <c r="P42" s="75" t="s">
        <v>118</v>
      </c>
      <c r="Q42" s="75" t="s">
        <v>118</v>
      </c>
    </row>
    <row r="43" spans="1:17">
      <c r="A43" s="650">
        <f>ROW()</f>
        <v>43</v>
      </c>
      <c r="B43" s="43" t="s">
        <v>105</v>
      </c>
      <c r="C43" s="354">
        <f t="shared" si="9"/>
        <v>3653535</v>
      </c>
      <c r="D43" s="354">
        <f t="shared" si="10"/>
        <v>608922.5</v>
      </c>
      <c r="E43" s="1939">
        <f t="shared" si="11"/>
        <v>0.14989582464875564</v>
      </c>
      <c r="F43" s="841">
        <f>Facilities!F76</f>
        <v>0</v>
      </c>
      <c r="G43" s="841">
        <f>Facilities!G76</f>
        <v>367500</v>
      </c>
      <c r="H43" s="841">
        <f>Facilities!H76</f>
        <v>376500</v>
      </c>
      <c r="I43" s="841">
        <f>Facilities!I76</f>
        <v>388860</v>
      </c>
      <c r="J43" s="841">
        <f>Facilities!J76</f>
        <v>817499.99999999988</v>
      </c>
      <c r="K43" s="841">
        <f>Facilities!K76</f>
        <v>840000</v>
      </c>
      <c r="L43" s="841">
        <f>Facilities!L76</f>
        <v>863175</v>
      </c>
      <c r="M43" s="422"/>
      <c r="O43" s="462"/>
      <c r="P43" s="75" t="s">
        <v>118</v>
      </c>
      <c r="Q43" s="75" t="s">
        <v>118</v>
      </c>
    </row>
    <row r="44" spans="1:17">
      <c r="A44" s="650">
        <f>ROW()</f>
        <v>44</v>
      </c>
      <c r="B44" s="43" t="s">
        <v>147</v>
      </c>
      <c r="C44" s="67">
        <f t="shared" si="9"/>
        <v>3617964.3631786946</v>
      </c>
      <c r="D44" s="67">
        <f t="shared" si="10"/>
        <v>562373.89386311581</v>
      </c>
      <c r="E44" s="1939">
        <f t="shared" si="11"/>
        <v>0.13843715510848018</v>
      </c>
      <c r="F44" s="839">
        <f>+'Gen Optg'!F198</f>
        <v>243721</v>
      </c>
      <c r="G44" s="839">
        <f>+'Gen Optg'!G198</f>
        <v>293070.75</v>
      </c>
      <c r="H44" s="839">
        <f>+'Gen Optg'!H198</f>
        <v>408162.63324999996</v>
      </c>
      <c r="I44" s="839">
        <f>+'Gen Optg'!I198</f>
        <v>541542.43235769996</v>
      </c>
      <c r="J44" s="839">
        <f>+'Gen Optg'!J198</f>
        <v>622830.27429965709</v>
      </c>
      <c r="K44" s="839">
        <f>+'Gen Optg'!K198</f>
        <v>709080.83985485905</v>
      </c>
      <c r="L44" s="839">
        <f>+'Gen Optg'!L198</f>
        <v>799556.43341647834</v>
      </c>
      <c r="M44" s="422"/>
      <c r="O44" s="462"/>
      <c r="P44" s="75" t="s">
        <v>118</v>
      </c>
      <c r="Q44" s="75" t="s">
        <v>118</v>
      </c>
    </row>
    <row r="45" spans="1:17">
      <c r="A45" s="650">
        <f>ROW()</f>
        <v>45</v>
      </c>
      <c r="B45" s="43" t="s">
        <v>148</v>
      </c>
      <c r="C45" s="67">
        <f t="shared" si="9"/>
        <v>0</v>
      </c>
      <c r="D45" s="67">
        <f t="shared" si="10"/>
        <v>0</v>
      </c>
      <c r="E45" s="1939">
        <f t="shared" si="11"/>
        <v>0</v>
      </c>
      <c r="F45" s="839">
        <f>'EMO-CMO'!E39</f>
        <v>0</v>
      </c>
      <c r="G45" s="839">
        <f>'EMO-CMO'!F39</f>
        <v>0</v>
      </c>
      <c r="H45" s="839">
        <f>'EMO-CMO'!G39</f>
        <v>0</v>
      </c>
      <c r="I45" s="839">
        <f>'EMO-CMO'!H39</f>
        <v>0</v>
      </c>
      <c r="J45" s="839">
        <f>'EMO-CMO'!I39</f>
        <v>0</v>
      </c>
      <c r="K45" s="839">
        <f>'EMO-CMO'!J39</f>
        <v>0</v>
      </c>
      <c r="L45" s="839">
        <f>'EMO-CMO'!K39</f>
        <v>0</v>
      </c>
      <c r="M45" s="66"/>
      <c r="O45" s="462"/>
      <c r="P45" s="75" t="s">
        <v>118</v>
      </c>
      <c r="Q45" s="75" t="s">
        <v>118</v>
      </c>
    </row>
    <row r="46" spans="1:17">
      <c r="A46" s="650">
        <f>ROW()</f>
        <v>46</v>
      </c>
      <c r="B46" s="43" t="s">
        <v>110</v>
      </c>
      <c r="C46" s="67">
        <f t="shared" si="9"/>
        <v>22000</v>
      </c>
      <c r="D46" s="67">
        <f t="shared" si="10"/>
        <v>3666.6666666666665</v>
      </c>
      <c r="E46" s="1939">
        <f t="shared" si="11"/>
        <v>9.0260751361972004E-4</v>
      </c>
      <c r="F46" s="839">
        <f>Marketing!H44</f>
        <v>0</v>
      </c>
      <c r="G46" s="839">
        <f>Marketing!I44</f>
        <v>4000</v>
      </c>
      <c r="H46" s="839">
        <f>Marketing!J44</f>
        <v>6000</v>
      </c>
      <c r="I46" s="839">
        <f>Marketing!K44</f>
        <v>3000</v>
      </c>
      <c r="J46" s="839">
        <f>Marketing!L44</f>
        <v>3000</v>
      </c>
      <c r="K46" s="839">
        <f>Marketing!M44</f>
        <v>3000</v>
      </c>
      <c r="L46" s="839">
        <f>Marketing!N44</f>
        <v>3000</v>
      </c>
      <c r="M46" s="69"/>
      <c r="O46" s="462"/>
      <c r="P46" s="75" t="s">
        <v>118</v>
      </c>
      <c r="Q46" s="75" t="s">
        <v>118</v>
      </c>
    </row>
    <row r="47" spans="1:17">
      <c r="A47" s="650">
        <f>ROW()</f>
        <v>47</v>
      </c>
      <c r="B47" s="43" t="s">
        <v>107</v>
      </c>
      <c r="C47" s="354">
        <f t="shared" si="9"/>
        <v>734288.99717647058</v>
      </c>
      <c r="D47" s="354">
        <f t="shared" si="10"/>
        <v>122381.49952941177</v>
      </c>
      <c r="E47" s="1939">
        <f t="shared" si="11"/>
        <v>3.0126125728171447E-2</v>
      </c>
      <c r="F47" s="841">
        <f>'FFE&amp;T'!F42</f>
        <v>0</v>
      </c>
      <c r="G47" s="841">
        <f>'FFE&amp;T'!G42</f>
        <v>110966.63793103449</v>
      </c>
      <c r="H47" s="841">
        <f>'FFE&amp;T'!H42</f>
        <v>108439.79064039409</v>
      </c>
      <c r="I47" s="841">
        <f>'FFE&amp;T'!I42</f>
        <v>122467.72932330827</v>
      </c>
      <c r="J47" s="841">
        <f>'FFE&amp;T'!J42</f>
        <v>124674.44210526317</v>
      </c>
      <c r="K47" s="841">
        <f>'FFE&amp;T'!K42</f>
        <v>131920.30117647059</v>
      </c>
      <c r="L47" s="841">
        <f>'FFE&amp;T'!L42</f>
        <v>135820.09600000002</v>
      </c>
      <c r="M47" s="69"/>
      <c r="O47" s="462"/>
      <c r="P47" s="75" t="s">
        <v>118</v>
      </c>
      <c r="Q47" s="75" t="s">
        <v>118</v>
      </c>
    </row>
    <row r="48" spans="1:17">
      <c r="A48" s="650">
        <f>ROW()</f>
        <v>48</v>
      </c>
      <c r="B48" s="43" t="s">
        <v>139</v>
      </c>
      <c r="C48" s="354">
        <f t="shared" si="9"/>
        <v>61200</v>
      </c>
      <c r="D48" s="354">
        <f t="shared" si="10"/>
        <v>10200</v>
      </c>
      <c r="E48" s="1939">
        <f t="shared" si="11"/>
        <v>2.5108899924330395E-3</v>
      </c>
      <c r="F48" s="841">
        <f>+'Gen Optg'!F177</f>
        <v>0</v>
      </c>
      <c r="G48" s="841">
        <f>+'Gen Optg'!G177</f>
        <v>7200</v>
      </c>
      <c r="H48" s="841">
        <f>+'Gen Optg'!H177</f>
        <v>10800</v>
      </c>
      <c r="I48" s="841">
        <f>+'Gen Optg'!I177</f>
        <v>10800</v>
      </c>
      <c r="J48" s="841">
        <f>+'Gen Optg'!J177</f>
        <v>10800</v>
      </c>
      <c r="K48" s="841">
        <f>+'Gen Optg'!K177</f>
        <v>10800</v>
      </c>
      <c r="L48" s="841">
        <f>+'Gen Optg'!L177</f>
        <v>10800</v>
      </c>
      <c r="M48" s="69"/>
      <c r="O48" s="462"/>
      <c r="P48" s="75" t="s">
        <v>118</v>
      </c>
      <c r="Q48" s="75" t="s">
        <v>118</v>
      </c>
    </row>
    <row r="49" spans="1:20">
      <c r="A49" s="650">
        <f>ROW()</f>
        <v>49</v>
      </c>
      <c r="B49" s="43" t="s">
        <v>149</v>
      </c>
      <c r="C49" s="354">
        <f t="shared" si="9"/>
        <v>151527.3736570272</v>
      </c>
      <c r="D49" s="354">
        <f t="shared" si="10"/>
        <v>25254.5622761712</v>
      </c>
      <c r="E49" s="1939">
        <f t="shared" si="11"/>
        <v>6.2168066355407087E-3</v>
      </c>
      <c r="F49" s="841">
        <f>Ins!F50</f>
        <v>0</v>
      </c>
      <c r="G49" s="841">
        <f>Ins!G50</f>
        <v>24021</v>
      </c>
      <c r="H49" s="841">
        <f>Ins!H50</f>
        <v>24501.42</v>
      </c>
      <c r="I49" s="841">
        <f>Ins!I50</f>
        <v>24991.448399999997</v>
      </c>
      <c r="J49" s="841">
        <f>Ins!J50</f>
        <v>25491.277367999999</v>
      </c>
      <c r="K49" s="841">
        <f>Ins!K50</f>
        <v>26001.102915359999</v>
      </c>
      <c r="L49" s="841">
        <f>Ins!L50</f>
        <v>26521.124973667203</v>
      </c>
      <c r="M49" s="69"/>
      <c r="O49" s="462"/>
      <c r="P49" s="75" t="s">
        <v>118</v>
      </c>
      <c r="Q49" s="75" t="s">
        <v>118</v>
      </c>
    </row>
    <row r="50" spans="1:20">
      <c r="A50" s="650">
        <f>ROW()</f>
        <v>50</v>
      </c>
      <c r="B50" s="1119" t="s">
        <v>150</v>
      </c>
      <c r="C50" s="936">
        <f>SUM(C42:C49)</f>
        <v>21771486.580417056</v>
      </c>
      <c r="D50" s="936">
        <f>AVERAGE(G50:L50)</f>
        <v>3566497.8300695089</v>
      </c>
      <c r="E50" s="904">
        <f t="shared" si="11"/>
        <v>0.87794938328977268</v>
      </c>
      <c r="F50" s="1602">
        <f t="shared" ref="F50:L50" si="12">SUM(F42:F49)</f>
        <v>372499.6</v>
      </c>
      <c r="G50" s="1602">
        <f t="shared" si="12"/>
        <v>1715179.0429310345</v>
      </c>
      <c r="H50" s="1602">
        <f t="shared" si="12"/>
        <v>2502601.1038903939</v>
      </c>
      <c r="I50" s="1602">
        <f t="shared" si="12"/>
        <v>3450397.5964810085</v>
      </c>
      <c r="J50" s="1602">
        <f t="shared" si="12"/>
        <v>4223905.6076929197</v>
      </c>
      <c r="K50" s="1602">
        <f t="shared" si="12"/>
        <v>4690541.285869889</v>
      </c>
      <c r="L50" s="1602">
        <f t="shared" si="12"/>
        <v>4816362.343551809</v>
      </c>
      <c r="M50" s="86"/>
      <c r="O50" s="2173"/>
      <c r="P50" s="75" t="s">
        <v>118</v>
      </c>
      <c r="Q50" s="75" t="s">
        <v>118</v>
      </c>
    </row>
    <row r="51" spans="1:20">
      <c r="A51" s="650">
        <f>ROW()</f>
        <v>51</v>
      </c>
      <c r="B51" s="117" t="s">
        <v>1368</v>
      </c>
      <c r="C51" s="568"/>
      <c r="D51" s="568"/>
      <c r="E51" s="569"/>
      <c r="F51" s="793">
        <f t="shared" ref="F51:L51" si="13">IFERROR(F50/F9,0)</f>
        <v>0</v>
      </c>
      <c r="G51" s="793">
        <f t="shared" si="13"/>
        <v>8575.8952146551728</v>
      </c>
      <c r="H51" s="793">
        <f t="shared" si="13"/>
        <v>8342.0036796346467</v>
      </c>
      <c r="I51" s="793">
        <f t="shared" si="13"/>
        <v>8625.993991202522</v>
      </c>
      <c r="J51" s="793">
        <f t="shared" si="13"/>
        <v>9386.4569059842652</v>
      </c>
      <c r="K51" s="793">
        <f t="shared" si="13"/>
        <v>9381.0825717397784</v>
      </c>
      <c r="L51" s="793">
        <f t="shared" si="13"/>
        <v>8757.0224428214715</v>
      </c>
      <c r="M51" s="86"/>
      <c r="O51" s="462"/>
      <c r="P51" s="75" t="s">
        <v>118</v>
      </c>
      <c r="Q51" s="75" t="s">
        <v>118</v>
      </c>
    </row>
    <row r="52" spans="1:20" ht="14.4" thickBot="1">
      <c r="A52" s="650">
        <f>ROW()</f>
        <v>52</v>
      </c>
      <c r="B52" s="37"/>
      <c r="C52" s="568"/>
      <c r="D52" s="568"/>
      <c r="E52" s="569"/>
      <c r="F52" s="842"/>
      <c r="G52" s="842"/>
      <c r="H52" s="842"/>
      <c r="I52" s="842"/>
      <c r="J52" s="842"/>
      <c r="K52" s="842"/>
      <c r="L52" s="842"/>
      <c r="M52" s="86"/>
      <c r="O52" s="462"/>
    </row>
    <row r="53" spans="1:20" ht="14.4" thickBot="1">
      <c r="A53" s="650">
        <f>ROW()</f>
        <v>53</v>
      </c>
      <c r="B53" s="1714" t="s">
        <v>151</v>
      </c>
      <c r="C53" s="1715">
        <f>C34-C50</f>
        <v>2999841.0999814458</v>
      </c>
      <c r="D53" s="1715">
        <f>AVERAGE(G53:L53)</f>
        <v>495806.78333024104</v>
      </c>
      <c r="E53" s="1716">
        <f>IFERROR(+D53/$D$34,0)</f>
        <v>0.12205061671022731</v>
      </c>
      <c r="F53" s="1717">
        <f t="shared" ref="F53:L53" si="14">F34-F50</f>
        <v>25000.400000000023</v>
      </c>
      <c r="G53" s="1717">
        <f t="shared" si="14"/>
        <v>33758.457068965537</v>
      </c>
      <c r="H53" s="1717">
        <f t="shared" si="14"/>
        <v>482441.62507160613</v>
      </c>
      <c r="I53" s="1717">
        <f t="shared" si="14"/>
        <v>593535.62196199223</v>
      </c>
      <c r="J53" s="1717">
        <f t="shared" si="14"/>
        <v>445287.22523108125</v>
      </c>
      <c r="K53" s="1717">
        <f t="shared" si="14"/>
        <v>508096.79179461021</v>
      </c>
      <c r="L53" s="1717">
        <f t="shared" si="14"/>
        <v>911720.97885319125</v>
      </c>
      <c r="M53" s="86"/>
      <c r="N53" s="1205"/>
      <c r="O53" s="462" t="s">
        <v>152</v>
      </c>
      <c r="P53" s="89" t="s">
        <v>118</v>
      </c>
      <c r="Q53" s="89" t="s">
        <v>118</v>
      </c>
      <c r="R53" s="89"/>
      <c r="T53" s="90"/>
    </row>
    <row r="54" spans="1:20" ht="15" thickBot="1">
      <c r="A54" s="650">
        <f>ROW()</f>
        <v>54</v>
      </c>
      <c r="B54" s="572" t="s">
        <v>153</v>
      </c>
      <c r="C54" s="573"/>
      <c r="D54" s="573"/>
      <c r="E54" s="573"/>
      <c r="F54" s="843"/>
      <c r="G54" s="844">
        <f>IFERROR(G53/Statistics!G19,0)</f>
        <v>168.79228534482769</v>
      </c>
      <c r="H54" s="844">
        <f>IFERROR(H53/Statistics!H19,0)</f>
        <v>1608.1387502386872</v>
      </c>
      <c r="I54" s="844">
        <f>IFERROR(I53/Statistics!I19,0)</f>
        <v>1483.8390549049807</v>
      </c>
      <c r="J54" s="844">
        <f>IFERROR(J53/Statistics!J19,0)</f>
        <v>989.52716718018053</v>
      </c>
      <c r="K54" s="844">
        <f>IFERROR(K53/Statistics!K19,0)</f>
        <v>1016.1935835892205</v>
      </c>
      <c r="L54" s="844">
        <f>IFERROR(L53/Statistics!L19,0)</f>
        <v>1657.6745070058023</v>
      </c>
      <c r="M54" s="86"/>
      <c r="O54" s="462"/>
      <c r="P54" s="75" t="s">
        <v>118</v>
      </c>
      <c r="Q54" s="75" t="s">
        <v>118</v>
      </c>
    </row>
    <row r="55" spans="1:20" ht="15" thickBot="1">
      <c r="A55" s="650">
        <f>ROW()</f>
        <v>55</v>
      </c>
      <c r="B55" s="575" t="s">
        <v>154</v>
      </c>
      <c r="C55" s="576"/>
      <c r="D55" s="576"/>
      <c r="E55" s="571"/>
      <c r="F55" s="845">
        <f t="shared" ref="F55:L55" si="15">+F53+E55</f>
        <v>25000.400000000023</v>
      </c>
      <c r="G55" s="845">
        <f t="shared" si="15"/>
        <v>58758.857068965561</v>
      </c>
      <c r="H55" s="845">
        <f t="shared" si="15"/>
        <v>541200.48214057169</v>
      </c>
      <c r="I55" s="845">
        <f t="shared" si="15"/>
        <v>1134736.104102564</v>
      </c>
      <c r="J55" s="845">
        <f t="shared" si="15"/>
        <v>1580023.3293336453</v>
      </c>
      <c r="K55" s="845">
        <f t="shared" si="15"/>
        <v>2088120.1211282555</v>
      </c>
      <c r="L55" s="845">
        <f t="shared" si="15"/>
        <v>2999841.0999814468</v>
      </c>
      <c r="M55" s="574"/>
      <c r="O55" s="416" t="s">
        <v>155</v>
      </c>
      <c r="P55" s="75" t="s">
        <v>118</v>
      </c>
      <c r="Q55" s="75" t="s">
        <v>118</v>
      </c>
      <c r="S55" s="200"/>
    </row>
    <row r="56" spans="1:20" ht="14.4">
      <c r="A56" s="650">
        <f>ROW()</f>
        <v>56</v>
      </c>
      <c r="B56" s="1790" t="s">
        <v>156</v>
      </c>
      <c r="C56" s="1791">
        <f>SUM(F56:L56)</f>
        <v>0</v>
      </c>
      <c r="D56" s="903"/>
      <c r="E56" s="900"/>
      <c r="F56" s="901">
        <v>0</v>
      </c>
      <c r="G56" s="901">
        <v>0</v>
      </c>
      <c r="H56" s="901">
        <v>0</v>
      </c>
      <c r="I56" s="901">
        <v>0</v>
      </c>
      <c r="J56" s="901">
        <v>0</v>
      </c>
      <c r="K56" s="901">
        <v>0</v>
      </c>
      <c r="L56" s="901">
        <v>0</v>
      </c>
      <c r="M56" s="574"/>
      <c r="O56" s="2173"/>
      <c r="S56" s="200"/>
    </row>
    <row r="57" spans="1:20" ht="14.4">
      <c r="A57" s="650">
        <f>ROW()</f>
        <v>57</v>
      </c>
      <c r="B57" s="1790"/>
      <c r="C57" s="1791"/>
      <c r="D57" s="903"/>
      <c r="E57" s="900"/>
      <c r="F57" s="900"/>
      <c r="G57" s="900"/>
      <c r="H57" s="900"/>
      <c r="I57" s="900"/>
      <c r="J57" s="900"/>
      <c r="K57" s="900"/>
      <c r="L57" s="900"/>
      <c r="M57" s="574"/>
      <c r="O57" s="462"/>
      <c r="S57" s="200"/>
    </row>
    <row r="58" spans="1:20" ht="14.4">
      <c r="A58" s="650">
        <f>ROW()</f>
        <v>58</v>
      </c>
      <c r="B58" s="1790" t="s">
        <v>1247</v>
      </c>
      <c r="C58" s="1791"/>
      <c r="D58" s="903"/>
      <c r="E58" s="900"/>
      <c r="F58" s="1809"/>
      <c r="G58" s="1809"/>
      <c r="H58" s="1809"/>
      <c r="I58" s="1809"/>
      <c r="J58" s="1809"/>
      <c r="K58" s="1809"/>
      <c r="L58" s="1809"/>
      <c r="M58" s="574"/>
      <c r="O58" s="462"/>
      <c r="S58" s="200"/>
    </row>
    <row r="59" spans="1:20" ht="14.4">
      <c r="A59" s="650">
        <f>ROW()</f>
        <v>59</v>
      </c>
      <c r="B59" s="1790" t="s">
        <v>1283</v>
      </c>
      <c r="C59" s="1791"/>
      <c r="D59" s="903"/>
      <c r="E59" s="900"/>
      <c r="F59" s="1810"/>
      <c r="G59" s="1810"/>
      <c r="H59" s="1810"/>
      <c r="I59" s="1810"/>
      <c r="J59" s="1810"/>
      <c r="K59" s="1810"/>
      <c r="L59" s="1810"/>
      <c r="M59" s="574"/>
      <c r="O59" s="462"/>
      <c r="S59" s="200"/>
    </row>
    <row r="60" spans="1:20" ht="14.4">
      <c r="A60" s="650">
        <f>ROW()</f>
        <v>60</v>
      </c>
      <c r="B60" s="1951" t="s">
        <v>1357</v>
      </c>
      <c r="C60" s="587"/>
      <c r="D60" s="41"/>
      <c r="E60" s="1952"/>
      <c r="F60" s="1810"/>
      <c r="G60" s="1810"/>
      <c r="H60" s="1810"/>
      <c r="I60" s="1810"/>
      <c r="J60" s="1810"/>
      <c r="K60" s="1810"/>
      <c r="L60" s="1810"/>
      <c r="M60" s="574"/>
      <c r="O60" s="462"/>
      <c r="S60" s="200"/>
    </row>
    <row r="61" spans="1:20" ht="14.4" hidden="1" outlineLevel="1">
      <c r="A61" s="650">
        <f>ROW()</f>
        <v>61</v>
      </c>
      <c r="B61" s="1792" t="s">
        <v>1286</v>
      </c>
      <c r="C61" s="1793"/>
      <c r="D61" s="1794"/>
      <c r="E61" s="900"/>
      <c r="F61" s="1812">
        <v>0</v>
      </c>
      <c r="G61" s="1811">
        <f>+F69</f>
        <v>0</v>
      </c>
      <c r="H61" s="1811">
        <f>+G69</f>
        <v>0</v>
      </c>
      <c r="I61" s="1811">
        <f t="shared" ref="I61:L61" si="16">+H69</f>
        <v>0</v>
      </c>
      <c r="J61" s="1811">
        <f t="shared" si="16"/>
        <v>0</v>
      </c>
      <c r="K61" s="1811">
        <f t="shared" si="16"/>
        <v>0</v>
      </c>
      <c r="L61" s="1811">
        <f t="shared" si="16"/>
        <v>0</v>
      </c>
      <c r="M61" s="574"/>
      <c r="O61" s="462"/>
      <c r="S61" s="200"/>
    </row>
    <row r="62" spans="1:20" ht="14.4" hidden="1" outlineLevel="1">
      <c r="A62" s="650">
        <f>ROW()</f>
        <v>62</v>
      </c>
      <c r="B62" s="1792" t="s">
        <v>1282</v>
      </c>
      <c r="C62" s="1793"/>
      <c r="D62" s="1794"/>
      <c r="E62" s="900"/>
      <c r="F62" s="1810">
        <f t="shared" ref="F62:L62" si="17">IF(F53&lt;0,-F53,0)</f>
        <v>0</v>
      </c>
      <c r="G62" s="1810">
        <f t="shared" si="17"/>
        <v>0</v>
      </c>
      <c r="H62" s="1810">
        <f t="shared" si="17"/>
        <v>0</v>
      </c>
      <c r="I62" s="1810">
        <f t="shared" si="17"/>
        <v>0</v>
      </c>
      <c r="J62" s="1810">
        <f t="shared" si="17"/>
        <v>0</v>
      </c>
      <c r="K62" s="1810">
        <f t="shared" si="17"/>
        <v>0</v>
      </c>
      <c r="L62" s="1810">
        <f t="shared" si="17"/>
        <v>0</v>
      </c>
      <c r="M62" s="574"/>
      <c r="O62" s="462"/>
      <c r="S62" s="200"/>
    </row>
    <row r="63" spans="1:20" ht="14.4" hidden="1" outlineLevel="1">
      <c r="A63" s="650">
        <f>ROW()</f>
        <v>63</v>
      </c>
      <c r="B63" s="1792" t="s">
        <v>1336</v>
      </c>
      <c r="C63" s="1793"/>
      <c r="D63" s="1840">
        <v>0.06</v>
      </c>
      <c r="E63" s="900"/>
      <c r="F63" s="1810"/>
      <c r="G63" s="1810">
        <f>G61*$D$63</f>
        <v>0</v>
      </c>
      <c r="H63" s="1810">
        <f t="shared" ref="H63:L63" si="18">H61*$D$63</f>
        <v>0</v>
      </c>
      <c r="I63" s="1810">
        <f t="shared" si="18"/>
        <v>0</v>
      </c>
      <c r="J63" s="1810">
        <f t="shared" si="18"/>
        <v>0</v>
      </c>
      <c r="K63" s="1810">
        <f t="shared" si="18"/>
        <v>0</v>
      </c>
      <c r="L63" s="1810">
        <f t="shared" si="18"/>
        <v>0</v>
      </c>
      <c r="M63" s="574"/>
      <c r="O63" s="462"/>
      <c r="S63" s="200"/>
    </row>
    <row r="64" spans="1:20" ht="14.4" hidden="1" outlineLevel="1">
      <c r="A64" s="650">
        <f>ROW()</f>
        <v>64</v>
      </c>
      <c r="B64" s="1792"/>
      <c r="C64" s="1793"/>
      <c r="D64" s="1793"/>
      <c r="E64" s="900"/>
      <c r="F64" s="1811">
        <f>SUM(F61:F63)</f>
        <v>0</v>
      </c>
      <c r="G64" s="1811">
        <f>SUM(G61:G63)</f>
        <v>0</v>
      </c>
      <c r="H64" s="1811">
        <f t="shared" ref="H64:L64" si="19">SUM(H61:H63)</f>
        <v>0</v>
      </c>
      <c r="I64" s="1811">
        <f t="shared" si="19"/>
        <v>0</v>
      </c>
      <c r="J64" s="1811">
        <f t="shared" si="19"/>
        <v>0</v>
      </c>
      <c r="K64" s="1811">
        <f t="shared" si="19"/>
        <v>0</v>
      </c>
      <c r="L64" s="1811">
        <f t="shared" si="19"/>
        <v>0</v>
      </c>
      <c r="M64" s="574"/>
      <c r="O64" s="462"/>
      <c r="S64" s="200"/>
    </row>
    <row r="65" spans="1:19" ht="14.4" hidden="1" outlineLevel="1">
      <c r="A65" s="650">
        <f>ROW()</f>
        <v>65</v>
      </c>
      <c r="B65" s="1858" t="s">
        <v>1352</v>
      </c>
      <c r="C65" s="1859"/>
      <c r="D65" s="1859"/>
      <c r="E65" s="900"/>
      <c r="F65" s="1810"/>
      <c r="G65" s="1810"/>
      <c r="H65" s="1810"/>
      <c r="I65" s="1810"/>
      <c r="J65" s="1810"/>
      <c r="K65" s="1810"/>
      <c r="L65" s="1810"/>
      <c r="M65" s="574"/>
      <c r="O65" s="462"/>
      <c r="S65" s="200"/>
    </row>
    <row r="66" spans="1:19" ht="14.4" hidden="1" outlineLevel="1">
      <c r="A66" s="650">
        <f>ROW()</f>
        <v>66</v>
      </c>
      <c r="B66" s="1792" t="s">
        <v>1339</v>
      </c>
      <c r="C66" s="1793"/>
      <c r="D66" s="1794"/>
      <c r="E66" s="900"/>
      <c r="F66" s="1810">
        <f>IF(F53&gt;0,F53,F53+F61+F62+F63)</f>
        <v>25000.400000000023</v>
      </c>
      <c r="G66" s="1810">
        <f>IF(G53&gt;0,G53,G53+G61+G62+G63)</f>
        <v>33758.457068965537</v>
      </c>
      <c r="H66" s="1810">
        <f>IF(H53&gt;0,H53,H53+H61+H62+H63)</f>
        <v>482441.62507160613</v>
      </c>
      <c r="I66" s="1810">
        <f t="shared" ref="I66:L66" si="20">IF(I53&gt;0,I53,I53+I61+I62+I63)</f>
        <v>593535.62196199223</v>
      </c>
      <c r="J66" s="1810">
        <f t="shared" si="20"/>
        <v>445287.22523108125</v>
      </c>
      <c r="K66" s="1810">
        <f t="shared" si="20"/>
        <v>508096.79179461021</v>
      </c>
      <c r="L66" s="1810">
        <f t="shared" si="20"/>
        <v>911720.97885319125</v>
      </c>
      <c r="M66" s="574"/>
      <c r="O66" s="462"/>
      <c r="S66" s="200"/>
    </row>
    <row r="67" spans="1:19" ht="14.4" hidden="1" outlineLevel="1">
      <c r="A67" s="650">
        <f>ROW()</f>
        <v>67</v>
      </c>
      <c r="B67" s="1792" t="s">
        <v>1334</v>
      </c>
      <c r="C67" s="1793"/>
      <c r="D67" s="1794"/>
      <c r="E67" s="900"/>
      <c r="F67" s="1810">
        <f>+E67+F66</f>
        <v>25000.400000000023</v>
      </c>
      <c r="G67" s="1810">
        <f>+F67+G66</f>
        <v>58758.857068965561</v>
      </c>
      <c r="H67" s="1810">
        <f>+G67+H66</f>
        <v>541200.48214057169</v>
      </c>
      <c r="I67" s="1810">
        <f t="shared" ref="I67:L67" si="21">+H67+I66</f>
        <v>1134736.104102564</v>
      </c>
      <c r="J67" s="1810">
        <f t="shared" si="21"/>
        <v>1580023.3293336453</v>
      </c>
      <c r="K67" s="1810">
        <f t="shared" si="21"/>
        <v>2088120.1211282555</v>
      </c>
      <c r="L67" s="1810">
        <f t="shared" si="21"/>
        <v>2999841.0999814468</v>
      </c>
      <c r="M67" s="574"/>
      <c r="O67" s="462"/>
      <c r="S67" s="200"/>
    </row>
    <row r="68" spans="1:19" ht="14.4" hidden="1" outlineLevel="1">
      <c r="A68" s="650">
        <f>ROW()</f>
        <v>68</v>
      </c>
      <c r="B68" s="1792" t="s">
        <v>1335</v>
      </c>
      <c r="C68" s="1793"/>
      <c r="D68" s="1794"/>
      <c r="E68" s="900"/>
      <c r="F68" s="1841">
        <f t="shared" ref="F68:H68" si="22">IF(F53&gt;0,MIN(F66,F53,(F61+F63+F62)),0)</f>
        <v>0</v>
      </c>
      <c r="G68" s="1841">
        <f t="shared" si="22"/>
        <v>0</v>
      </c>
      <c r="H68" s="1841">
        <f t="shared" si="22"/>
        <v>0</v>
      </c>
      <c r="I68" s="1841">
        <f>IF(I53&gt;0,MIN(I66,I53,(I61+I63+I62)),0)</f>
        <v>0</v>
      </c>
      <c r="J68" s="1841">
        <f>IF(J53&gt;0,MIN(J66,J53,(J61+J63+J62)),0)</f>
        <v>0</v>
      </c>
      <c r="K68" s="1841">
        <f t="shared" ref="K68:L68" si="23">IF(K53&gt;0,MIN(K66,K53,(K61+K63+K62)),0)</f>
        <v>0</v>
      </c>
      <c r="L68" s="1841">
        <f t="shared" si="23"/>
        <v>0</v>
      </c>
      <c r="M68" s="574"/>
      <c r="O68" s="462"/>
      <c r="S68" s="200"/>
    </row>
    <row r="69" spans="1:19" ht="14.4" hidden="1" outlineLevel="1">
      <c r="A69" s="650">
        <f>ROW()</f>
        <v>69</v>
      </c>
      <c r="B69" s="1792" t="s">
        <v>1285</v>
      </c>
      <c r="C69" s="1793"/>
      <c r="D69" s="1794"/>
      <c r="E69" s="900"/>
      <c r="F69" s="1811">
        <f t="shared" ref="F69:L69" si="24">F61+F62+F63-F68</f>
        <v>0</v>
      </c>
      <c r="G69" s="1811">
        <f t="shared" si="24"/>
        <v>0</v>
      </c>
      <c r="H69" s="1811">
        <f t="shared" si="24"/>
        <v>0</v>
      </c>
      <c r="I69" s="1811">
        <f t="shared" si="24"/>
        <v>0</v>
      </c>
      <c r="J69" s="1811">
        <f t="shared" si="24"/>
        <v>0</v>
      </c>
      <c r="K69" s="1811">
        <f t="shared" si="24"/>
        <v>0</v>
      </c>
      <c r="L69" s="1811">
        <f t="shared" si="24"/>
        <v>0</v>
      </c>
      <c r="M69" s="574"/>
      <c r="O69" s="462"/>
      <c r="S69" s="200"/>
    </row>
    <row r="70" spans="1:19" ht="14.4" hidden="1" outlineLevel="1">
      <c r="A70" s="650">
        <f>ROW()</f>
        <v>70</v>
      </c>
      <c r="B70" s="1792"/>
      <c r="C70" s="1793"/>
      <c r="D70" s="1794"/>
      <c r="E70" s="900"/>
      <c r="F70" s="1810"/>
      <c r="G70" s="1810"/>
      <c r="H70" s="1810"/>
      <c r="I70" s="1810"/>
      <c r="J70" s="1810"/>
      <c r="K70" s="1810"/>
      <c r="L70" s="1810"/>
      <c r="M70" s="574"/>
      <c r="O70" s="462"/>
      <c r="S70" s="200"/>
    </row>
    <row r="71" spans="1:19" ht="14.4" hidden="1" outlineLevel="1">
      <c r="A71" s="650">
        <f>ROW()</f>
        <v>71</v>
      </c>
      <c r="B71" s="1792" t="s">
        <v>1338</v>
      </c>
      <c r="C71" s="1793"/>
      <c r="D71" s="1794"/>
      <c r="E71" s="900"/>
      <c r="F71" s="1810">
        <f t="shared" ref="F71:G71" si="25">IF(F53&gt;0,F53-F68,0)</f>
        <v>25000.400000000023</v>
      </c>
      <c r="G71" s="1810">
        <f t="shared" si="25"/>
        <v>33758.457068965537</v>
      </c>
      <c r="H71" s="1810">
        <f>IF(H53&gt;0,H53-H68,0)</f>
        <v>482441.62507160613</v>
      </c>
      <c r="I71" s="1810">
        <f t="shared" ref="I71:L71" si="26">IF(I53&gt;0,I53-I68,0)</f>
        <v>593535.62196199223</v>
      </c>
      <c r="J71" s="1810">
        <f t="shared" si="26"/>
        <v>445287.22523108125</v>
      </c>
      <c r="K71" s="1810">
        <f t="shared" si="26"/>
        <v>508096.79179461021</v>
      </c>
      <c r="L71" s="1810">
        <f t="shared" si="26"/>
        <v>911720.97885319125</v>
      </c>
      <c r="M71" s="574"/>
      <c r="O71" s="462"/>
      <c r="S71" s="200"/>
    </row>
    <row r="72" spans="1:19" ht="14.4" hidden="1" outlineLevel="1">
      <c r="A72" s="650">
        <f>ROW()</f>
        <v>72</v>
      </c>
      <c r="B72" s="1792" t="s">
        <v>1337</v>
      </c>
      <c r="C72" s="1793"/>
      <c r="D72" s="1794"/>
      <c r="E72" s="900"/>
      <c r="F72" s="1810">
        <f t="shared" ref="F72:H72" si="27">+F71+E72</f>
        <v>25000.400000000023</v>
      </c>
      <c r="G72" s="1810">
        <f t="shared" si="27"/>
        <v>58758.857068965561</v>
      </c>
      <c r="H72" s="1810">
        <f t="shared" si="27"/>
        <v>541200.48214057169</v>
      </c>
      <c r="I72" s="1810">
        <f>+I71+H72</f>
        <v>1134736.104102564</v>
      </c>
      <c r="J72" s="1810">
        <f t="shared" ref="J72:L72" si="28">+J71+I72</f>
        <v>1580023.3293336453</v>
      </c>
      <c r="K72" s="1810">
        <f t="shared" si="28"/>
        <v>2088120.1211282555</v>
      </c>
      <c r="L72" s="1810">
        <f t="shared" si="28"/>
        <v>2999841.0999814468</v>
      </c>
      <c r="M72" s="574"/>
      <c r="O72" s="462"/>
      <c r="S72" s="200"/>
    </row>
    <row r="73" spans="1:19" ht="14.4" collapsed="1">
      <c r="A73" s="650">
        <f>ROW()</f>
        <v>73</v>
      </c>
      <c r="B73" s="900"/>
      <c r="C73" s="900"/>
      <c r="D73" s="900"/>
      <c r="E73" s="900"/>
      <c r="F73" s="1791"/>
      <c r="G73" s="1791"/>
      <c r="H73" s="1791"/>
      <c r="I73" s="1791"/>
      <c r="J73" s="1791"/>
      <c r="K73" s="1791"/>
      <c r="L73" s="1791"/>
      <c r="M73" s="574"/>
      <c r="O73" s="462"/>
      <c r="S73" s="200"/>
    </row>
    <row r="74" spans="1:19" ht="14.4">
      <c r="A74" s="650">
        <f>ROW()</f>
        <v>74</v>
      </c>
      <c r="B74" s="1932" t="s">
        <v>1460</v>
      </c>
      <c r="C74" s="1933"/>
      <c r="D74" s="1934"/>
      <c r="E74" s="1935"/>
      <c r="F74" s="901">
        <v>0</v>
      </c>
      <c r="G74" s="901">
        <v>0</v>
      </c>
      <c r="H74" s="901">
        <v>0</v>
      </c>
      <c r="I74" s="901">
        <v>0</v>
      </c>
      <c r="J74" s="901">
        <v>0</v>
      </c>
      <c r="K74" s="901">
        <v>0</v>
      </c>
      <c r="L74" s="901">
        <v>0</v>
      </c>
      <c r="M74" s="574"/>
      <c r="O74" s="462"/>
      <c r="S74" s="200"/>
    </row>
    <row r="75" spans="1:19" ht="14.4">
      <c r="A75" s="650">
        <f>ROW()</f>
        <v>75</v>
      </c>
      <c r="B75" s="1932" t="s">
        <v>1461</v>
      </c>
      <c r="C75" s="1933"/>
      <c r="D75" s="1934"/>
      <c r="E75" s="1935"/>
      <c r="F75" s="1231">
        <v>0</v>
      </c>
      <c r="G75" s="1231">
        <v>0</v>
      </c>
      <c r="H75" s="1231">
        <v>0</v>
      </c>
      <c r="I75" s="1231">
        <v>0</v>
      </c>
      <c r="J75" s="1231">
        <v>0</v>
      </c>
      <c r="K75" s="1231">
        <v>0</v>
      </c>
      <c r="L75" s="1231">
        <v>0</v>
      </c>
      <c r="M75" s="574"/>
      <c r="O75" s="462"/>
      <c r="S75" s="200"/>
    </row>
    <row r="76" spans="1:19" ht="15" thickBot="1">
      <c r="A76" s="650">
        <f>ROW()</f>
        <v>76</v>
      </c>
      <c r="B76" s="916" t="s">
        <v>157</v>
      </c>
      <c r="C76" s="917"/>
      <c r="D76" s="917"/>
      <c r="E76" s="918"/>
      <c r="F76" s="1074">
        <f t="shared" ref="F76:L76" si="29">SUM(F74:F75)</f>
        <v>0</v>
      </c>
      <c r="G76" s="1074">
        <f t="shared" si="29"/>
        <v>0</v>
      </c>
      <c r="H76" s="1074">
        <f t="shared" si="29"/>
        <v>0</v>
      </c>
      <c r="I76" s="1074">
        <f t="shared" si="29"/>
        <v>0</v>
      </c>
      <c r="J76" s="1074">
        <f t="shared" si="29"/>
        <v>0</v>
      </c>
      <c r="K76" s="1074">
        <f t="shared" si="29"/>
        <v>0</v>
      </c>
      <c r="L76" s="1074">
        <f t="shared" si="29"/>
        <v>0</v>
      </c>
      <c r="M76" s="574"/>
      <c r="O76" s="462"/>
      <c r="S76" s="200"/>
    </row>
    <row r="77" spans="1:19" ht="15" thickBot="1">
      <c r="A77" s="650">
        <f>ROW()</f>
        <v>77</v>
      </c>
      <c r="B77" s="575" t="s">
        <v>158</v>
      </c>
      <c r="C77" s="576"/>
      <c r="D77" s="576"/>
      <c r="E77" s="571"/>
      <c r="F77" s="845">
        <f t="shared" ref="F77:L77" si="30">+F53-F56-F76</f>
        <v>25000.400000000023</v>
      </c>
      <c r="G77" s="845">
        <f t="shared" si="30"/>
        <v>33758.457068965537</v>
      </c>
      <c r="H77" s="845">
        <f t="shared" si="30"/>
        <v>482441.62507160613</v>
      </c>
      <c r="I77" s="845">
        <f t="shared" si="30"/>
        <v>593535.62196199223</v>
      </c>
      <c r="J77" s="845">
        <f t="shared" si="30"/>
        <v>445287.22523108125</v>
      </c>
      <c r="K77" s="845">
        <f t="shared" si="30"/>
        <v>508096.79179461021</v>
      </c>
      <c r="L77" s="845">
        <f t="shared" si="30"/>
        <v>911720.97885319125</v>
      </c>
      <c r="M77" s="574"/>
      <c r="O77" s="462"/>
      <c r="S77" s="200"/>
    </row>
    <row r="78" spans="1:19" ht="14.4">
      <c r="A78" s="650">
        <f>ROW()</f>
        <v>78</v>
      </c>
      <c r="B78" s="572"/>
      <c r="C78" s="573"/>
      <c r="D78" s="573"/>
      <c r="E78" s="573"/>
      <c r="F78" s="846"/>
      <c r="G78" s="846"/>
      <c r="H78" s="846"/>
      <c r="I78" s="846"/>
      <c r="J78" s="846"/>
      <c r="K78" s="846"/>
      <c r="L78" s="846"/>
      <c r="M78" s="574"/>
      <c r="O78" s="462"/>
      <c r="P78" s="75" t="s">
        <v>118</v>
      </c>
      <c r="Q78" s="75" t="s">
        <v>118</v>
      </c>
    </row>
    <row r="79" spans="1:19" ht="14.4">
      <c r="A79" s="650">
        <f>ROW()</f>
        <v>79</v>
      </c>
      <c r="B79" s="572" t="s">
        <v>159</v>
      </c>
      <c r="C79" s="573"/>
      <c r="D79" s="573"/>
      <c r="E79" s="573"/>
      <c r="F79" s="843">
        <f t="shared" ref="F79:L79" si="31">+F53-(SUM(F32:F33))-F27</f>
        <v>-372499.6</v>
      </c>
      <c r="G79" s="843">
        <f t="shared" si="31"/>
        <v>918.45706896553747</v>
      </c>
      <c r="H79" s="843">
        <f t="shared" si="31"/>
        <v>476681.62507160613</v>
      </c>
      <c r="I79" s="843">
        <f t="shared" si="31"/>
        <v>585855.62196199223</v>
      </c>
      <c r="J79" s="843">
        <f t="shared" si="31"/>
        <v>436647.22523108125</v>
      </c>
      <c r="K79" s="843">
        <f t="shared" si="31"/>
        <v>498496.79179461021</v>
      </c>
      <c r="L79" s="843">
        <f t="shared" si="31"/>
        <v>901160.97885319125</v>
      </c>
      <c r="M79" s="574"/>
      <c r="O79" s="462"/>
      <c r="P79" s="75" t="s">
        <v>118</v>
      </c>
      <c r="Q79" s="75" t="s">
        <v>118</v>
      </c>
    </row>
    <row r="80" spans="1:19" ht="14.4">
      <c r="A80" s="650">
        <f>ROW()</f>
        <v>80</v>
      </c>
      <c r="B80" s="572" t="s">
        <v>160</v>
      </c>
      <c r="C80" s="573"/>
      <c r="D80" s="573"/>
      <c r="E80" s="573"/>
      <c r="F80" s="846"/>
      <c r="G80" s="843">
        <f t="shared" ref="G80:L80" si="32">+G79+F80</f>
        <v>918.45706896553747</v>
      </c>
      <c r="H80" s="843">
        <f t="shared" si="32"/>
        <v>477600.08214057167</v>
      </c>
      <c r="I80" s="843">
        <f t="shared" si="32"/>
        <v>1063455.7041025639</v>
      </c>
      <c r="J80" s="843">
        <f t="shared" si="32"/>
        <v>1500102.9293336452</v>
      </c>
      <c r="K80" s="843">
        <f t="shared" si="32"/>
        <v>1998599.7211282554</v>
      </c>
      <c r="L80" s="843">
        <f t="shared" si="32"/>
        <v>2899760.6999814464</v>
      </c>
      <c r="M80" s="574"/>
      <c r="O80" s="462"/>
      <c r="P80" s="75" t="s">
        <v>118</v>
      </c>
      <c r="Q80" s="75" t="s">
        <v>118</v>
      </c>
    </row>
    <row r="81" spans="1:19" ht="14.4">
      <c r="A81" s="650">
        <f>ROW()</f>
        <v>81</v>
      </c>
      <c r="B81" s="572"/>
      <c r="C81" s="573"/>
      <c r="D81" s="573"/>
      <c r="E81" s="573"/>
      <c r="F81" s="846"/>
      <c r="G81" s="846"/>
      <c r="H81" s="846"/>
      <c r="I81" s="846"/>
      <c r="J81" s="846"/>
      <c r="K81" s="846"/>
      <c r="L81" s="846"/>
      <c r="M81" s="574"/>
      <c r="O81" s="462"/>
      <c r="P81" s="75" t="s">
        <v>118</v>
      </c>
      <c r="Q81" s="75" t="s">
        <v>118</v>
      </c>
    </row>
    <row r="82" spans="1:19" ht="14.4">
      <c r="M82" s="574"/>
      <c r="O82" s="462"/>
      <c r="P82" s="75" t="s">
        <v>118</v>
      </c>
      <c r="Q82" s="75" t="s">
        <v>118</v>
      </c>
    </row>
    <row r="83" spans="1:19">
      <c r="M83" s="577"/>
      <c r="N83" s="79"/>
      <c r="O83" s="462"/>
      <c r="P83" s="79" t="s">
        <v>118</v>
      </c>
      <c r="Q83" s="79" t="s">
        <v>118</v>
      </c>
      <c r="R83" s="79"/>
    </row>
    <row r="84" spans="1:19">
      <c r="M84" s="578"/>
      <c r="N84" s="79"/>
      <c r="O84" s="462"/>
      <c r="P84" s="79" t="s">
        <v>118</v>
      </c>
      <c r="Q84" s="79" t="s">
        <v>118</v>
      </c>
      <c r="R84" s="79"/>
    </row>
    <row r="85" spans="1:19">
      <c r="M85" s="580"/>
      <c r="N85" s="79"/>
      <c r="O85" s="462"/>
      <c r="P85" s="79" t="s">
        <v>118</v>
      </c>
      <c r="Q85" s="79" t="s">
        <v>118</v>
      </c>
      <c r="R85" s="79"/>
      <c r="S85" s="469"/>
    </row>
    <row r="86" spans="1:19">
      <c r="M86" s="580"/>
      <c r="N86" s="79"/>
      <c r="O86" s="462"/>
      <c r="P86" s="79" t="s">
        <v>118</v>
      </c>
      <c r="Q86" s="79" t="s">
        <v>118</v>
      </c>
      <c r="R86" s="79"/>
    </row>
    <row r="87" spans="1:19">
      <c r="M87" s="40"/>
      <c r="O87" s="462"/>
      <c r="P87" s="75" t="s">
        <v>118</v>
      </c>
      <c r="Q87" s="75" t="s">
        <v>118</v>
      </c>
    </row>
    <row r="88" spans="1:19">
      <c r="M88" s="40"/>
      <c r="O88" s="462"/>
      <c r="P88" s="75" t="s">
        <v>118</v>
      </c>
      <c r="Q88" s="75" t="s">
        <v>118</v>
      </c>
    </row>
    <row r="89" spans="1:19">
      <c r="M89" s="40"/>
      <c r="O89" s="462"/>
      <c r="P89" s="75" t="s">
        <v>118</v>
      </c>
      <c r="Q89" s="75" t="s">
        <v>118</v>
      </c>
    </row>
    <row r="90" spans="1:19">
      <c r="M90" s="40"/>
      <c r="O90" s="462"/>
      <c r="P90" s="75" t="s">
        <v>118</v>
      </c>
      <c r="Q90" s="75" t="s">
        <v>118</v>
      </c>
    </row>
    <row r="91" spans="1:19">
      <c r="M91" s="40"/>
      <c r="O91" s="462"/>
      <c r="P91" s="75" t="s">
        <v>118</v>
      </c>
      <c r="Q91" s="75" t="s">
        <v>118</v>
      </c>
    </row>
    <row r="92" spans="1:19">
      <c r="M92" s="40"/>
      <c r="O92" s="462"/>
      <c r="P92" s="75" t="s">
        <v>118</v>
      </c>
      <c r="Q92" s="75" t="s">
        <v>118</v>
      </c>
    </row>
    <row r="93" spans="1:19">
      <c r="M93" s="40"/>
      <c r="O93" s="462"/>
      <c r="P93" s="75" t="s">
        <v>118</v>
      </c>
      <c r="Q93" s="75" t="s">
        <v>118</v>
      </c>
    </row>
    <row r="94" spans="1:19">
      <c r="M94" s="40"/>
      <c r="O94" s="462"/>
      <c r="P94" s="75" t="s">
        <v>118</v>
      </c>
      <c r="Q94" s="75" t="s">
        <v>118</v>
      </c>
    </row>
    <row r="95" spans="1:19">
      <c r="M95" s="40"/>
      <c r="O95" s="462"/>
      <c r="P95" s="75" t="s">
        <v>118</v>
      </c>
      <c r="Q95" s="75" t="s">
        <v>118</v>
      </c>
    </row>
    <row r="96" spans="1:19">
      <c r="M96" s="40"/>
      <c r="O96" s="462"/>
      <c r="P96" s="75" t="s">
        <v>118</v>
      </c>
      <c r="Q96" s="75" t="s">
        <v>118</v>
      </c>
    </row>
    <row r="97" spans="13:17">
      <c r="M97" s="40"/>
      <c r="O97" s="462"/>
      <c r="P97" s="75" t="s">
        <v>118</v>
      </c>
      <c r="Q97" s="75" t="s">
        <v>118</v>
      </c>
    </row>
    <row r="98" spans="13:17">
      <c r="M98" s="40"/>
      <c r="O98" s="462"/>
      <c r="P98" s="75" t="s">
        <v>118</v>
      </c>
      <c r="Q98" s="75" t="s">
        <v>118</v>
      </c>
    </row>
    <row r="99" spans="13:17">
      <c r="M99" s="40"/>
      <c r="O99" s="462"/>
      <c r="P99" s="75" t="s">
        <v>118</v>
      </c>
      <c r="Q99" s="75" t="s">
        <v>118</v>
      </c>
    </row>
    <row r="100" spans="13:17">
      <c r="M100" s="40"/>
      <c r="O100" s="462"/>
      <c r="P100" s="75" t="s">
        <v>118</v>
      </c>
      <c r="Q100" s="75" t="s">
        <v>118</v>
      </c>
    </row>
    <row r="101" spans="13:17">
      <c r="M101" s="40"/>
      <c r="O101" s="462"/>
      <c r="P101" s="75" t="s">
        <v>118</v>
      </c>
      <c r="Q101" s="75" t="s">
        <v>118</v>
      </c>
    </row>
    <row r="102" spans="13:17">
      <c r="M102" s="40"/>
      <c r="O102" s="462"/>
      <c r="P102" s="75" t="s">
        <v>118</v>
      </c>
      <c r="Q102" s="75" t="s">
        <v>118</v>
      </c>
    </row>
    <row r="103" spans="13:17">
      <c r="M103" s="40"/>
      <c r="O103" s="462"/>
      <c r="P103" s="75" t="s">
        <v>118</v>
      </c>
      <c r="Q103" s="75" t="s">
        <v>118</v>
      </c>
    </row>
    <row r="104" spans="13:17">
      <c r="M104" s="40"/>
      <c r="O104" s="462"/>
      <c r="P104" s="75" t="s">
        <v>118</v>
      </c>
      <c r="Q104" s="75" t="s">
        <v>118</v>
      </c>
    </row>
    <row r="105" spans="13:17">
      <c r="M105" s="40"/>
      <c r="O105" s="462"/>
      <c r="P105" s="75" t="s">
        <v>118</v>
      </c>
      <c r="Q105" s="75" t="s">
        <v>118</v>
      </c>
    </row>
    <row r="106" spans="13:17">
      <c r="M106" s="40"/>
      <c r="O106" s="462"/>
      <c r="P106" s="75" t="s">
        <v>118</v>
      </c>
      <c r="Q106" s="75" t="s">
        <v>118</v>
      </c>
    </row>
    <row r="107" spans="13:17">
      <c r="M107" s="40"/>
      <c r="O107" s="462"/>
      <c r="P107" s="75" t="s">
        <v>118</v>
      </c>
      <c r="Q107" s="75" t="s">
        <v>118</v>
      </c>
    </row>
    <row r="108" spans="13:17">
      <c r="M108" s="40"/>
      <c r="O108" s="462"/>
      <c r="P108" s="75" t="s">
        <v>118</v>
      </c>
      <c r="Q108" s="75" t="s">
        <v>118</v>
      </c>
    </row>
    <row r="109" spans="13:17">
      <c r="M109" s="40"/>
      <c r="O109" s="462"/>
      <c r="P109" s="75" t="s">
        <v>118</v>
      </c>
      <c r="Q109" s="75" t="s">
        <v>118</v>
      </c>
    </row>
    <row r="110" spans="13:17">
      <c r="M110" s="40"/>
      <c r="O110" s="462"/>
      <c r="P110" s="75" t="s">
        <v>118</v>
      </c>
      <c r="Q110" s="75" t="s">
        <v>118</v>
      </c>
    </row>
    <row r="111" spans="13:17">
      <c r="M111" s="40"/>
      <c r="O111" s="462"/>
      <c r="P111" s="75" t="s">
        <v>118</v>
      </c>
      <c r="Q111" s="75" t="s">
        <v>118</v>
      </c>
    </row>
    <row r="112" spans="13:17">
      <c r="M112" s="40"/>
      <c r="O112" s="462"/>
      <c r="P112" s="75" t="s">
        <v>118</v>
      </c>
      <c r="Q112" s="75" t="s">
        <v>118</v>
      </c>
    </row>
    <row r="113" spans="13:17">
      <c r="M113" s="40"/>
      <c r="O113" s="462"/>
      <c r="P113" s="75" t="s">
        <v>118</v>
      </c>
      <c r="Q113" s="75" t="s">
        <v>118</v>
      </c>
    </row>
    <row r="114" spans="13:17">
      <c r="M114" s="40"/>
      <c r="O114" s="462"/>
      <c r="P114" s="75" t="s">
        <v>118</v>
      </c>
      <c r="Q114" s="75" t="s">
        <v>118</v>
      </c>
    </row>
    <row r="115" spans="13:17">
      <c r="M115" s="40"/>
      <c r="O115" s="462"/>
      <c r="P115" s="75" t="s">
        <v>118</v>
      </c>
      <c r="Q115" s="75" t="s">
        <v>118</v>
      </c>
    </row>
    <row r="116" spans="13:17">
      <c r="M116" s="40"/>
      <c r="O116" s="462"/>
      <c r="P116" s="75" t="s">
        <v>118</v>
      </c>
      <c r="Q116" s="75" t="s">
        <v>118</v>
      </c>
    </row>
    <row r="117" spans="13:17">
      <c r="M117" s="40"/>
      <c r="O117" s="462"/>
    </row>
    <row r="118" spans="13:17">
      <c r="M118" s="40"/>
      <c r="O118" s="462"/>
      <c r="P118" s="75" t="s">
        <v>118</v>
      </c>
      <c r="Q118" s="75" t="s">
        <v>118</v>
      </c>
    </row>
    <row r="119" spans="13:17">
      <c r="M119" s="40"/>
      <c r="O119" s="462"/>
      <c r="P119" s="75" t="s">
        <v>118</v>
      </c>
      <c r="Q119" s="75" t="s">
        <v>118</v>
      </c>
    </row>
    <row r="120" spans="13:17">
      <c r="M120" s="40"/>
      <c r="O120" s="462"/>
      <c r="P120" s="75" t="s">
        <v>118</v>
      </c>
      <c r="Q120" s="75" t="s">
        <v>118</v>
      </c>
    </row>
    <row r="121" spans="13:17">
      <c r="M121" s="40"/>
      <c r="O121" s="462"/>
      <c r="P121" s="75" t="s">
        <v>118</v>
      </c>
      <c r="Q121" s="75" t="s">
        <v>118</v>
      </c>
    </row>
    <row r="122" spans="13:17">
      <c r="M122" s="40"/>
      <c r="O122" s="462"/>
      <c r="P122" s="75" t="s">
        <v>118</v>
      </c>
      <c r="Q122" s="75" t="s">
        <v>118</v>
      </c>
    </row>
    <row r="123" spans="13:17">
      <c r="M123" s="565"/>
      <c r="O123" s="462"/>
      <c r="P123" s="75" t="s">
        <v>118</v>
      </c>
      <c r="Q123" s="75" t="s">
        <v>118</v>
      </c>
    </row>
    <row r="124" spans="13:17">
      <c r="M124" s="565"/>
      <c r="O124" s="462"/>
      <c r="P124" s="75" t="s">
        <v>118</v>
      </c>
      <c r="Q124" s="75" t="s">
        <v>118</v>
      </c>
    </row>
    <row r="125" spans="13:17">
      <c r="M125" s="565"/>
      <c r="O125" s="462"/>
      <c r="P125" s="75" t="s">
        <v>118</v>
      </c>
      <c r="Q125" s="75" t="s">
        <v>118</v>
      </c>
    </row>
    <row r="126" spans="13:17">
      <c r="M126" s="565"/>
      <c r="O126" s="462"/>
      <c r="P126" s="75" t="s">
        <v>118</v>
      </c>
      <c r="Q126" s="75" t="s">
        <v>118</v>
      </c>
    </row>
    <row r="127" spans="13:17">
      <c r="M127" s="565"/>
      <c r="O127" s="462"/>
      <c r="P127" s="75" t="s">
        <v>118</v>
      </c>
      <c r="Q127" s="75" t="s">
        <v>118</v>
      </c>
    </row>
    <row r="128" spans="13:17">
      <c r="M128" s="565"/>
      <c r="O128" s="462"/>
      <c r="P128" s="75" t="s">
        <v>118</v>
      </c>
      <c r="Q128" s="75" t="s">
        <v>118</v>
      </c>
    </row>
    <row r="129" spans="13:17">
      <c r="M129" s="565"/>
      <c r="O129" s="462"/>
      <c r="P129" s="75" t="s">
        <v>118</v>
      </c>
      <c r="Q129" s="75" t="s">
        <v>118</v>
      </c>
    </row>
    <row r="130" spans="13:17">
      <c r="M130" s="565"/>
      <c r="O130" s="462"/>
      <c r="P130" s="75" t="s">
        <v>118</v>
      </c>
      <c r="Q130" s="75" t="s">
        <v>118</v>
      </c>
    </row>
    <row r="131" spans="13:17">
      <c r="M131" s="565"/>
      <c r="O131" s="462"/>
      <c r="P131" s="75" t="s">
        <v>118</v>
      </c>
      <c r="Q131" s="75" t="s">
        <v>118</v>
      </c>
    </row>
    <row r="132" spans="13:17">
      <c r="M132" s="565"/>
      <c r="O132" s="462"/>
      <c r="P132" s="75" t="s">
        <v>118</v>
      </c>
      <c r="Q132" s="75" t="s">
        <v>118</v>
      </c>
    </row>
    <row r="133" spans="13:17">
      <c r="M133" s="565"/>
      <c r="O133" s="462"/>
      <c r="P133" s="75" t="s">
        <v>118</v>
      </c>
      <c r="Q133" s="75" t="s">
        <v>118</v>
      </c>
    </row>
    <row r="134" spans="13:17">
      <c r="M134" s="565"/>
      <c r="O134" s="462"/>
      <c r="P134" s="75" t="s">
        <v>118</v>
      </c>
      <c r="Q134" s="75" t="s">
        <v>118</v>
      </c>
    </row>
    <row r="135" spans="13:17">
      <c r="M135" s="565"/>
      <c r="O135" s="462"/>
      <c r="P135" s="75" t="s">
        <v>118</v>
      </c>
      <c r="Q135" s="75" t="s">
        <v>118</v>
      </c>
    </row>
    <row r="136" spans="13:17">
      <c r="M136" s="565"/>
      <c r="O136" s="462"/>
      <c r="P136" s="75" t="s">
        <v>118</v>
      </c>
      <c r="Q136" s="75" t="s">
        <v>118</v>
      </c>
    </row>
    <row r="137" spans="13:17">
      <c r="M137" s="565"/>
      <c r="O137" s="462"/>
      <c r="P137" s="75" t="s">
        <v>118</v>
      </c>
      <c r="Q137" s="75" t="s">
        <v>118</v>
      </c>
    </row>
    <row r="138" spans="13:17">
      <c r="M138" s="565"/>
      <c r="O138" s="462"/>
      <c r="P138" s="75" t="s">
        <v>118</v>
      </c>
      <c r="Q138" s="75" t="s">
        <v>118</v>
      </c>
    </row>
    <row r="139" spans="13:17">
      <c r="M139" s="565"/>
      <c r="O139" s="462"/>
      <c r="P139" s="75" t="s">
        <v>118</v>
      </c>
      <c r="Q139" s="75" t="s">
        <v>118</v>
      </c>
    </row>
    <row r="140" spans="13:17">
      <c r="M140" s="565"/>
      <c r="O140" s="462"/>
      <c r="P140" s="75" t="s">
        <v>118</v>
      </c>
      <c r="Q140" s="75" t="s">
        <v>118</v>
      </c>
    </row>
    <row r="141" spans="13:17">
      <c r="M141" s="565"/>
      <c r="O141" s="462"/>
      <c r="P141" s="75" t="s">
        <v>118</v>
      </c>
      <c r="Q141" s="75" t="s">
        <v>118</v>
      </c>
    </row>
    <row r="142" spans="13:17">
      <c r="M142" s="565"/>
      <c r="O142" s="462"/>
      <c r="P142" s="75" t="s">
        <v>118</v>
      </c>
      <c r="Q142" s="75" t="s">
        <v>118</v>
      </c>
    </row>
    <row r="143" spans="13:17">
      <c r="M143" s="565"/>
      <c r="O143" s="462"/>
      <c r="P143" s="75" t="s">
        <v>118</v>
      </c>
      <c r="Q143" s="75" t="s">
        <v>118</v>
      </c>
    </row>
    <row r="144" spans="13:17">
      <c r="M144" s="567"/>
      <c r="O144" s="462"/>
      <c r="P144" s="75" t="s">
        <v>118</v>
      </c>
      <c r="Q144" s="75" t="s">
        <v>118</v>
      </c>
    </row>
    <row r="145" spans="13:19">
      <c r="M145" s="567"/>
      <c r="O145" s="462"/>
      <c r="P145" s="75" t="s">
        <v>118</v>
      </c>
      <c r="Q145" s="75" t="s">
        <v>118</v>
      </c>
    </row>
    <row r="146" spans="13:19">
      <c r="M146" s="567"/>
      <c r="O146" s="462"/>
      <c r="P146" s="75" t="s">
        <v>118</v>
      </c>
      <c r="Q146" s="75" t="s">
        <v>118</v>
      </c>
    </row>
    <row r="147" spans="13:19">
      <c r="M147" s="567"/>
      <c r="O147" s="462"/>
      <c r="P147" s="75" t="s">
        <v>118</v>
      </c>
      <c r="Q147" s="75" t="s">
        <v>118</v>
      </c>
    </row>
    <row r="148" spans="13:19">
      <c r="M148" s="567"/>
      <c r="O148" s="462"/>
      <c r="P148" s="75" t="s">
        <v>118</v>
      </c>
      <c r="Q148" s="75" t="s">
        <v>118</v>
      </c>
    </row>
    <row r="149" spans="13:19">
      <c r="M149" s="567"/>
      <c r="O149" s="462"/>
      <c r="P149" s="75" t="s">
        <v>118</v>
      </c>
      <c r="Q149" s="75" t="s">
        <v>118</v>
      </c>
    </row>
    <row r="150" spans="13:19">
      <c r="M150" s="567"/>
      <c r="O150" s="462"/>
      <c r="P150" s="75" t="s">
        <v>118</v>
      </c>
      <c r="Q150" s="75" t="s">
        <v>118</v>
      </c>
    </row>
    <row r="151" spans="13:19">
      <c r="M151" s="567"/>
      <c r="O151" s="462"/>
      <c r="P151" s="75" t="s">
        <v>118</v>
      </c>
      <c r="Q151" s="75" t="s">
        <v>118</v>
      </c>
    </row>
    <row r="152" spans="13:19">
      <c r="M152" s="567"/>
      <c r="O152" s="462"/>
      <c r="P152" s="75" t="s">
        <v>118</v>
      </c>
      <c r="Q152" s="75" t="s">
        <v>118</v>
      </c>
    </row>
    <row r="153" spans="13:19">
      <c r="M153" s="567"/>
      <c r="O153" s="462"/>
      <c r="P153" s="75" t="s">
        <v>118</v>
      </c>
      <c r="Q153" s="75" t="s">
        <v>118</v>
      </c>
    </row>
    <row r="154" spans="13:19">
      <c r="M154" s="567"/>
      <c r="O154" s="462"/>
      <c r="P154" s="75" t="s">
        <v>118</v>
      </c>
      <c r="Q154" s="75" t="s">
        <v>118</v>
      </c>
    </row>
    <row r="155" spans="13:19">
      <c r="M155" s="567"/>
      <c r="O155" s="462"/>
      <c r="P155" s="75" t="s">
        <v>118</v>
      </c>
      <c r="Q155" s="75" t="s">
        <v>118</v>
      </c>
    </row>
    <row r="156" spans="13:19">
      <c r="M156" s="567"/>
      <c r="O156" s="462"/>
      <c r="P156" s="75" t="s">
        <v>118</v>
      </c>
      <c r="Q156" s="75" t="s">
        <v>118</v>
      </c>
    </row>
    <row r="157" spans="13:19">
      <c r="M157" s="567"/>
      <c r="O157" s="462"/>
      <c r="P157" s="75" t="s">
        <v>118</v>
      </c>
      <c r="Q157" s="75" t="s">
        <v>118</v>
      </c>
    </row>
    <row r="158" spans="13:19">
      <c r="M158" s="567"/>
      <c r="O158" s="462"/>
      <c r="P158" s="75" t="s">
        <v>118</v>
      </c>
      <c r="Q158" s="75" t="s">
        <v>118</v>
      </c>
      <c r="S158" s="468"/>
    </row>
    <row r="159" spans="13:19">
      <c r="M159" s="567"/>
      <c r="O159" s="462"/>
      <c r="P159" s="75" t="s">
        <v>118</v>
      </c>
      <c r="Q159" s="75" t="s">
        <v>118</v>
      </c>
    </row>
    <row r="160" spans="13:19">
      <c r="M160" s="567"/>
      <c r="O160" s="462"/>
      <c r="P160" s="75" t="s">
        <v>118</v>
      </c>
      <c r="Q160" s="75" t="s">
        <v>118</v>
      </c>
    </row>
    <row r="161" spans="13:17">
      <c r="M161" s="66"/>
      <c r="O161" s="462"/>
      <c r="P161" s="75" t="s">
        <v>118</v>
      </c>
      <c r="Q161" s="75" t="s">
        <v>118</v>
      </c>
    </row>
    <row r="162" spans="13:17">
      <c r="M162" s="66"/>
      <c r="O162" s="462"/>
      <c r="P162" s="75" t="s">
        <v>118</v>
      </c>
      <c r="Q162" s="75" t="s">
        <v>118</v>
      </c>
    </row>
    <row r="163" spans="13:17">
      <c r="M163" s="66"/>
      <c r="O163" s="462"/>
      <c r="P163" s="75" t="s">
        <v>118</v>
      </c>
      <c r="Q163" s="75" t="s">
        <v>118</v>
      </c>
    </row>
    <row r="164" spans="13:17">
      <c r="M164" s="66"/>
      <c r="O164" s="462"/>
      <c r="P164" s="75" t="s">
        <v>118</v>
      </c>
      <c r="Q164" s="75" t="s">
        <v>118</v>
      </c>
    </row>
    <row r="165" spans="13:17">
      <c r="M165" s="66"/>
      <c r="O165" s="462"/>
      <c r="P165" s="75" t="s">
        <v>118</v>
      </c>
      <c r="Q165" s="75" t="s">
        <v>118</v>
      </c>
    </row>
    <row r="166" spans="13:17">
      <c r="M166" s="66"/>
      <c r="O166" s="462"/>
      <c r="P166" s="75" t="s">
        <v>118</v>
      </c>
      <c r="Q166" s="75" t="s">
        <v>118</v>
      </c>
    </row>
    <row r="167" spans="13:17">
      <c r="M167" s="66"/>
      <c r="O167" s="462"/>
      <c r="P167" s="75" t="s">
        <v>118</v>
      </c>
      <c r="Q167" s="75" t="s">
        <v>118</v>
      </c>
    </row>
    <row r="168" spans="13:17">
      <c r="M168" s="66"/>
      <c r="O168" s="462"/>
      <c r="P168" s="75" t="s">
        <v>118</v>
      </c>
      <c r="Q168" s="75" t="s">
        <v>118</v>
      </c>
    </row>
    <row r="169" spans="13:17">
      <c r="M169" s="66"/>
      <c r="O169" s="462"/>
      <c r="P169" s="75" t="s">
        <v>118</v>
      </c>
      <c r="Q169" s="75" t="s">
        <v>118</v>
      </c>
    </row>
    <row r="170" spans="13:17">
      <c r="M170" s="67"/>
      <c r="O170" s="462"/>
      <c r="P170" s="75" t="s">
        <v>118</v>
      </c>
      <c r="Q170" s="75" t="s">
        <v>118</v>
      </c>
    </row>
    <row r="171" spans="13:17">
      <c r="M171" s="66"/>
      <c r="O171" s="462"/>
      <c r="P171" s="75" t="s">
        <v>118</v>
      </c>
      <c r="Q171" s="75" t="s">
        <v>118</v>
      </c>
    </row>
    <row r="172" spans="13:17">
      <c r="M172" s="66"/>
      <c r="O172" s="462"/>
      <c r="P172" s="75" t="s">
        <v>118</v>
      </c>
      <c r="Q172" s="75" t="s">
        <v>118</v>
      </c>
    </row>
    <row r="173" spans="13:17">
      <c r="M173" s="66"/>
      <c r="O173" s="462"/>
      <c r="P173" s="75" t="s">
        <v>118</v>
      </c>
      <c r="Q173" s="75" t="s">
        <v>118</v>
      </c>
    </row>
    <row r="174" spans="13:17">
      <c r="M174" s="66"/>
      <c r="O174" s="462"/>
      <c r="P174" s="75" t="s">
        <v>118</v>
      </c>
      <c r="Q174" s="75" t="s">
        <v>118</v>
      </c>
    </row>
    <row r="175" spans="13:17">
      <c r="M175" s="66"/>
      <c r="O175" s="462"/>
      <c r="P175" s="75" t="s">
        <v>118</v>
      </c>
      <c r="Q175" s="75" t="s">
        <v>118</v>
      </c>
    </row>
    <row r="176" spans="13:17">
      <c r="M176" s="66"/>
      <c r="O176" s="462"/>
      <c r="P176" s="75" t="s">
        <v>118</v>
      </c>
      <c r="Q176" s="75" t="s">
        <v>118</v>
      </c>
    </row>
    <row r="177" spans="13:17">
      <c r="M177" s="66"/>
      <c r="O177" s="462"/>
      <c r="P177" s="75" t="s">
        <v>118</v>
      </c>
      <c r="Q177" s="75" t="s">
        <v>118</v>
      </c>
    </row>
    <row r="178" spans="13:17">
      <c r="M178" s="66"/>
      <c r="O178" s="462"/>
      <c r="P178" s="75" t="s">
        <v>118</v>
      </c>
      <c r="Q178" s="75" t="s">
        <v>118</v>
      </c>
    </row>
    <row r="179" spans="13:17">
      <c r="M179" s="66"/>
      <c r="O179" s="462"/>
      <c r="P179" s="75" t="s">
        <v>118</v>
      </c>
      <c r="Q179" s="75" t="s">
        <v>118</v>
      </c>
    </row>
    <row r="180" spans="13:17">
      <c r="M180" s="66"/>
      <c r="O180" s="462"/>
      <c r="P180" s="75" t="s">
        <v>118</v>
      </c>
      <c r="Q180" s="75" t="s">
        <v>118</v>
      </c>
    </row>
    <row r="181" spans="13:17">
      <c r="M181" s="66"/>
      <c r="O181" s="462"/>
      <c r="P181" s="75" t="s">
        <v>118</v>
      </c>
      <c r="Q181" s="75" t="s">
        <v>118</v>
      </c>
    </row>
    <row r="182" spans="13:17">
      <c r="M182" s="66"/>
      <c r="O182" s="462"/>
      <c r="P182" s="75" t="s">
        <v>118</v>
      </c>
      <c r="Q182" s="75" t="s">
        <v>118</v>
      </c>
    </row>
    <row r="183" spans="13:17">
      <c r="M183" s="66"/>
      <c r="O183" s="462"/>
      <c r="P183" s="75" t="s">
        <v>118</v>
      </c>
      <c r="Q183" s="75" t="s">
        <v>118</v>
      </c>
    </row>
    <row r="184" spans="13:17">
      <c r="M184" s="66"/>
      <c r="O184" s="462"/>
      <c r="P184" s="75" t="s">
        <v>118</v>
      </c>
      <c r="Q184" s="75" t="s">
        <v>118</v>
      </c>
    </row>
    <row r="185" spans="13:17">
      <c r="M185" s="66"/>
      <c r="O185" s="462"/>
      <c r="P185" s="75" t="s">
        <v>118</v>
      </c>
      <c r="Q185" s="75" t="s">
        <v>118</v>
      </c>
    </row>
    <row r="186" spans="13:17">
      <c r="P186" s="75" t="s">
        <v>118</v>
      </c>
      <c r="Q186" s="75" t="s">
        <v>118</v>
      </c>
    </row>
    <row r="187" spans="13:17">
      <c r="M187" s="66"/>
      <c r="O187" s="462"/>
      <c r="P187" s="75" t="s">
        <v>118</v>
      </c>
      <c r="Q187" s="75" t="s">
        <v>118</v>
      </c>
    </row>
    <row r="188" spans="13:17">
      <c r="M188" s="66"/>
      <c r="O188" s="462"/>
      <c r="P188" s="75" t="s">
        <v>118</v>
      </c>
      <c r="Q188" s="75" t="s">
        <v>118</v>
      </c>
    </row>
    <row r="189" spans="13:17">
      <c r="M189" s="66"/>
      <c r="O189" s="462"/>
      <c r="P189" s="75" t="s">
        <v>118</v>
      </c>
      <c r="Q189" s="75" t="s">
        <v>118</v>
      </c>
    </row>
    <row r="190" spans="13:17" hidden="1">
      <c r="M190" s="66"/>
      <c r="O190" s="462"/>
      <c r="P190" s="75" t="s">
        <v>118</v>
      </c>
      <c r="Q190" s="75" t="s">
        <v>118</v>
      </c>
    </row>
    <row r="191" spans="13:17" hidden="1">
      <c r="M191" s="66"/>
      <c r="O191" s="462"/>
      <c r="P191" s="75" t="s">
        <v>118</v>
      </c>
      <c r="Q191" s="75" t="s">
        <v>118</v>
      </c>
    </row>
    <row r="192" spans="13:17" hidden="1">
      <c r="M192" s="66"/>
      <c r="O192" s="462"/>
      <c r="P192" s="75" t="s">
        <v>118</v>
      </c>
      <c r="Q192" s="75" t="s">
        <v>118</v>
      </c>
    </row>
    <row r="193" spans="1:17" hidden="1">
      <c r="M193" s="66"/>
      <c r="O193" s="462"/>
      <c r="P193" s="75" t="s">
        <v>118</v>
      </c>
      <c r="Q193" s="75" t="s">
        <v>118</v>
      </c>
    </row>
    <row r="194" spans="1:17">
      <c r="M194" s="66"/>
      <c r="O194" s="462"/>
      <c r="P194" s="75" t="s">
        <v>118</v>
      </c>
      <c r="Q194" s="75" t="s">
        <v>118</v>
      </c>
    </row>
    <row r="195" spans="1:17" ht="14.4">
      <c r="A195" s="40"/>
      <c r="B195" s="483"/>
      <c r="C195" s="594"/>
      <c r="D195" s="594"/>
      <c r="E195" s="594"/>
      <c r="F195" s="863"/>
      <c r="G195" s="862"/>
      <c r="H195" s="862"/>
      <c r="I195" s="862"/>
      <c r="J195" s="862"/>
      <c r="K195" s="862"/>
      <c r="L195" s="862"/>
      <c r="M195" s="66"/>
      <c r="O195" s="462"/>
      <c r="P195" s="75" t="s">
        <v>118</v>
      </c>
      <c r="Q195" s="75" t="s">
        <v>118</v>
      </c>
    </row>
    <row r="196" spans="1:17">
      <c r="A196" s="40"/>
      <c r="B196" s="40"/>
      <c r="C196" s="40"/>
      <c r="D196" s="40"/>
      <c r="E196" s="40"/>
      <c r="F196" s="863"/>
      <c r="G196" s="687"/>
      <c r="H196" s="687"/>
      <c r="I196" s="687"/>
      <c r="J196" s="687"/>
      <c r="K196" s="687"/>
      <c r="L196" s="687"/>
      <c r="M196" s="66"/>
      <c r="P196" s="75" t="s">
        <v>118</v>
      </c>
      <c r="Q196" s="75" t="s">
        <v>118</v>
      </c>
    </row>
    <row r="197" spans="1:17">
      <c r="A197" s="40" t="s">
        <v>118</v>
      </c>
      <c r="B197" s="40" t="s">
        <v>118</v>
      </c>
      <c r="C197" s="40" t="s">
        <v>118</v>
      </c>
      <c r="D197" s="40"/>
      <c r="E197" s="40" t="s">
        <v>118</v>
      </c>
      <c r="F197" s="595" t="s">
        <v>118</v>
      </c>
      <c r="G197" s="40" t="s">
        <v>118</v>
      </c>
      <c r="H197" s="40" t="s">
        <v>118</v>
      </c>
      <c r="I197" s="40" t="s">
        <v>118</v>
      </c>
      <c r="J197" s="40" t="s">
        <v>118</v>
      </c>
      <c r="K197" s="40" t="s">
        <v>118</v>
      </c>
      <c r="L197" s="40" t="s">
        <v>118</v>
      </c>
      <c r="M197" s="66" t="s">
        <v>118</v>
      </c>
      <c r="N197" s="75" t="s">
        <v>118</v>
      </c>
      <c r="O197" s="416" t="s">
        <v>118</v>
      </c>
      <c r="P197" s="75" t="s">
        <v>118</v>
      </c>
      <c r="Q197" s="75" t="s">
        <v>118</v>
      </c>
    </row>
    <row r="198" spans="1:17">
      <c r="A198" s="40" t="s">
        <v>118</v>
      </c>
      <c r="B198" s="40" t="s">
        <v>118</v>
      </c>
      <c r="C198" s="40" t="s">
        <v>118</v>
      </c>
      <c r="D198" s="40"/>
      <c r="E198" s="40" t="s">
        <v>118</v>
      </c>
      <c r="F198" s="595" t="s">
        <v>118</v>
      </c>
      <c r="G198" s="40" t="s">
        <v>118</v>
      </c>
      <c r="H198" s="40" t="s">
        <v>118</v>
      </c>
      <c r="I198" s="40" t="s">
        <v>118</v>
      </c>
      <c r="J198" s="40" t="s">
        <v>118</v>
      </c>
      <c r="K198" s="40" t="s">
        <v>118</v>
      </c>
      <c r="L198" s="40" t="s">
        <v>118</v>
      </c>
      <c r="M198" s="66" t="s">
        <v>118</v>
      </c>
      <c r="N198" s="75" t="s">
        <v>118</v>
      </c>
      <c r="O198" s="416" t="s">
        <v>118</v>
      </c>
      <c r="P198" s="75" t="s">
        <v>118</v>
      </c>
      <c r="Q198" s="75" t="s">
        <v>118</v>
      </c>
    </row>
    <row r="199" spans="1:17">
      <c r="F199" s="92"/>
    </row>
    <row r="200" spans="1:17">
      <c r="F200" s="92"/>
    </row>
    <row r="201" spans="1:17">
      <c r="F201" s="92"/>
    </row>
    <row r="202" spans="1:17">
      <c r="F202" s="92"/>
    </row>
  </sheetData>
  <sheetProtection algorithmName="SHA-512" hashValue="06f2/6PirHvo4HPA/IrOij9V4kepP2qBYCxPg1bQYvyLEaPcjvMahYSDpqk6oHjqarl8nNzUz/6qQe9YO6Ov/w==" saltValue="ZzLFfzv+jhu/zD13+bW7dw==" spinCount="100000" sheet="1" objects="1" scenarios="1"/>
  <phoneticPr fontId="7" type="noConversion"/>
  <conditionalFormatting sqref="L1">
    <cfRule type="expression" dxfId="105" priority="3" stopIfTrue="1">
      <formula>MOD(ROW(),2)=0</formula>
    </cfRule>
  </conditionalFormatting>
  <conditionalFormatting sqref="E1">
    <cfRule type="expression" dxfId="104" priority="2" stopIfTrue="1">
      <formula>MOD(ROW(),2)=0</formula>
    </cfRule>
  </conditionalFormatting>
  <conditionalFormatting sqref="N53">
    <cfRule type="cellIs" dxfId="103" priority="13" stopIfTrue="1" operator="equal">
      <formula>0</formula>
    </cfRule>
  </conditionalFormatting>
  <hyperlinks>
    <hyperlink ref="E1" location="HypLink1" display="HypLink1" xr:uid="{78D56A1D-A183-43E4-8119-085541799EBD}"/>
  </hyperlinks>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3" manualBreakCount="3">
    <brk id="77" max="11" man="1"/>
    <brk id="118" max="11" man="1"/>
    <brk id="154" max="1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EAE19-E22C-4689-81CF-54420A83321D}">
  <sheetPr codeName="Sheet7">
    <tabColor rgb="FF0070C0"/>
  </sheetPr>
  <dimension ref="A1:P125"/>
  <sheetViews>
    <sheetView zoomScale="115" zoomScaleNormal="115" zoomScaleSheetLayoutView="100" workbookViewId="0">
      <pane xSplit="5" ySplit="8" topLeftCell="F9" activePane="bottomRight" state="frozen"/>
      <selection pane="topRight" activeCell="F1" sqref="F1"/>
      <selection pane="bottomLeft" activeCell="A9" sqref="A9"/>
      <selection pane="bottomRight" activeCell="F9" sqref="F9"/>
    </sheetView>
  </sheetViews>
  <sheetFormatPr defaultColWidth="8.77734375" defaultRowHeight="13.2"/>
  <cols>
    <col min="1" max="1" width="6.21875" style="1953" customWidth="1"/>
    <col min="2" max="2" width="32.5546875" style="1953" customWidth="1"/>
    <col min="3" max="3" width="16.77734375" style="1953" customWidth="1"/>
    <col min="4" max="4" width="3.21875" style="1953" hidden="1" customWidth="1"/>
    <col min="5" max="5" width="8.77734375" style="1953" hidden="1" customWidth="1"/>
    <col min="6" max="6" width="12.44140625" style="1953" customWidth="1"/>
    <col min="7" max="7" width="12" style="1953" customWidth="1"/>
    <col min="8" max="8" width="11.21875" style="1953" customWidth="1"/>
    <col min="9" max="10" width="12.21875" style="1953" customWidth="1"/>
    <col min="11" max="12" width="14.21875" style="1953" customWidth="1"/>
    <col min="13" max="16384" width="8.77734375" style="7"/>
  </cols>
  <sheetData>
    <row r="1" spans="1:16" ht="17.399999999999999">
      <c r="A1" s="173" t="s">
        <v>1425</v>
      </c>
      <c r="B1" s="602"/>
      <c r="C1" s="557" t="s">
        <v>2</v>
      </c>
      <c r="D1" s="559"/>
      <c r="F1" s="40"/>
      <c r="G1" s="40"/>
      <c r="H1" s="40"/>
      <c r="I1" s="40"/>
      <c r="J1" s="40"/>
      <c r="K1" s="560"/>
      <c r="L1" s="557"/>
    </row>
    <row r="2" spans="1:16" ht="15.6">
      <c r="A2" s="175" t="s">
        <v>75</v>
      </c>
      <c r="B2" s="46"/>
      <c r="C2" s="38"/>
      <c r="D2" s="38"/>
      <c r="E2" s="40"/>
      <c r="F2" s="40"/>
      <c r="G2" s="37"/>
      <c r="H2" s="40"/>
      <c r="I2" s="40"/>
      <c r="J2" s="40"/>
      <c r="K2" s="40"/>
      <c r="L2" s="40"/>
    </row>
    <row r="3" spans="1:16" ht="13.8">
      <c r="A3" s="47" t="s">
        <v>1</v>
      </c>
      <c r="B3" s="40"/>
      <c r="C3" s="43"/>
      <c r="D3" s="43"/>
      <c r="E3" s="40"/>
      <c r="F3" s="40"/>
      <c r="G3" s="40"/>
      <c r="H3" s="40"/>
      <c r="I3" s="40"/>
      <c r="J3" s="40"/>
      <c r="K3" s="40"/>
      <c r="L3" s="40"/>
    </row>
    <row r="4" spans="1:16" ht="13.8">
      <c r="A4" s="36" t="s">
        <v>1249</v>
      </c>
      <c r="B4" s="40"/>
      <c r="C4" s="40"/>
      <c r="D4" s="40"/>
      <c r="E4" s="40"/>
      <c r="F4" s="40"/>
      <c r="G4" s="40"/>
      <c r="H4" s="40"/>
      <c r="I4" s="40"/>
      <c r="J4" s="40"/>
      <c r="K4" s="40"/>
      <c r="L4" s="40"/>
    </row>
    <row r="5" spans="1:16" ht="13.8">
      <c r="A5" s="40"/>
      <c r="B5" s="40"/>
      <c r="C5" s="40"/>
      <c r="D5" s="40"/>
      <c r="E5" s="40"/>
      <c r="F5" s="40"/>
      <c r="G5" s="40"/>
      <c r="H5" s="40"/>
      <c r="I5" s="40"/>
      <c r="J5" s="40"/>
      <c r="K5" s="40"/>
      <c r="L5" s="40"/>
    </row>
    <row r="6" spans="1:16" ht="13.8">
      <c r="A6" s="40"/>
      <c r="B6" s="37"/>
      <c r="C6" s="39"/>
      <c r="D6" s="39"/>
      <c r="E6" s="39"/>
      <c r="F6" s="952" t="s">
        <v>206</v>
      </c>
      <c r="G6" s="953">
        <v>1</v>
      </c>
      <c r="H6" s="953">
        <v>2</v>
      </c>
      <c r="I6" s="953">
        <v>3</v>
      </c>
      <c r="J6" s="953">
        <v>4</v>
      </c>
      <c r="K6" s="953">
        <v>5</v>
      </c>
      <c r="L6" s="1601">
        <v>6</v>
      </c>
      <c r="M6" s="8"/>
      <c r="N6" s="8"/>
      <c r="O6" s="8"/>
      <c r="P6" s="8"/>
    </row>
    <row r="7" spans="1:16" ht="13.8">
      <c r="A7" s="40"/>
      <c r="B7" s="37"/>
      <c r="C7" s="60" t="s">
        <v>119</v>
      </c>
      <c r="D7" s="60"/>
      <c r="E7" s="60"/>
      <c r="F7" s="954">
        <v>2021</v>
      </c>
      <c r="G7" s="955">
        <v>2022</v>
      </c>
      <c r="H7" s="955">
        <v>2023</v>
      </c>
      <c r="I7" s="955">
        <v>2024</v>
      </c>
      <c r="J7" s="955">
        <v>2025</v>
      </c>
      <c r="K7" s="955">
        <v>2026</v>
      </c>
      <c r="L7" s="956">
        <v>2027</v>
      </c>
      <c r="M7" s="8"/>
      <c r="N7" s="8"/>
      <c r="O7" s="8"/>
      <c r="P7" s="8"/>
    </row>
    <row r="8" spans="1:16" ht="13.8">
      <c r="A8" s="40"/>
      <c r="B8" s="492"/>
      <c r="C8" s="834"/>
      <c r="D8" s="834"/>
      <c r="E8" s="835"/>
      <c r="F8" s="957">
        <v>2022</v>
      </c>
      <c r="G8" s="958">
        <v>2023</v>
      </c>
      <c r="H8" s="958">
        <v>2024</v>
      </c>
      <c r="I8" s="958">
        <v>2025</v>
      </c>
      <c r="J8" s="958">
        <v>2026</v>
      </c>
      <c r="K8" s="958">
        <v>2027</v>
      </c>
      <c r="L8" s="959">
        <v>2028</v>
      </c>
      <c r="M8" s="8"/>
      <c r="N8" s="8"/>
      <c r="O8" s="8"/>
      <c r="P8" s="8"/>
    </row>
    <row r="9" spans="1:16" ht="13.8">
      <c r="A9" s="650">
        <f>ROW()</f>
        <v>9</v>
      </c>
      <c r="B9" s="561" t="s">
        <v>120</v>
      </c>
      <c r="C9" s="946">
        <v>400</v>
      </c>
      <c r="D9" s="882"/>
      <c r="E9" s="60"/>
      <c r="F9" s="836">
        <v>0</v>
      </c>
      <c r="G9" s="836">
        <v>100</v>
      </c>
      <c r="H9" s="836">
        <v>200</v>
      </c>
      <c r="I9" s="836">
        <v>300</v>
      </c>
      <c r="J9" s="836">
        <v>400</v>
      </c>
      <c r="K9" s="836">
        <v>400</v>
      </c>
      <c r="L9" s="836">
        <v>400</v>
      </c>
      <c r="M9" s="8"/>
      <c r="N9" s="8"/>
      <c r="O9" s="8"/>
      <c r="P9" s="8"/>
    </row>
    <row r="10" spans="1:16" ht="13.8">
      <c r="A10" s="650">
        <f>ROW()</f>
        <v>10</v>
      </c>
      <c r="B10" s="562" t="s">
        <v>121</v>
      </c>
      <c r="C10" s="946">
        <v>6</v>
      </c>
      <c r="D10" s="882"/>
      <c r="E10" s="60"/>
      <c r="F10" s="837">
        <v>1</v>
      </c>
      <c r="G10" s="837">
        <v>4</v>
      </c>
      <c r="H10" s="837">
        <v>5</v>
      </c>
      <c r="I10" s="837">
        <v>5</v>
      </c>
      <c r="J10" s="837">
        <v>5</v>
      </c>
      <c r="K10" s="837">
        <v>5</v>
      </c>
      <c r="L10" s="837">
        <v>6</v>
      </c>
      <c r="M10" s="8"/>
      <c r="N10" s="8"/>
      <c r="O10" s="8"/>
      <c r="P10" s="8"/>
    </row>
    <row r="11" spans="1:16" ht="13.8">
      <c r="A11" s="650">
        <f>ROW()</f>
        <v>11</v>
      </c>
      <c r="B11" s="562" t="s">
        <v>1223</v>
      </c>
      <c r="C11" s="946"/>
      <c r="D11" s="882"/>
      <c r="E11" s="60"/>
      <c r="F11" s="836">
        <v>0</v>
      </c>
      <c r="G11" s="836">
        <v>4000</v>
      </c>
      <c r="H11" s="836">
        <v>4000</v>
      </c>
      <c r="I11" s="836">
        <v>4000</v>
      </c>
      <c r="J11" s="836">
        <v>4000</v>
      </c>
      <c r="K11" s="836">
        <v>4000</v>
      </c>
      <c r="L11" s="836">
        <v>4000</v>
      </c>
      <c r="M11" s="8"/>
      <c r="N11" s="8"/>
      <c r="O11" s="8"/>
      <c r="P11" s="8"/>
    </row>
    <row r="12" spans="1:16" ht="14.4">
      <c r="A12" s="650">
        <f>ROW()</f>
        <v>12</v>
      </c>
      <c r="B12" s="572"/>
      <c r="C12" s="573"/>
      <c r="D12" s="573"/>
      <c r="E12" s="573"/>
      <c r="F12" s="846"/>
      <c r="G12" s="846"/>
      <c r="H12" s="846"/>
      <c r="I12" s="846"/>
      <c r="J12" s="846"/>
      <c r="K12" s="846"/>
      <c r="L12" s="846"/>
      <c r="M12" s="8"/>
      <c r="N12" s="8"/>
      <c r="O12" s="8"/>
      <c r="P12" s="8"/>
    </row>
    <row r="13" spans="1:16" ht="17.399999999999999">
      <c r="A13" s="650">
        <f>ROW()</f>
        <v>13</v>
      </c>
      <c r="B13" s="1232" t="s">
        <v>161</v>
      </c>
      <c r="C13" s="1233"/>
      <c r="D13" s="1233"/>
      <c r="E13" s="1233"/>
      <c r="F13" s="1234" t="str">
        <f>Summary!F6</f>
        <v>SY 0/Incu</v>
      </c>
      <c r="G13" s="1235">
        <f>Summary!G6</f>
        <v>1</v>
      </c>
      <c r="H13" s="1235">
        <f>Summary!H6</f>
        <v>2</v>
      </c>
      <c r="I13" s="1235">
        <f>Summary!I6</f>
        <v>3</v>
      </c>
      <c r="J13" s="1235">
        <f>Summary!J6</f>
        <v>4</v>
      </c>
      <c r="K13" s="1235">
        <f>Summary!K6</f>
        <v>5</v>
      </c>
      <c r="L13" s="1235">
        <f>Summary!L6</f>
        <v>6</v>
      </c>
    </row>
    <row r="14" spans="1:16" ht="13.8">
      <c r="A14" s="650">
        <f>ROW()</f>
        <v>14</v>
      </c>
      <c r="B14" s="243" t="s">
        <v>162</v>
      </c>
      <c r="C14" s="243"/>
      <c r="D14" s="243"/>
      <c r="E14" s="243"/>
      <c r="F14" s="847"/>
      <c r="G14" s="848">
        <f>IFERROR(+Summary!G53/G42,0)</f>
        <v>3.8604532259117934</v>
      </c>
      <c r="H14" s="848">
        <f>IFERROR(+Summary!H53/H42,0)</f>
        <v>48.485901430231863</v>
      </c>
      <c r="I14" s="848">
        <f>IFERROR(+Summary!I53/I42,0)</f>
        <v>58.708746153875992</v>
      </c>
      <c r="J14" s="848">
        <f>IFERROR(+Summary!J53/J42,0)</f>
        <v>42.915180101589961</v>
      </c>
      <c r="K14" s="848">
        <f>IFERROR(+Summary!K53/K42,0)</f>
        <v>48.868259744566977</v>
      </c>
      <c r="L14" s="848">
        <f>IFERROR(+Summary!L53/L42,0)</f>
        <v>87.541767489289455</v>
      </c>
    </row>
    <row r="15" spans="1:16" ht="13.8">
      <c r="A15" s="650">
        <f>ROW()</f>
        <v>15</v>
      </c>
      <c r="B15" s="40" t="s">
        <v>163</v>
      </c>
      <c r="C15" s="40"/>
      <c r="D15" s="40"/>
      <c r="E15" s="40"/>
      <c r="F15" s="849"/>
      <c r="G15" s="1030">
        <f t="shared" ref="G15:L15" si="0">IFERROR(+G14/G19,0)</f>
        <v>1.9302266129558966E-2</v>
      </c>
      <c r="H15" s="1030">
        <f t="shared" si="0"/>
        <v>0.16161967143410622</v>
      </c>
      <c r="I15" s="1030">
        <f t="shared" si="0"/>
        <v>0.14677186538468998</v>
      </c>
      <c r="J15" s="1030">
        <f t="shared" si="0"/>
        <v>9.5367066892422137E-2</v>
      </c>
      <c r="K15" s="1030">
        <f t="shared" si="0"/>
        <v>9.7736519489133949E-2</v>
      </c>
      <c r="L15" s="1030">
        <f t="shared" si="0"/>
        <v>0.15916684998052627</v>
      </c>
    </row>
    <row r="16" spans="1:16" ht="13.8">
      <c r="A16" s="650">
        <f>ROW()</f>
        <v>16</v>
      </c>
      <c r="B16" s="243" t="s">
        <v>164</v>
      </c>
      <c r="C16" s="579"/>
      <c r="D16" s="579"/>
      <c r="E16" s="579"/>
      <c r="F16" s="1029">
        <f>Summary!F53+E16</f>
        <v>25000.400000000023</v>
      </c>
      <c r="G16" s="1029">
        <f>Summary!G53+F16</f>
        <v>58758.857068965561</v>
      </c>
      <c r="H16" s="1029">
        <f>+G16+Summary!H53</f>
        <v>541200.48214057169</v>
      </c>
      <c r="I16" s="1029">
        <f>H16+Summary!I53</f>
        <v>1134736.104102564</v>
      </c>
      <c r="J16" s="1029">
        <f>I16+Summary!J53</f>
        <v>1580023.3293336453</v>
      </c>
      <c r="K16" s="1029">
        <f>J16+Summary!K53</f>
        <v>2088120.1211282555</v>
      </c>
      <c r="L16" s="1029">
        <f>K16+Summary!L53</f>
        <v>2999841.0999814468</v>
      </c>
    </row>
    <row r="17" spans="1:12" ht="13.8">
      <c r="A17" s="650">
        <f>ROW()</f>
        <v>17</v>
      </c>
      <c r="B17" s="68" t="s">
        <v>165</v>
      </c>
      <c r="C17" s="581"/>
      <c r="D17" s="581"/>
      <c r="E17" s="581"/>
      <c r="F17" s="850"/>
      <c r="G17" s="851">
        <f>IFERROR(+G16/Summary!G50,0)</f>
        <v>3.4258147749143292E-2</v>
      </c>
      <c r="H17" s="851">
        <f>IFERROR(+H16/Summary!H50,0)</f>
        <v>0.21625519196777057</v>
      </c>
      <c r="I17" s="851">
        <f>IFERROR(+I16/Summary!I50,0)</f>
        <v>0.32887111481293019</v>
      </c>
      <c r="J17" s="851">
        <f>IFERROR(+J16/Summary!J50,0)</f>
        <v>0.37406691249349383</v>
      </c>
      <c r="K17" s="851">
        <f>IFERROR(+K16/Summary!K50,0)</f>
        <v>0.44517679173161806</v>
      </c>
      <c r="L17" s="851">
        <f>IFERROR(+L16/Summary!L50,0)</f>
        <v>0.62284373267672899</v>
      </c>
    </row>
    <row r="18" spans="1:12" ht="13.8">
      <c r="A18" s="650">
        <f>ROW()</f>
        <v>18</v>
      </c>
      <c r="B18" s="43"/>
      <c r="C18" s="43"/>
      <c r="D18" s="43"/>
      <c r="E18" s="43"/>
      <c r="F18" s="687"/>
      <c r="G18" s="687"/>
      <c r="H18" s="687"/>
      <c r="I18" s="687"/>
      <c r="J18" s="687"/>
      <c r="K18" s="687"/>
      <c r="L18" s="687"/>
    </row>
    <row r="19" spans="1:12" ht="13.8">
      <c r="A19" s="650">
        <f>ROW()</f>
        <v>19</v>
      </c>
      <c r="B19" s="582" t="s">
        <v>120</v>
      </c>
      <c r="C19" s="943">
        <f>MAX(F19:L19)</f>
        <v>550</v>
      </c>
      <c r="D19" s="642"/>
      <c r="E19" s="419"/>
      <c r="F19" s="852">
        <f>' Enrol &amp; Rev'!F35</f>
        <v>0</v>
      </c>
      <c r="G19" s="852">
        <f>' Enrol &amp; Rev'!G35</f>
        <v>200</v>
      </c>
      <c r="H19" s="852">
        <f>' Enrol &amp; Rev'!H35</f>
        <v>300</v>
      </c>
      <c r="I19" s="852">
        <f>' Enrol &amp; Rev'!I35</f>
        <v>400</v>
      </c>
      <c r="J19" s="852">
        <f>' Enrol &amp; Rev'!J35</f>
        <v>450</v>
      </c>
      <c r="K19" s="852">
        <f>' Enrol &amp; Rev'!K35</f>
        <v>500</v>
      </c>
      <c r="L19" s="852">
        <f>' Enrol &amp; Rev'!L35</f>
        <v>550</v>
      </c>
    </row>
    <row r="20" spans="1:12" ht="13.8">
      <c r="A20" s="650">
        <f>ROW()</f>
        <v>20</v>
      </c>
      <c r="B20" s="583" t="s">
        <v>166</v>
      </c>
      <c r="C20" s="944">
        <f>MAX(F20:L20)</f>
        <v>45</v>
      </c>
      <c r="D20" s="643"/>
      <c r="E20" s="418"/>
      <c r="F20" s="853">
        <f>Staff!G23</f>
        <v>1</v>
      </c>
      <c r="G20" s="853">
        <f>Staff!H23</f>
        <v>13.25</v>
      </c>
      <c r="H20" s="853">
        <f>Staff!I23</f>
        <v>24</v>
      </c>
      <c r="I20" s="853">
        <f>Staff!J23</f>
        <v>36</v>
      </c>
      <c r="J20" s="853">
        <f>Staff!K23</f>
        <v>40</v>
      </c>
      <c r="K20" s="853">
        <f>Staff!L23</f>
        <v>45</v>
      </c>
      <c r="L20" s="853">
        <f>Staff!M23</f>
        <v>45</v>
      </c>
    </row>
    <row r="21" spans="1:12" ht="13.8">
      <c r="A21" s="650">
        <f>ROW()</f>
        <v>21</v>
      </c>
      <c r="B21" s="561" t="s">
        <v>167</v>
      </c>
      <c r="C21" s="942">
        <f>MAX(F21:L21)</f>
        <v>595</v>
      </c>
      <c r="D21" s="642"/>
      <c r="E21" s="419"/>
      <c r="F21" s="852">
        <f t="shared" ref="F21:L21" si="1">SUM(F19:F20)</f>
        <v>1</v>
      </c>
      <c r="G21" s="852">
        <f t="shared" si="1"/>
        <v>213.25</v>
      </c>
      <c r="H21" s="852">
        <f t="shared" si="1"/>
        <v>324</v>
      </c>
      <c r="I21" s="852">
        <f t="shared" si="1"/>
        <v>436</v>
      </c>
      <c r="J21" s="852">
        <f t="shared" si="1"/>
        <v>490</v>
      </c>
      <c r="K21" s="852">
        <f t="shared" si="1"/>
        <v>545</v>
      </c>
      <c r="L21" s="852">
        <f t="shared" si="1"/>
        <v>595</v>
      </c>
    </row>
    <row r="22" spans="1:12" ht="13.8">
      <c r="A22" s="650">
        <f>ROW()</f>
        <v>22</v>
      </c>
      <c r="B22" s="584" t="s">
        <v>168</v>
      </c>
      <c r="C22" s="942"/>
      <c r="D22" s="69"/>
      <c r="E22" s="418"/>
      <c r="F22" s="836"/>
      <c r="G22" s="836"/>
      <c r="H22" s="851">
        <f>IFERROR(+H19/G19-1,0)</f>
        <v>0.5</v>
      </c>
      <c r="I22" s="851">
        <f>IFERROR(+I19/H19-1,0)</f>
        <v>0.33333333333333326</v>
      </c>
      <c r="J22" s="851">
        <f>IFERROR(+J19/I19-1,0)</f>
        <v>0.125</v>
      </c>
      <c r="K22" s="851">
        <f>IFERROR(+K19/J19-1,0)</f>
        <v>0.11111111111111116</v>
      </c>
      <c r="L22" s="851">
        <f>IFERROR(+L19/K19-1,0)</f>
        <v>0.10000000000000009</v>
      </c>
    </row>
    <row r="23" spans="1:12" ht="13.8">
      <c r="A23" s="650">
        <f>ROW()</f>
        <v>23</v>
      </c>
      <c r="B23" s="585" t="s">
        <v>169</v>
      </c>
      <c r="C23" s="942">
        <f>MAX(F23:L23)</f>
        <v>3</v>
      </c>
      <c r="D23" s="643"/>
      <c r="E23" s="418"/>
      <c r="F23" s="836">
        <f>+Staff!G106</f>
        <v>0</v>
      </c>
      <c r="G23" s="836">
        <f>+Staff!H106</f>
        <v>1</v>
      </c>
      <c r="H23" s="836">
        <f>+Staff!I106</f>
        <v>2</v>
      </c>
      <c r="I23" s="836">
        <f>+Staff!J106</f>
        <v>3</v>
      </c>
      <c r="J23" s="836">
        <f>+Staff!K106</f>
        <v>3</v>
      </c>
      <c r="K23" s="836">
        <f>+Staff!L106</f>
        <v>3</v>
      </c>
      <c r="L23" s="836">
        <f>+Staff!M106</f>
        <v>3</v>
      </c>
    </row>
    <row r="24" spans="1:12" ht="13.8">
      <c r="A24" s="650">
        <f>ROW()</f>
        <v>24</v>
      </c>
      <c r="B24" s="585" t="s">
        <v>170</v>
      </c>
      <c r="C24" s="942">
        <f>MAX(F24:L24)</f>
        <v>2</v>
      </c>
      <c r="D24" s="643"/>
      <c r="E24" s="418"/>
      <c r="F24" s="836">
        <f>+Staff!G120</f>
        <v>0</v>
      </c>
      <c r="G24" s="836">
        <f>+Staff!H120</f>
        <v>0</v>
      </c>
      <c r="H24" s="836">
        <f>+Staff!I120</f>
        <v>1</v>
      </c>
      <c r="I24" s="836">
        <f>+Staff!J120</f>
        <v>2</v>
      </c>
      <c r="J24" s="836">
        <f>+Staff!K120</f>
        <v>2</v>
      </c>
      <c r="K24" s="836">
        <f>+Staff!L120</f>
        <v>2</v>
      </c>
      <c r="L24" s="836">
        <f>+Staff!M120</f>
        <v>2</v>
      </c>
    </row>
    <row r="25" spans="1:12" ht="13.8">
      <c r="A25" s="650">
        <f>ROW()</f>
        <v>25</v>
      </c>
      <c r="B25" s="585" t="s">
        <v>171</v>
      </c>
      <c r="C25" s="942">
        <f>MAX(F25:L25)</f>
        <v>29</v>
      </c>
      <c r="D25" s="643"/>
      <c r="E25" s="418"/>
      <c r="F25" s="836">
        <f>+Staff!G236</f>
        <v>0</v>
      </c>
      <c r="G25" s="836">
        <f>+Staff!H236</f>
        <v>7</v>
      </c>
      <c r="H25" s="836">
        <f>+Staff!I236</f>
        <v>14</v>
      </c>
      <c r="I25" s="836">
        <f>+Staff!J236</f>
        <v>21</v>
      </c>
      <c r="J25" s="836">
        <f>+Staff!K236</f>
        <v>25</v>
      </c>
      <c r="K25" s="836">
        <f>+Staff!L236</f>
        <v>29</v>
      </c>
      <c r="L25" s="836">
        <f>+Staff!M236</f>
        <v>29</v>
      </c>
    </row>
    <row r="26" spans="1:12" ht="13.8">
      <c r="A26" s="650">
        <f>ROW()</f>
        <v>26</v>
      </c>
      <c r="B26" s="1604" t="s">
        <v>172</v>
      </c>
      <c r="C26" s="945">
        <f>MAX(G26:L26)</f>
        <v>34</v>
      </c>
      <c r="D26" s="642"/>
      <c r="E26" s="1605"/>
      <c r="F26" s="852">
        <f t="shared" ref="F26:L26" si="2">SUM(F23:F25)</f>
        <v>0</v>
      </c>
      <c r="G26" s="852">
        <f t="shared" si="2"/>
        <v>8</v>
      </c>
      <c r="H26" s="852">
        <f t="shared" si="2"/>
        <v>17</v>
      </c>
      <c r="I26" s="852">
        <f t="shared" si="2"/>
        <v>26</v>
      </c>
      <c r="J26" s="852">
        <f t="shared" si="2"/>
        <v>30</v>
      </c>
      <c r="K26" s="852">
        <f t="shared" si="2"/>
        <v>34</v>
      </c>
      <c r="L26" s="852">
        <f t="shared" si="2"/>
        <v>34</v>
      </c>
    </row>
    <row r="27" spans="1:12" ht="13.8">
      <c r="A27" s="650">
        <f>ROW()</f>
        <v>27</v>
      </c>
      <c r="B27" s="582" t="s">
        <v>173</v>
      </c>
      <c r="C27" s="942">
        <f>MAX(G27:L27)</f>
        <v>25</v>
      </c>
      <c r="D27" s="642"/>
      <c r="E27" s="419"/>
      <c r="F27" s="847"/>
      <c r="G27" s="847">
        <f t="shared" ref="G27:L27" si="3">IFERROR(+G19/G26,0)</f>
        <v>25</v>
      </c>
      <c r="H27" s="847">
        <f t="shared" si="3"/>
        <v>17.647058823529413</v>
      </c>
      <c r="I27" s="847">
        <f t="shared" si="3"/>
        <v>15.384615384615385</v>
      </c>
      <c r="J27" s="847">
        <f t="shared" si="3"/>
        <v>15</v>
      </c>
      <c r="K27" s="847">
        <f t="shared" si="3"/>
        <v>14.705882352941176</v>
      </c>
      <c r="L27" s="847">
        <f t="shared" si="3"/>
        <v>16.176470588235293</v>
      </c>
    </row>
    <row r="28" spans="1:12" ht="13.8">
      <c r="A28" s="650">
        <f>ROW()</f>
        <v>28</v>
      </c>
      <c r="B28" s="586" t="s">
        <v>174</v>
      </c>
      <c r="C28" s="942"/>
      <c r="D28" s="69"/>
      <c r="E28" s="418"/>
      <c r="F28" s="854"/>
      <c r="G28" s="854">
        <f>' Enrol &amp; Rev'!G20</f>
        <v>28.571428571428573</v>
      </c>
      <c r="H28" s="854">
        <f>' Enrol &amp; Rev'!H20</f>
        <v>21.428571428571427</v>
      </c>
      <c r="I28" s="854">
        <f>' Enrol &amp; Rev'!I20</f>
        <v>19.047619047619047</v>
      </c>
      <c r="J28" s="854">
        <f>' Enrol &amp; Rev'!J20</f>
        <v>18</v>
      </c>
      <c r="K28" s="854">
        <f>' Enrol &amp; Rev'!K20</f>
        <v>17.241379310344829</v>
      </c>
      <c r="L28" s="854">
        <f>' Enrol &amp; Rev'!L20</f>
        <v>18.96551724137931</v>
      </c>
    </row>
    <row r="29" spans="1:12" ht="13.8">
      <c r="A29" s="650">
        <f>ROW()</f>
        <v>29</v>
      </c>
      <c r="B29" s="585" t="s">
        <v>175</v>
      </c>
      <c r="C29" s="942">
        <f t="shared" ref="C29:C34" si="4">MAX(G29:L29)</f>
        <v>4</v>
      </c>
      <c r="D29" s="643"/>
      <c r="E29" s="418"/>
      <c r="F29" s="836">
        <f>+Staff!G86</f>
        <v>1</v>
      </c>
      <c r="G29" s="836">
        <f>+Staff!H86</f>
        <v>2</v>
      </c>
      <c r="H29" s="836">
        <f>+Staff!I86</f>
        <v>2</v>
      </c>
      <c r="I29" s="836">
        <f>+Staff!J86</f>
        <v>3</v>
      </c>
      <c r="J29" s="836">
        <f>+Staff!K86</f>
        <v>3</v>
      </c>
      <c r="K29" s="836">
        <f>+Staff!L86</f>
        <v>4</v>
      </c>
      <c r="L29" s="836">
        <f>+Staff!M86</f>
        <v>4</v>
      </c>
    </row>
    <row r="30" spans="1:12" ht="13.8">
      <c r="A30" s="650">
        <f>ROW()</f>
        <v>30</v>
      </c>
      <c r="B30" s="561" t="s">
        <v>176</v>
      </c>
      <c r="C30" s="943">
        <f t="shared" si="4"/>
        <v>150</v>
      </c>
      <c r="D30" s="642"/>
      <c r="E30" s="419"/>
      <c r="F30" s="852">
        <f>IFERROR(F19/F29,0)</f>
        <v>0</v>
      </c>
      <c r="G30" s="852">
        <f t="shared" ref="G30:L30" si="5">IFERROR(+G19/G29,0)</f>
        <v>100</v>
      </c>
      <c r="H30" s="852">
        <f t="shared" si="5"/>
        <v>150</v>
      </c>
      <c r="I30" s="852">
        <f t="shared" si="5"/>
        <v>133.33333333333334</v>
      </c>
      <c r="J30" s="852">
        <f t="shared" si="5"/>
        <v>150</v>
      </c>
      <c r="K30" s="852">
        <f t="shared" si="5"/>
        <v>125</v>
      </c>
      <c r="L30" s="852">
        <f t="shared" si="5"/>
        <v>137.5</v>
      </c>
    </row>
    <row r="31" spans="1:12" ht="13.8">
      <c r="A31" s="650">
        <f>ROW()</f>
        <v>31</v>
      </c>
      <c r="B31" s="585" t="s">
        <v>177</v>
      </c>
      <c r="C31" s="942">
        <f t="shared" si="4"/>
        <v>10</v>
      </c>
      <c r="D31" s="643"/>
      <c r="E31" s="418"/>
      <c r="F31" s="836">
        <f>IFERROR(F26/F29,0)</f>
        <v>0</v>
      </c>
      <c r="G31" s="836">
        <f t="shared" ref="G31:L31" si="6">IFERROR(+G26/G29,0)</f>
        <v>4</v>
      </c>
      <c r="H31" s="836">
        <f t="shared" si="6"/>
        <v>8.5</v>
      </c>
      <c r="I31" s="836">
        <f t="shared" si="6"/>
        <v>8.6666666666666661</v>
      </c>
      <c r="J31" s="836">
        <f t="shared" si="6"/>
        <v>10</v>
      </c>
      <c r="K31" s="836">
        <f t="shared" si="6"/>
        <v>8.5</v>
      </c>
      <c r="L31" s="836">
        <f t="shared" si="6"/>
        <v>8.5</v>
      </c>
    </row>
    <row r="32" spans="1:12" ht="13.8">
      <c r="A32" s="650">
        <f>ROW()</f>
        <v>32</v>
      </c>
      <c r="B32" s="585" t="s">
        <v>178</v>
      </c>
      <c r="C32" s="944">
        <f t="shared" si="4"/>
        <v>8</v>
      </c>
      <c r="D32" s="643"/>
      <c r="E32" s="418"/>
      <c r="F32" s="836">
        <f>+Staff!G94</f>
        <v>1</v>
      </c>
      <c r="G32" s="836">
        <f>+Staff!H94</f>
        <v>4.25</v>
      </c>
      <c r="H32" s="836">
        <f>+Staff!I94</f>
        <v>5</v>
      </c>
      <c r="I32" s="836">
        <f>+Staff!J94</f>
        <v>7</v>
      </c>
      <c r="J32" s="836">
        <f>+Staff!K94</f>
        <v>7</v>
      </c>
      <c r="K32" s="836">
        <f>+Staff!L94</f>
        <v>8</v>
      </c>
      <c r="L32" s="836">
        <f>+Staff!M94</f>
        <v>8</v>
      </c>
    </row>
    <row r="33" spans="1:12" ht="13.8">
      <c r="A33" s="650">
        <f>ROW()</f>
        <v>33</v>
      </c>
      <c r="B33" s="561" t="s">
        <v>179</v>
      </c>
      <c r="C33" s="942">
        <f t="shared" si="4"/>
        <v>68.75</v>
      </c>
      <c r="D33" s="642"/>
      <c r="E33" s="419"/>
      <c r="F33" s="852"/>
      <c r="G33" s="852">
        <f t="shared" ref="G33:L33" si="7">IFERROR(+G19/G32,0)</f>
        <v>47.058823529411768</v>
      </c>
      <c r="H33" s="852">
        <f t="shared" si="7"/>
        <v>60</v>
      </c>
      <c r="I33" s="852">
        <f t="shared" si="7"/>
        <v>57.142857142857146</v>
      </c>
      <c r="J33" s="852">
        <f t="shared" si="7"/>
        <v>64.285714285714292</v>
      </c>
      <c r="K33" s="852">
        <f t="shared" si="7"/>
        <v>62.5</v>
      </c>
      <c r="L33" s="852">
        <f t="shared" si="7"/>
        <v>68.75</v>
      </c>
    </row>
    <row r="34" spans="1:12" ht="13.8">
      <c r="A34" s="650">
        <f>ROW()</f>
        <v>34</v>
      </c>
      <c r="B34" s="585" t="s">
        <v>180</v>
      </c>
      <c r="C34" s="942">
        <f t="shared" si="4"/>
        <v>4.2857142857142856</v>
      </c>
      <c r="D34" s="643"/>
      <c r="E34" s="418"/>
      <c r="F34" s="854"/>
      <c r="G34" s="836">
        <f t="shared" ref="G34:L34" si="8">IFERROR(+G26/G32,0)</f>
        <v>1.8823529411764706</v>
      </c>
      <c r="H34" s="836">
        <f t="shared" si="8"/>
        <v>3.4</v>
      </c>
      <c r="I34" s="836">
        <f t="shared" si="8"/>
        <v>3.7142857142857144</v>
      </c>
      <c r="J34" s="836">
        <f t="shared" si="8"/>
        <v>4.2857142857142856</v>
      </c>
      <c r="K34" s="836">
        <f t="shared" si="8"/>
        <v>4.25</v>
      </c>
      <c r="L34" s="836">
        <f t="shared" si="8"/>
        <v>4.25</v>
      </c>
    </row>
    <row r="35" spans="1:12" ht="13.8">
      <c r="A35" s="650">
        <f>ROW()</f>
        <v>35</v>
      </c>
      <c r="B35" s="585" t="s">
        <v>181</v>
      </c>
      <c r="C35" s="644">
        <f t="shared" ref="C35:C40" si="9">AVERAGE(G35:L35)</f>
        <v>83055.555555555562</v>
      </c>
      <c r="D35" s="644"/>
      <c r="E35" s="587"/>
      <c r="F35" s="699"/>
      <c r="G35" s="699">
        <f>IFERROR(+Staff!H247/G29,0)</f>
        <v>90000</v>
      </c>
      <c r="H35" s="699">
        <f>IFERROR(+Staff!I247/H29,0)</f>
        <v>90000</v>
      </c>
      <c r="I35" s="699">
        <f>IFERROR(+Staff!J247/I29,0)</f>
        <v>81666.666666666672</v>
      </c>
      <c r="J35" s="699">
        <f>IFERROR(+Staff!K247/J29,0)</f>
        <v>81666.666666666672</v>
      </c>
      <c r="K35" s="699">
        <f>IFERROR(+Staff!L247/K29,0)</f>
        <v>77500</v>
      </c>
      <c r="L35" s="699">
        <f>IFERROR(+Staff!M247/L29,0)</f>
        <v>77500</v>
      </c>
    </row>
    <row r="36" spans="1:12" ht="13.8">
      <c r="A36" s="650">
        <f>ROW()</f>
        <v>36</v>
      </c>
      <c r="B36" s="585" t="s">
        <v>182</v>
      </c>
      <c r="C36" s="644">
        <f t="shared" si="9"/>
        <v>18489.495798319327</v>
      </c>
      <c r="D36" s="644"/>
      <c r="E36" s="418"/>
      <c r="F36" s="836"/>
      <c r="G36" s="836">
        <f>IFERROR(+Staff!H254/G32,0)</f>
        <v>20294.117647058825</v>
      </c>
      <c r="H36" s="836">
        <f>IFERROR(+Staff!I254/H32,0)</f>
        <v>21000</v>
      </c>
      <c r="I36" s="836">
        <f>IFERROR(+Staff!J254/I32,0)</f>
        <v>18571.428571428572</v>
      </c>
      <c r="J36" s="836">
        <f>IFERROR(+Staff!K254/J32,0)</f>
        <v>18571.428571428572</v>
      </c>
      <c r="K36" s="836">
        <f>IFERROR(+Staff!L254/K32,0)</f>
        <v>16250</v>
      </c>
      <c r="L36" s="836">
        <f>IFERROR(+Staff!M254/L32,0)</f>
        <v>16250</v>
      </c>
    </row>
    <row r="37" spans="1:12" ht="13.8">
      <c r="A37" s="650">
        <f>ROW()</f>
        <v>37</v>
      </c>
      <c r="B37" s="585" t="s">
        <v>183</v>
      </c>
      <c r="C37" s="645">
        <f t="shared" si="9"/>
        <v>45000</v>
      </c>
      <c r="D37" s="645"/>
      <c r="E37" s="418"/>
      <c r="F37" s="836"/>
      <c r="G37" s="836">
        <f>IFERROR(+Staff!H269/G23,0)</f>
        <v>45000</v>
      </c>
      <c r="H37" s="836">
        <f>IFERROR(+Staff!I269/H23,0)</f>
        <v>45000</v>
      </c>
      <c r="I37" s="836">
        <f>IFERROR(+Staff!J269/I23,0)</f>
        <v>45000</v>
      </c>
      <c r="J37" s="836">
        <f>IFERROR(+Staff!K269/J23,0)</f>
        <v>45000</v>
      </c>
      <c r="K37" s="836">
        <f>IFERROR(+Staff!L269/K23,0)</f>
        <v>45000</v>
      </c>
      <c r="L37" s="836">
        <f>IFERROR(+Staff!M269/L23,0)</f>
        <v>45000</v>
      </c>
    </row>
    <row r="38" spans="1:12" ht="13.8">
      <c r="A38" s="650">
        <f>ROW()</f>
        <v>38</v>
      </c>
      <c r="B38" s="585" t="s">
        <v>184</v>
      </c>
      <c r="C38" s="645">
        <f t="shared" si="9"/>
        <v>37500</v>
      </c>
      <c r="D38" s="645"/>
      <c r="E38" s="418"/>
      <c r="F38" s="836"/>
      <c r="G38" s="836">
        <f>IFERROR(Staff!H281/G24,0)</f>
        <v>0</v>
      </c>
      <c r="H38" s="836">
        <f>IFERROR(Staff!I281/H24,0)</f>
        <v>45000</v>
      </c>
      <c r="I38" s="836">
        <f>IFERROR(Staff!J281/I24,0)</f>
        <v>45000</v>
      </c>
      <c r="J38" s="836">
        <f>IFERROR(Staff!K281/J24,0)</f>
        <v>45000</v>
      </c>
      <c r="K38" s="836">
        <f>IFERROR(Staff!L281/K24,0)</f>
        <v>45000</v>
      </c>
      <c r="L38" s="836">
        <f>IFERROR(Staff!M281/L24,0)</f>
        <v>45000</v>
      </c>
    </row>
    <row r="39" spans="1:12" ht="13.8">
      <c r="A39" s="650">
        <f>ROW()</f>
        <v>39</v>
      </c>
      <c r="B39" s="585" t="s">
        <v>185</v>
      </c>
      <c r="C39" s="644">
        <f t="shared" si="9"/>
        <v>45309.058565955122</v>
      </c>
      <c r="D39" s="644"/>
      <c r="E39" s="418"/>
      <c r="F39" s="836"/>
      <c r="G39" s="836">
        <f>IFERROR(Staff!H390/G25,0)</f>
        <v>45714.285714285717</v>
      </c>
      <c r="H39" s="836">
        <f>IFERROR(Staff!I390/H25,0)</f>
        <v>45357.142857142855</v>
      </c>
      <c r="I39" s="836">
        <f>IFERROR(Staff!J390/I25,0)</f>
        <v>45238.095238095237</v>
      </c>
      <c r="J39" s="836">
        <f>IFERROR(Staff!K390/J25,0)</f>
        <v>45200</v>
      </c>
      <c r="K39" s="836">
        <f>IFERROR(Staff!L390/K25,0)</f>
        <v>45172.413793103449</v>
      </c>
      <c r="L39" s="836">
        <f>IFERROR(Staff!M390/L25,0)</f>
        <v>45172.413793103449</v>
      </c>
    </row>
    <row r="40" spans="1:12" ht="13.8">
      <c r="A40" s="650">
        <f>ROW()</f>
        <v>40</v>
      </c>
      <c r="B40" s="585" t="s">
        <v>186</v>
      </c>
      <c r="C40" s="644">
        <f t="shared" si="9"/>
        <v>1199.3410633484164</v>
      </c>
      <c r="D40" s="644"/>
      <c r="E40" s="418"/>
      <c r="F40" s="836"/>
      <c r="G40" s="836">
        <f>IFERROR(+Summary!G17/G26,0)</f>
        <v>1731.25</v>
      </c>
      <c r="H40" s="836">
        <f>IFERROR(+Summary!H17/H26,0)</f>
        <v>1222.0588235294117</v>
      </c>
      <c r="I40" s="836">
        <f>IFERROR(+Summary!I17/I26,0)</f>
        <v>1065.3846153846155</v>
      </c>
      <c r="J40" s="836">
        <f>IFERROR(+Summary!J17/J26,0)</f>
        <v>1038.75</v>
      </c>
      <c r="K40" s="836">
        <f>IFERROR(+Summary!K17/K26,0)</f>
        <v>1018.3823529411765</v>
      </c>
      <c r="L40" s="836">
        <f>IFERROR(+Summary!L17/L26,0)</f>
        <v>1120.2205882352941</v>
      </c>
    </row>
    <row r="41" spans="1:12" ht="13.8">
      <c r="A41" s="650">
        <f>ROW()</f>
        <v>41</v>
      </c>
      <c r="B41" s="585"/>
      <c r="C41" s="588"/>
      <c r="D41" s="588"/>
      <c r="E41" s="418"/>
      <c r="F41" s="836"/>
      <c r="G41" s="836"/>
      <c r="H41" s="836"/>
      <c r="I41" s="836"/>
      <c r="J41" s="836"/>
      <c r="K41" s="836"/>
      <c r="L41" s="836"/>
    </row>
    <row r="42" spans="1:12" ht="13.8">
      <c r="A42" s="650">
        <f>ROW()</f>
        <v>42</v>
      </c>
      <c r="B42" s="585" t="s">
        <v>187</v>
      </c>
      <c r="C42" s="644">
        <f>AVERAGE(G42:L42)</f>
        <v>9998.7700257169254</v>
      </c>
      <c r="D42" s="644"/>
      <c r="E42" s="589"/>
      <c r="F42" s="855"/>
      <c r="G42" s="855">
        <f>IFERROR(Summary!G34/G19,0)</f>
        <v>8744.6875</v>
      </c>
      <c r="H42" s="855">
        <f>IFERROR(Summary!H34/H19,0)</f>
        <v>9950.1424298733327</v>
      </c>
      <c r="I42" s="855">
        <f>IFERROR(Summary!I34/I19,0)</f>
        <v>10109.833046107502</v>
      </c>
      <c r="J42" s="855">
        <f>IFERROR(Summary!J34/J19,0)</f>
        <v>10375.984073164447</v>
      </c>
      <c r="K42" s="855">
        <f>IFERROR(Summary!K34/K19,0)</f>
        <v>10397.276155328998</v>
      </c>
      <c r="L42" s="855">
        <f>IFERROR(Summary!L34/L19,0)</f>
        <v>10414.696949827274</v>
      </c>
    </row>
    <row r="43" spans="1:12" ht="13.8">
      <c r="A43" s="650">
        <f>ROW()</f>
        <v>43</v>
      </c>
      <c r="B43" s="562" t="s">
        <v>188</v>
      </c>
      <c r="C43" s="644">
        <f>AVERAGE(G43:L43)</f>
        <v>8844.742467672977</v>
      </c>
      <c r="D43" s="644"/>
      <c r="E43" s="589"/>
      <c r="F43" s="839"/>
      <c r="G43" s="839">
        <f>IFERROR(Summary!G50/G19,0)</f>
        <v>8575.8952146551728</v>
      </c>
      <c r="H43" s="839">
        <f>IFERROR(Summary!H50/H19,0)</f>
        <v>8342.0036796346467</v>
      </c>
      <c r="I43" s="839">
        <f>IFERROR(Summary!I50/I19,0)</f>
        <v>8625.993991202522</v>
      </c>
      <c r="J43" s="839">
        <f>IFERROR(Summary!J50/J19,0)</f>
        <v>9386.4569059842652</v>
      </c>
      <c r="K43" s="839">
        <f>IFERROR(Summary!K50/K19,0)</f>
        <v>9381.0825717397784</v>
      </c>
      <c r="L43" s="839">
        <f>IFERROR(Summary!L50/L19,0)</f>
        <v>8757.0224428214715</v>
      </c>
    </row>
    <row r="44" spans="1:12" ht="13.8">
      <c r="A44" s="650">
        <f>ROW()</f>
        <v>44</v>
      </c>
      <c r="B44" s="1606" t="s">
        <v>189</v>
      </c>
      <c r="C44" s="646">
        <f>AVERAGE(G44:L44)</f>
        <v>1154.0275580439495</v>
      </c>
      <c r="D44" s="646"/>
      <c r="E44" s="590"/>
      <c r="F44" s="1607"/>
      <c r="G44" s="1608">
        <f t="shared" ref="G44:L44" si="10">+G42-G43</f>
        <v>168.79228534482718</v>
      </c>
      <c r="H44" s="1608">
        <f t="shared" si="10"/>
        <v>1608.138750238686</v>
      </c>
      <c r="I44" s="1608">
        <f t="shared" si="10"/>
        <v>1483.83905490498</v>
      </c>
      <c r="J44" s="1608">
        <f t="shared" si="10"/>
        <v>989.527167180182</v>
      </c>
      <c r="K44" s="1608">
        <f t="shared" si="10"/>
        <v>1016.19358358922</v>
      </c>
      <c r="L44" s="1607">
        <f t="shared" si="10"/>
        <v>1657.6745070058023</v>
      </c>
    </row>
    <row r="45" spans="1:12" ht="13.8">
      <c r="A45" s="650">
        <f>ROW()</f>
        <v>45</v>
      </c>
      <c r="B45" s="562" t="s">
        <v>190</v>
      </c>
      <c r="C45" s="942">
        <f>MAX(G45:L45)</f>
        <v>25000</v>
      </c>
      <c r="D45" s="643"/>
      <c r="E45" s="418"/>
      <c r="F45" s="839"/>
      <c r="G45" s="839">
        <f>Facilities!G93</f>
        <v>25000</v>
      </c>
      <c r="H45" s="839">
        <f>Facilities!H93</f>
        <v>25000</v>
      </c>
      <c r="I45" s="839">
        <f>Facilities!I93</f>
        <v>25000</v>
      </c>
      <c r="J45" s="839">
        <f>Facilities!J93</f>
        <v>25000</v>
      </c>
      <c r="K45" s="839">
        <f>Facilities!K93</f>
        <v>25000</v>
      </c>
      <c r="L45" s="839">
        <f>Facilities!L93</f>
        <v>25000</v>
      </c>
    </row>
    <row r="46" spans="1:12" ht="13.8">
      <c r="A46" s="650">
        <f>ROW()</f>
        <v>46</v>
      </c>
      <c r="B46" s="562" t="s">
        <v>191</v>
      </c>
      <c r="C46" s="647">
        <f>MIN(G46:L46)</f>
        <v>45.454545454545453</v>
      </c>
      <c r="D46" s="647"/>
      <c r="E46" s="418"/>
      <c r="F46" s="839"/>
      <c r="G46" s="839">
        <f t="shared" ref="G46:L46" si="11">IFERROR(G45/G19,0)</f>
        <v>125</v>
      </c>
      <c r="H46" s="839">
        <f t="shared" si="11"/>
        <v>83.333333333333329</v>
      </c>
      <c r="I46" s="839">
        <f t="shared" si="11"/>
        <v>62.5</v>
      </c>
      <c r="J46" s="839">
        <f t="shared" si="11"/>
        <v>55.555555555555557</v>
      </c>
      <c r="K46" s="839">
        <f t="shared" si="11"/>
        <v>50</v>
      </c>
      <c r="L46" s="839">
        <f t="shared" si="11"/>
        <v>45.454545454545453</v>
      </c>
    </row>
    <row r="47" spans="1:12" ht="13.8">
      <c r="A47" s="650">
        <f>ROW()</f>
        <v>47</v>
      </c>
      <c r="B47" s="562" t="s">
        <v>192</v>
      </c>
      <c r="C47" s="647">
        <f>MIN(G47:L47)</f>
        <v>42.016806722689076</v>
      </c>
      <c r="D47" s="647"/>
      <c r="E47" s="418"/>
      <c r="F47" s="839"/>
      <c r="G47" s="839">
        <f t="shared" ref="G47:L47" si="12">IFERROR(+G45/G21,0)</f>
        <v>117.23329425556858</v>
      </c>
      <c r="H47" s="839">
        <f t="shared" si="12"/>
        <v>77.160493827160494</v>
      </c>
      <c r="I47" s="839">
        <f t="shared" si="12"/>
        <v>57.339449541284402</v>
      </c>
      <c r="J47" s="839">
        <f t="shared" si="12"/>
        <v>51.020408163265309</v>
      </c>
      <c r="K47" s="839">
        <f t="shared" si="12"/>
        <v>45.871559633027523</v>
      </c>
      <c r="L47" s="839">
        <f t="shared" si="12"/>
        <v>42.016806722689076</v>
      </c>
    </row>
    <row r="48" spans="1:12" ht="13.8">
      <c r="A48" s="650">
        <f>ROW()</f>
        <v>48</v>
      </c>
      <c r="B48" s="562" t="s">
        <v>1241</v>
      </c>
      <c r="C48" s="644">
        <f>AVERAGE(G48:L48)</f>
        <v>19.2</v>
      </c>
      <c r="D48" s="647"/>
      <c r="E48" s="418"/>
      <c r="F48" s="839"/>
      <c r="G48" s="839">
        <f>+Summary!G27/Summary!G9</f>
        <v>19.2</v>
      </c>
      <c r="H48" s="839">
        <f>+Summary!H27/Summary!H9</f>
        <v>19.2</v>
      </c>
      <c r="I48" s="839">
        <f>+Summary!I27/Summary!I9</f>
        <v>19.2</v>
      </c>
      <c r="J48" s="839">
        <f>+Summary!J27/Summary!J9</f>
        <v>19.2</v>
      </c>
      <c r="K48" s="839">
        <f>+Summary!K27/Summary!K9</f>
        <v>19.2</v>
      </c>
      <c r="L48" s="839">
        <f>+Summary!L27/Summary!L9</f>
        <v>19.2</v>
      </c>
    </row>
    <row r="49" spans="1:12" ht="13.8">
      <c r="A49" s="650">
        <f>ROW()</f>
        <v>49</v>
      </c>
      <c r="B49" s="43"/>
      <c r="C49" s="43"/>
      <c r="D49" s="43"/>
      <c r="E49" s="43"/>
      <c r="F49" s="687"/>
      <c r="G49" s="687"/>
      <c r="H49" s="687"/>
      <c r="I49" s="687"/>
      <c r="J49" s="687"/>
      <c r="K49" s="687"/>
      <c r="L49" s="687"/>
    </row>
    <row r="50" spans="1:12" ht="17.399999999999999">
      <c r="A50" s="650">
        <f>ROW()</f>
        <v>50</v>
      </c>
      <c r="B50" s="1246" t="s">
        <v>193</v>
      </c>
      <c r="C50" s="1247"/>
      <c r="D50" s="1247"/>
      <c r="E50" s="1247"/>
      <c r="F50" s="1248" t="str">
        <f>Summary!F6</f>
        <v>SY 0/Incu</v>
      </c>
      <c r="G50" s="1249">
        <f>Summary!G6</f>
        <v>1</v>
      </c>
      <c r="H50" s="1249">
        <f>Summary!H6</f>
        <v>2</v>
      </c>
      <c r="I50" s="1249">
        <f>Summary!I6</f>
        <v>3</v>
      </c>
      <c r="J50" s="1249">
        <f>Summary!J6</f>
        <v>4</v>
      </c>
      <c r="K50" s="1249">
        <f>Summary!K6</f>
        <v>5</v>
      </c>
      <c r="L50" s="1249">
        <f>Summary!L6</f>
        <v>6</v>
      </c>
    </row>
    <row r="51" spans="1:12" ht="13.8">
      <c r="A51" s="650">
        <f>ROW()</f>
        <v>51</v>
      </c>
      <c r="B51" s="1609" t="s">
        <v>122</v>
      </c>
      <c r="C51" s="1250"/>
      <c r="D51" s="1250"/>
      <c r="E51" s="1250"/>
      <c r="F51" s="1610"/>
      <c r="G51" s="1610"/>
      <c r="H51" s="1610"/>
      <c r="I51" s="1610"/>
      <c r="J51" s="1610"/>
      <c r="K51" s="1610"/>
      <c r="L51" s="1610"/>
    </row>
    <row r="52" spans="1:12" ht="13.8">
      <c r="A52" s="650">
        <f>ROW()</f>
        <v>52</v>
      </c>
      <c r="B52" s="40" t="str">
        <f>+Summary!B14</f>
        <v>State &amp; Local Revenue w/o St SpEd</v>
      </c>
      <c r="C52" s="565">
        <f>IFERROR(Summary!C14/Summary!C$34,)</f>
        <v>0.82673136251034196</v>
      </c>
      <c r="D52" s="565"/>
      <c r="E52" s="565"/>
      <c r="F52" s="856">
        <f>IF(Summary!F14&gt;0,Summary!F14/Summary!F$34,0)</f>
        <v>0</v>
      </c>
      <c r="G52" s="856">
        <f>IF(Summary!G14&gt;0,Summary!G14/Summary!G$34,0)</f>
        <v>0.83399206661187153</v>
      </c>
      <c r="H52" s="856">
        <f>IF(Summary!H14&gt;0,Summary!H14/Summary!H$34,0)</f>
        <v>0.84225489027631451</v>
      </c>
      <c r="I52" s="856">
        <f>IF(Summary!I14&gt;0,Summary!I14/Summary!I$34,0)</f>
        <v>0.84149603131631567</v>
      </c>
      <c r="J52" s="856">
        <f>IF(Summary!J14&gt;0,Summary!J14/Summary!J$34,0)</f>
        <v>0.84028317370799432</v>
      </c>
      <c r="K52" s="856">
        <f>IF(Summary!K14&gt;0,Summary!K14/Summary!K$34,0)</f>
        <v>0.84018882755236179</v>
      </c>
      <c r="L52" s="856">
        <f>IF(Summary!L14&gt;0,Summary!L14/Summary!L$34,0)</f>
        <v>0.84011192217775399</v>
      </c>
    </row>
    <row r="53" spans="1:12" ht="13.8">
      <c r="A53" s="650">
        <f>ROW()</f>
        <v>53</v>
      </c>
      <c r="B53" s="40" t="str">
        <f>+Summary!B15</f>
        <v>CS Sponsorship Fee (Infl' Adj'd)</v>
      </c>
      <c r="C53" s="1297">
        <f>IFERROR(Summary!C15/Summary!C$34,0)</f>
        <v>-9.7279728852879711E-3</v>
      </c>
      <c r="D53" s="565"/>
      <c r="E53" s="565"/>
      <c r="F53" s="856">
        <f>IF(Summary!F15&gt;0,Summary!F15/Summary!F$34,0)</f>
        <v>0</v>
      </c>
      <c r="G53" s="856">
        <f>IF(Summary!G15&gt;0,Summary!G15/Summary!G$34,0)</f>
        <v>0</v>
      </c>
      <c r="H53" s="856">
        <f>IF(Summary!H15&gt;0,Summary!H15/Summary!H$34,0)</f>
        <v>0</v>
      </c>
      <c r="I53" s="856">
        <f>IF(Summary!I15&gt;0,Summary!I15/Summary!I$34,0)</f>
        <v>0</v>
      </c>
      <c r="J53" s="856">
        <f>IF(Summary!J15&gt;0,Summary!J15/Summary!J$34,0)</f>
        <v>0</v>
      </c>
      <c r="K53" s="856">
        <f>IF(Summary!K15&gt;0,Summary!K15/Summary!K$34,0)</f>
        <v>0</v>
      </c>
      <c r="L53" s="856">
        <f>IF(Summary!L15&gt;0,Summary!L15/Summary!L$34,0)</f>
        <v>0</v>
      </c>
    </row>
    <row r="54" spans="1:12" ht="13.8">
      <c r="A54" s="650">
        <f>ROW()</f>
        <v>54</v>
      </c>
      <c r="B54" s="40" t="str">
        <f>+Summary!B16</f>
        <v>Title I</v>
      </c>
      <c r="C54" s="565">
        <f>IFERROR(Summary!C16/Summary!C$34,)</f>
        <v>4.1418853815085234E-2</v>
      </c>
      <c r="D54" s="565"/>
      <c r="E54" s="565"/>
      <c r="F54" s="856">
        <f>IF(Summary!F16&gt;0,Summary!F16/Summary!F$34,0)</f>
        <v>0</v>
      </c>
      <c r="G54" s="856">
        <f>IF(Summary!G16&gt;0,Summary!G16/Summary!G$34,0)</f>
        <v>4.8886824143229819E-2</v>
      </c>
      <c r="H54" s="856">
        <f>IF(Summary!H16&gt;0,Summary!H16/Summary!H$34,0)</f>
        <v>4.2964209106848145E-2</v>
      </c>
      <c r="I54" s="856">
        <f>IF(Summary!I16&gt;0,Summary!I16/Summary!I$34,0)</f>
        <v>4.2285564761585896E-2</v>
      </c>
      <c r="J54" s="856">
        <f>IF(Summary!J16&gt;0,Summary!J16/Summary!J$34,0)</f>
        <v>4.1200911353136062E-2</v>
      </c>
      <c r="K54" s="856">
        <f>IF(Summary!K16&gt;0,Summary!K16/Summary!K$34,0)</f>
        <v>4.1116537986815908E-2</v>
      </c>
      <c r="L54" s="856">
        <f>IF(Summary!L16&gt;0,Summary!L16/Summary!L$34,0)</f>
        <v>4.1047761836900121E-2</v>
      </c>
    </row>
    <row r="55" spans="1:12" ht="13.8">
      <c r="A55" s="650">
        <f>ROW()</f>
        <v>55</v>
      </c>
      <c r="B55" s="40" t="str">
        <f>+Summary!B17</f>
        <v>Title IIA</v>
      </c>
      <c r="C55" s="565">
        <f>IFERROR(Summary!C17/Summary!C$34,)</f>
        <v>6.7093698870050351E-3</v>
      </c>
      <c r="D55" s="565"/>
      <c r="E55" s="565"/>
      <c r="F55" s="856">
        <f>IF(Summary!F17&gt;0,Summary!F17/Summary!F$34,0)</f>
        <v>0</v>
      </c>
      <c r="G55" s="856">
        <f>IF(Summary!G17&gt;0,Summary!G17/Summary!G$34,0)</f>
        <v>7.919093735482257E-3</v>
      </c>
      <c r="H55" s="856">
        <f>IF(Summary!H17&gt;0,Summary!H17/Summary!H$34,0)</f>
        <v>6.9596993699397288E-3</v>
      </c>
      <c r="I55" s="856">
        <f>IF(Summary!I17&gt;0,Summary!I17/Summary!I$34,0)</f>
        <v>6.8497669233680081E-3</v>
      </c>
      <c r="J55" s="856">
        <f>IF(Summary!J17&gt;0,Summary!J17/Summary!J$34,0)</f>
        <v>6.6740657572039114E-3</v>
      </c>
      <c r="K55" s="856">
        <f>IF(Summary!K17&gt;0,Summary!K17/Summary!K$34,0)</f>
        <v>6.6603982586830443E-3</v>
      </c>
      <c r="L55" s="856">
        <f>IF(Summary!L17&gt;0,Summary!L17/Summary!L$34,0)</f>
        <v>6.649257326796101E-3</v>
      </c>
    </row>
    <row r="56" spans="1:12" ht="13.8">
      <c r="A56" s="650">
        <f>ROW()</f>
        <v>56</v>
      </c>
      <c r="B56" s="40" t="str">
        <f>+Summary!B18</f>
        <v>Title III</v>
      </c>
      <c r="C56" s="565">
        <f>IFERROR(Summary!C18/Summary!C$34,)</f>
        <v>2.9065862326375603E-3</v>
      </c>
      <c r="D56" s="565"/>
      <c r="E56" s="565"/>
      <c r="F56" s="856">
        <f>IF(Summary!F18&gt;0,Summary!F18/Summary!F$34,0)</f>
        <v>0</v>
      </c>
      <c r="G56" s="856">
        <f>IF(Summary!G18&gt;0,Summary!G18/Summary!G$34,0)</f>
        <v>3.4306543258406891E-3</v>
      </c>
      <c r="H56" s="856">
        <f>IF(Summary!H18&gt;0,Summary!H18/Summary!H$34,0)</f>
        <v>3.0150322180244314E-3</v>
      </c>
      <c r="I56" s="856">
        <f>IF(Summary!I18&gt;0,Summary!I18/Summary!I$34,0)</f>
        <v>2.9674080534446245E-3</v>
      </c>
      <c r="J56" s="856">
        <f>IF(Summary!J18&gt;0,Summary!J18/Summary!J$34,0)</f>
        <v>2.8912920247814778E-3</v>
      </c>
      <c r="K56" s="856">
        <f>IF(Summary!K18&gt;0,Summary!K18/Summary!K$34,0)</f>
        <v>2.8853710867940987E-3</v>
      </c>
      <c r="L56" s="856">
        <f>IF(Summary!L18&gt;0,Summary!L18/Summary!L$34,0)</f>
        <v>2.8805446903087803E-3</v>
      </c>
    </row>
    <row r="57" spans="1:12" ht="13.8">
      <c r="A57" s="650">
        <f>ROW()</f>
        <v>57</v>
      </c>
      <c r="B57" s="40" t="str">
        <f>+Summary!B19</f>
        <v>Title IV</v>
      </c>
      <c r="C57" s="565">
        <f>IFERROR(Summary!C19/Summary!C$34,)</f>
        <v>0</v>
      </c>
      <c r="D57" s="565"/>
      <c r="E57" s="565"/>
      <c r="F57" s="856">
        <f>IF(Summary!F19&gt;0,Summary!F19/Summary!F$34,0)</f>
        <v>0</v>
      </c>
      <c r="G57" s="856">
        <f>IF(Summary!G19&gt;0,Summary!G19/Summary!G$34,0)</f>
        <v>0</v>
      </c>
      <c r="H57" s="856">
        <f>IF(Summary!H19&gt;0,Summary!H19/Summary!H$34,0)</f>
        <v>0</v>
      </c>
      <c r="I57" s="856">
        <f>IF(Summary!I19&gt;0,Summary!I19/Summary!I$34,0)</f>
        <v>0</v>
      </c>
      <c r="J57" s="856">
        <f>IF(Summary!J19&gt;0,Summary!J19/Summary!J$34,0)</f>
        <v>0</v>
      </c>
      <c r="K57" s="856">
        <f>IF(Summary!K19&gt;0,Summary!K19/Summary!K$34,0)</f>
        <v>0</v>
      </c>
      <c r="L57" s="856">
        <f>IF(Summary!L19&gt;0,Summary!L19/Summary!L$34,0)</f>
        <v>0</v>
      </c>
    </row>
    <row r="58" spans="1:12" ht="13.8">
      <c r="A58" s="650">
        <f>ROW()</f>
        <v>58</v>
      </c>
      <c r="B58" s="40" t="str">
        <f>+Summary!B20</f>
        <v>Federal Breakfast Program</v>
      </c>
      <c r="C58" s="565">
        <f>IFERROR(Summary!C20/Summary!C$34,)</f>
        <v>2.9821574746861371E-2</v>
      </c>
      <c r="D58" s="565"/>
      <c r="E58" s="565"/>
      <c r="F58" s="856">
        <f>IF(Summary!F20&gt;0,Summary!F20/Summary!F$34,0)</f>
        <v>0</v>
      </c>
      <c r="G58" s="856">
        <f>IF(Summary!G20&gt;0,Summary!G20/Summary!G$34,0)</f>
        <v>3.519851338312547E-2</v>
      </c>
      <c r="H58" s="856">
        <f>IF(Summary!H20&gt;0,Summary!H20/Summary!H$34,0)</f>
        <v>3.0934230556930665E-2</v>
      </c>
      <c r="I58" s="856">
        <f>IF(Summary!I20&gt;0,Summary!I20/Summary!I$34,0)</f>
        <v>3.0445606628341847E-2</v>
      </c>
      <c r="J58" s="856">
        <f>IF(Summary!J20&gt;0,Summary!J20/Summary!J$34,0)</f>
        <v>2.9664656174257963E-2</v>
      </c>
      <c r="K58" s="856">
        <f>IF(Summary!K20&gt;0,Summary!K20/Summary!K$34,0)</f>
        <v>2.9603907350507452E-2</v>
      </c>
      <c r="L58" s="856">
        <f>IF(Summary!L20&gt;0,Summary!L20/Summary!L$34,0)</f>
        <v>2.9554388522568083E-2</v>
      </c>
    </row>
    <row r="59" spans="1:12" ht="13.8">
      <c r="A59" s="650">
        <f>ROW()</f>
        <v>59</v>
      </c>
      <c r="B59" s="40" t="str">
        <f>+Summary!B21</f>
        <v>Federal Lunch Program</v>
      </c>
      <c r="C59" s="565">
        <f>IFERROR(Summary!C21/Summary!C$34,)</f>
        <v>4.1418853815085234E-2</v>
      </c>
      <c r="D59" s="565"/>
      <c r="E59" s="565"/>
      <c r="F59" s="856">
        <f>IF(Summary!F21&gt;0,Summary!F21/Summary!F$34,0)</f>
        <v>0</v>
      </c>
      <c r="G59" s="856">
        <f>IF(Summary!G21&gt;0,Summary!G21/Summary!G$34,0)</f>
        <v>4.8886824143229819E-2</v>
      </c>
      <c r="H59" s="856">
        <f>IF(Summary!H21&gt;0,Summary!H21/Summary!H$34,0)</f>
        <v>4.2964209106848145E-2</v>
      </c>
      <c r="I59" s="856">
        <f>IF(Summary!I21&gt;0,Summary!I21/Summary!I$34,0)</f>
        <v>4.2285564761585896E-2</v>
      </c>
      <c r="J59" s="856">
        <f>IF(Summary!J21&gt;0,Summary!J21/Summary!J$34,0)</f>
        <v>4.1200911353136062E-2</v>
      </c>
      <c r="K59" s="856">
        <f>IF(Summary!K21&gt;0,Summary!K21/Summary!K$34,0)</f>
        <v>4.1116537986815908E-2</v>
      </c>
      <c r="L59" s="856">
        <f>IF(Summary!L21&gt;0,Summary!L21/Summary!L$34,0)</f>
        <v>4.1047761836900121E-2</v>
      </c>
    </row>
    <row r="60" spans="1:12" ht="13.8">
      <c r="A60" s="650">
        <f>ROW()</f>
        <v>60</v>
      </c>
      <c r="B60" s="40" t="str">
        <f>+Summary!B22</f>
        <v>IDEA</v>
      </c>
      <c r="C60" s="565">
        <f>IFERROR(Summary!C22/Summary!C$34,)</f>
        <v>1.1296931824184652E-2</v>
      </c>
      <c r="D60" s="565"/>
      <c r="E60" s="565"/>
      <c r="F60" s="856">
        <f>IF(Summary!F22&gt;0,Summary!F22/Summary!F$34,0)</f>
        <v>0</v>
      </c>
      <c r="G60" s="856">
        <f>IF(Summary!G22&gt;0,Summary!G22/Summary!G$34,0)</f>
        <v>1.3333809813100811E-2</v>
      </c>
      <c r="H60" s="856">
        <f>IF(Summary!H22&gt;0,Summary!H22/Summary!H$34,0)</f>
        <v>1.1718425220721623E-2</v>
      </c>
      <c r="I60" s="856">
        <f>IF(Summary!I22&gt;0,Summary!I22/Summary!I$34,0)</f>
        <v>1.153332596772144E-2</v>
      </c>
      <c r="J60" s="856">
        <f>IF(Summary!J22&gt;0,Summary!J22/Summary!J$34,0)</f>
        <v>1.1237488336317344E-2</v>
      </c>
      <c r="K60" s="856">
        <f>IF(Summary!K22&gt;0,Summary!K22/Summary!K$34,0)</f>
        <v>1.1214475624006397E-2</v>
      </c>
      <c r="L60" s="856">
        <f>IF(Summary!L22&gt;0,Summary!L22/Summary!L$34,0)</f>
        <v>1.1195717029666792E-2</v>
      </c>
    </row>
    <row r="61" spans="1:12" ht="13.8">
      <c r="A61" s="650">
        <f>ROW()</f>
        <v>61</v>
      </c>
      <c r="B61" s="40" t="str">
        <f>+Summary!B23</f>
        <v>State Special Education Funding</v>
      </c>
      <c r="C61" s="565">
        <f>IFERROR(Summary!C23/Summary!C$34,)</f>
        <v>3.0346738362144455E-2</v>
      </c>
      <c r="D61" s="565"/>
      <c r="E61" s="565"/>
      <c r="F61" s="856">
        <f>IF(Summary!F23&gt;0,Summary!F23/Summary!F$34,0)</f>
        <v>0</v>
      </c>
      <c r="G61" s="856">
        <f>IF(Summary!G23&gt;0,Summary!G23/Summary!G$34,0)</f>
        <v>0</v>
      </c>
      <c r="H61" s="856">
        <f>IF(Summary!H23&gt;0,Summary!H23/Summary!H$34,0)</f>
        <v>2.7225070921601053E-2</v>
      </c>
      <c r="I61" s="856">
        <f>IF(Summary!I23&gt;0,Summary!I23/Summary!I$34,0)</f>
        <v>3.0144414710917219E-2</v>
      </c>
      <c r="J61" s="856">
        <f>IF(Summary!J23&gt;0,Summary!J23/Summary!J$34,0)</f>
        <v>3.4810299299250544E-2</v>
      </c>
      <c r="K61" s="856">
        <f>IF(Summary!K23&gt;0,Summary!K23/Summary!K$34,0)</f>
        <v>3.5173250622237424E-2</v>
      </c>
      <c r="L61" s="856">
        <f>IF(Summary!L23&gt;0,Summary!L23/Summary!L$34,0)</f>
        <v>3.5469106953335446E-2</v>
      </c>
    </row>
    <row r="62" spans="1:12" ht="13.8">
      <c r="A62" s="650">
        <f>ROW()</f>
        <v>62</v>
      </c>
      <c r="B62" s="40" t="str">
        <f>+Summary!B24</f>
        <v>"Replication &amp; Expansion" start-up funds</v>
      </c>
      <c r="C62" s="565">
        <f>IFERROR(Summary!C24/Summary!C$34,)</f>
        <v>0</v>
      </c>
      <c r="D62" s="565"/>
      <c r="E62" s="565"/>
      <c r="F62" s="856">
        <f>IF(Summary!F24&gt;0,Summary!F24/Summary!F$34,0)</f>
        <v>0</v>
      </c>
      <c r="G62" s="856">
        <f>IF(Summary!G24&gt;0,Summary!G24/Summary!G$34,0)</f>
        <v>0</v>
      </c>
      <c r="H62" s="856">
        <f>IF(Summary!H24&gt;0,Summary!H24/Summary!H$34,0)</f>
        <v>0</v>
      </c>
      <c r="I62" s="856">
        <f>IF(Summary!I24&gt;0,Summary!I24/Summary!I$34,0)</f>
        <v>0</v>
      </c>
      <c r="J62" s="856">
        <f>IF(Summary!J24&gt;0,Summary!J24/Summary!J$34,0)</f>
        <v>0</v>
      </c>
      <c r="K62" s="856">
        <f>IF(Summary!K24&gt;0,Summary!K24/Summary!K$34,0)</f>
        <v>0</v>
      </c>
      <c r="L62" s="856">
        <f>IF(Summary!L24&gt;0,Summary!L24/Summary!L$34,0)</f>
        <v>0</v>
      </c>
    </row>
    <row r="63" spans="1:12" ht="13.8">
      <c r="A63" s="650">
        <f>ROW()</f>
        <v>63</v>
      </c>
      <c r="B63" s="40" t="str">
        <f>+Summary!B25</f>
        <v>Charter School Program (CSP) Grant (w/letter)</v>
      </c>
      <c r="C63" s="565">
        <f>IFERROR(Summary!C25/Summary!C$34,)</f>
        <v>0</v>
      </c>
      <c r="D63" s="565"/>
      <c r="E63" s="565"/>
      <c r="F63" s="856">
        <f>IF(Summary!F25&gt;0,Summary!F25/Summary!F$34,0)</f>
        <v>0</v>
      </c>
      <c r="G63" s="856">
        <f>IF(Summary!G25&gt;0,Summary!G25/Summary!G$34,0)</f>
        <v>0</v>
      </c>
      <c r="H63" s="856">
        <f>IF(Summary!H25&gt;0,Summary!H25/Summary!H$34,0)</f>
        <v>0</v>
      </c>
      <c r="I63" s="856">
        <f>IF(Summary!I25&gt;0,Summary!I25/Summary!I$34,0)</f>
        <v>0</v>
      </c>
      <c r="J63" s="856">
        <f>IF(Summary!J25&gt;0,Summary!J25/Summary!J$34,0)</f>
        <v>0</v>
      </c>
      <c r="K63" s="856">
        <f>IF(Summary!K25&gt;0,Summary!K25/Summary!K$34,0)</f>
        <v>0</v>
      </c>
      <c r="L63" s="856">
        <f>IF(Summary!L25&gt;0,Summary!L25/Summary!L$34,0)</f>
        <v>0</v>
      </c>
    </row>
    <row r="64" spans="1:12" ht="13.8">
      <c r="A64" s="650">
        <f>ROW()</f>
        <v>64</v>
      </c>
      <c r="B64" s="40" t="str">
        <f>+Summary!B26</f>
        <v>Other start-up funds (incl' SEA grants)</v>
      </c>
      <c r="C64" s="565">
        <f>IFERROR(Summary!C26/Summary!C$34,)</f>
        <v>0</v>
      </c>
      <c r="D64" s="565"/>
      <c r="E64" s="565"/>
      <c r="F64" s="856">
        <f>IF(Summary!F26&gt;0,Summary!F26/Summary!F$34,0)</f>
        <v>0</v>
      </c>
      <c r="G64" s="856">
        <f>IF(Summary!G26&gt;0,Summary!G26/Summary!G$34,0)</f>
        <v>0</v>
      </c>
      <c r="H64" s="856">
        <f>IF(Summary!H26&gt;0,Summary!H26/Summary!H$34,0)</f>
        <v>0</v>
      </c>
      <c r="I64" s="856">
        <f>IF(Summary!I26&gt;0,Summary!I26/Summary!I$34,0)</f>
        <v>0</v>
      </c>
      <c r="J64" s="856">
        <f>IF(Summary!J26&gt;0,Summary!J26/Summary!J$34,0)</f>
        <v>0</v>
      </c>
      <c r="K64" s="856">
        <f>IF(Summary!K26&gt;0,Summary!K26/Summary!K$34,0)</f>
        <v>0</v>
      </c>
      <c r="L64" s="856">
        <f>IF(Summary!L26&gt;0,Summary!L26/Summary!L$34,0)</f>
        <v>0</v>
      </c>
    </row>
    <row r="65" spans="1:12" ht="13.8">
      <c r="A65" s="650">
        <f>ROW()</f>
        <v>65</v>
      </c>
      <c r="B65" s="40" t="str">
        <f>+Summary!B27</f>
        <v>Student fees (Net)</v>
      </c>
      <c r="C65" s="565">
        <f>IFERROR(Summary!C27/Summary!C$34,)</f>
        <v>1.8602151888880388E-3</v>
      </c>
      <c r="D65" s="565"/>
      <c r="E65" s="565"/>
      <c r="F65" s="856">
        <f>IF(Summary!F27&gt;0,Summary!F27/Summary!F$34,0)</f>
        <v>0</v>
      </c>
      <c r="G65" s="856">
        <f>IF(Summary!G27&gt;0,Summary!G27/Summary!G$34,0)</f>
        <v>2.1956187685380408E-3</v>
      </c>
      <c r="H65" s="856">
        <f>IF(Summary!H27&gt;0,Summary!H27/Summary!H$34,0)</f>
        <v>1.9296206195356361E-3</v>
      </c>
      <c r="I65" s="856">
        <f>IF(Summary!I27&gt;0,Summary!I27/Summary!I$34,0)</f>
        <v>1.8991411542045597E-3</v>
      </c>
      <c r="J65" s="856">
        <f>IF(Summary!J27&gt;0,Summary!J27/Summary!J$34,0)</f>
        <v>1.8504268958601459E-3</v>
      </c>
      <c r="K65" s="856">
        <f>IF(Summary!K27&gt;0,Summary!K27/Summary!K$34,0)</f>
        <v>1.8466374955482233E-3</v>
      </c>
      <c r="L65" s="856">
        <f>IF(Summary!L27&gt;0,Summary!L27/Summary!L$34,0)</f>
        <v>1.8435486017976193E-3</v>
      </c>
    </row>
    <row r="66" spans="1:12" ht="13.8">
      <c r="A66" s="650">
        <f>ROW()</f>
        <v>66</v>
      </c>
      <c r="B66" s="40" t="str">
        <f>+Summary!B28</f>
        <v>Food Services</v>
      </c>
      <c r="C66" s="565">
        <f>IFERROR(Summary!C28/Summary!C$34,)</f>
        <v>0</v>
      </c>
      <c r="D66" s="565"/>
      <c r="E66" s="565"/>
      <c r="F66" s="856">
        <f>IF(Summary!F28&gt;0,Summary!F28/Summary!F$34,0)</f>
        <v>0</v>
      </c>
      <c r="G66" s="856">
        <f>IF(Summary!G28&gt;0,Summary!G28/Summary!G$34,0)</f>
        <v>0</v>
      </c>
      <c r="H66" s="856">
        <f>IF(Summary!H28&gt;0,Summary!H28/Summary!H$34,0)</f>
        <v>0</v>
      </c>
      <c r="I66" s="856">
        <f>IF(Summary!I28&gt;0,Summary!I28/Summary!I$34,0)</f>
        <v>0</v>
      </c>
      <c r="J66" s="856">
        <f>IF(Summary!J28&gt;0,Summary!J28/Summary!J$34,0)</f>
        <v>0</v>
      </c>
      <c r="K66" s="856">
        <f>IF(Summary!K28&gt;0,Summary!K28/Summary!K$34,0)</f>
        <v>0</v>
      </c>
      <c r="L66" s="856">
        <f>IF(Summary!L28&gt;0,Summary!L28/Summary!L$34,0)</f>
        <v>0</v>
      </c>
    </row>
    <row r="67" spans="1:12" ht="13.8">
      <c r="A67" s="650">
        <f>ROW()</f>
        <v>67</v>
      </c>
      <c r="B67" s="40" t="str">
        <f>+Summary!B29</f>
        <v>Transportation</v>
      </c>
      <c r="C67" s="565">
        <f>IFERROR(Summary!C29/Summary!C$34,)</f>
        <v>0</v>
      </c>
      <c r="D67" s="565"/>
      <c r="E67" s="565"/>
      <c r="F67" s="856">
        <f>IF(Summary!F29&gt;0,Summary!F29/Summary!F$34,0)</f>
        <v>0</v>
      </c>
      <c r="G67" s="856">
        <f>IF(Summary!G29&gt;0,Summary!G29/Summary!G$34,0)</f>
        <v>0</v>
      </c>
      <c r="H67" s="856">
        <f>IF(Summary!H29&gt;0,Summary!H29/Summary!H$34,0)</f>
        <v>0</v>
      </c>
      <c r="I67" s="856">
        <f>IF(Summary!I29&gt;0,Summary!I29/Summary!I$34,0)</f>
        <v>0</v>
      </c>
      <c r="J67" s="856">
        <f>IF(Summary!J29&gt;0,Summary!J29/Summary!J$34,0)</f>
        <v>0</v>
      </c>
      <c r="K67" s="856">
        <f>IF(Summary!K29&gt;0,Summary!K29/Summary!K$34,0)</f>
        <v>0</v>
      </c>
      <c r="L67" s="856">
        <f>IF(Summary!L29&gt;0,Summary!L29/Summary!L$34,0)</f>
        <v>0</v>
      </c>
    </row>
    <row r="68" spans="1:12" ht="13.8">
      <c r="A68" s="650">
        <f>ROW()</f>
        <v>68</v>
      </c>
      <c r="B68" s="40" t="str">
        <f>+Summary!B30</f>
        <v>Investment Income</v>
      </c>
      <c r="C68" s="565">
        <f>IFERROR(Summary!C30/Summary!C$34,)</f>
        <v>0</v>
      </c>
      <c r="D68" s="565"/>
      <c r="E68" s="565"/>
      <c r="F68" s="856">
        <f>IF(Summary!F30&gt;0,Summary!F30/Summary!F$34,0)</f>
        <v>0</v>
      </c>
      <c r="G68" s="856">
        <f>IF(Summary!G30&gt;0,Summary!G30/Summary!G$34,0)</f>
        <v>0</v>
      </c>
      <c r="H68" s="856">
        <f>IF(Summary!H30&gt;0,Summary!H30/Summary!H$34,0)</f>
        <v>0</v>
      </c>
      <c r="I68" s="856">
        <f>IF(Summary!I30&gt;0,Summary!I30/Summary!I$34,0)</f>
        <v>0</v>
      </c>
      <c r="J68" s="856">
        <f>IF(Summary!J30&gt;0,Summary!J30/Summary!J$34,0)</f>
        <v>0</v>
      </c>
      <c r="K68" s="856">
        <f>IF(Summary!K30&gt;0,Summary!K30/Summary!K$34,0)</f>
        <v>0</v>
      </c>
      <c r="L68" s="856">
        <f>IF(Summary!L30&gt;0,Summary!L30/Summary!L$34,0)</f>
        <v>0</v>
      </c>
    </row>
    <row r="69" spans="1:12" ht="13.8">
      <c r="A69" s="650">
        <f>ROW()</f>
        <v>69</v>
      </c>
      <c r="B69" s="40" t="str">
        <f>+Summary!B31</f>
        <v>School level fundraising</v>
      </c>
      <c r="C69" s="565">
        <f>IFERROR(Summary!C31/Summary!C$34,)</f>
        <v>0</v>
      </c>
      <c r="D69" s="565"/>
      <c r="E69" s="565"/>
      <c r="F69" s="856">
        <f>IF(Summary!F31&gt;0,Summary!F31/Summary!F$34,0)</f>
        <v>0</v>
      </c>
      <c r="G69" s="856">
        <f>IF(Summary!G31&gt;0,Summary!G31/Summary!G$34,0)</f>
        <v>0</v>
      </c>
      <c r="H69" s="856">
        <f>IF(Summary!H31&gt;0,Summary!H31/Summary!H$34,0)</f>
        <v>0</v>
      </c>
      <c r="I69" s="856">
        <f>IF(Summary!I31&gt;0,Summary!I31/Summary!I$34,0)</f>
        <v>0</v>
      </c>
      <c r="J69" s="856">
        <f>IF(Summary!J31&gt;0,Summary!J31/Summary!J$34,0)</f>
        <v>0</v>
      </c>
      <c r="K69" s="856">
        <f>IF(Summary!K31&gt;0,Summary!K31/Summary!K$34,0)</f>
        <v>0</v>
      </c>
      <c r="L69" s="856">
        <f>IF(Summary!L31&gt;0,Summary!L31/Summary!L$34,0)</f>
        <v>0</v>
      </c>
    </row>
    <row r="70" spans="1:12" ht="13.8">
      <c r="A70" s="650">
        <f>ROW()</f>
        <v>70</v>
      </c>
      <c r="B70" s="40" t="str">
        <f>+Summary!B32</f>
        <v>Private fundraising (foundations, corporate)</v>
      </c>
      <c r="C70" s="565">
        <f>IFERROR(Summary!C32/Summary!C$34,)</f>
        <v>4.0369253231077231E-3</v>
      </c>
      <c r="D70" s="565"/>
      <c r="E70" s="565"/>
      <c r="F70" s="856">
        <f>IF(Summary!F32&gt;0,Summary!F32/Summary!F$34,0)</f>
        <v>0.25157232704402516</v>
      </c>
      <c r="G70" s="856">
        <f>IF(Summary!G32&gt;0,Summary!G32/Summary!G$34,0)</f>
        <v>0</v>
      </c>
      <c r="H70" s="856">
        <f>IF(Summary!H32&gt;0,Summary!H32/Summary!H$34,0)</f>
        <v>0</v>
      </c>
      <c r="I70" s="856">
        <f>IF(Summary!I32&gt;0,Summary!I32/Summary!I$34,0)</f>
        <v>0</v>
      </c>
      <c r="J70" s="856">
        <f>IF(Summary!J32&gt;0,Summary!J32/Summary!J$34,0)</f>
        <v>0</v>
      </c>
      <c r="K70" s="856">
        <f>IF(Summary!K32&gt;0,Summary!K32/Summary!K$34,0)</f>
        <v>0</v>
      </c>
      <c r="L70" s="856">
        <f>IF(Summary!L32&gt;0,Summary!L32/Summary!L$34,0)</f>
        <v>0</v>
      </c>
    </row>
    <row r="71" spans="1:12" ht="13.8">
      <c r="A71" s="650">
        <f>ROW()</f>
        <v>71</v>
      </c>
      <c r="B71" s="40" t="str">
        <f>+Summary!B33</f>
        <v>Private fundraising (individuals)</v>
      </c>
      <c r="C71" s="565">
        <f>IFERROR(Summary!C33/Summary!C$34,)</f>
        <v>1.3180561179946716E-2</v>
      </c>
      <c r="D71" s="565"/>
      <c r="E71" s="565"/>
      <c r="F71" s="856">
        <f>IF(Summary!F33&gt;0,Summary!F33/Summary!F$34,0)</f>
        <v>0.74842767295597479</v>
      </c>
      <c r="G71" s="856">
        <f>IF(Summary!G33&gt;0,Summary!G33/Summary!G$34,0)</f>
        <v>1.6581495908229996E-2</v>
      </c>
      <c r="H71" s="856">
        <f>IF(Summary!H33&gt;0,Summary!H33/Summary!H$34,0)</f>
        <v>0</v>
      </c>
      <c r="I71" s="856">
        <f>IF(Summary!I33&gt;0,Summary!I33/Summary!I$34,0)</f>
        <v>0</v>
      </c>
      <c r="J71" s="856">
        <f>IF(Summary!J33&gt;0,Summary!J33/Summary!J$34,0)</f>
        <v>0</v>
      </c>
      <c r="K71" s="856">
        <f>IF(Summary!K33&gt;0,Summary!K33/Summary!K$34,0)</f>
        <v>0</v>
      </c>
      <c r="L71" s="856">
        <f>IF(Summary!L33&gt;0,Summary!L33/Summary!L$34,0)</f>
        <v>0</v>
      </c>
    </row>
    <row r="72" spans="1:12" ht="13.8">
      <c r="A72" s="650">
        <f>ROW()</f>
        <v>72</v>
      </c>
      <c r="B72" s="1119" t="s">
        <v>196</v>
      </c>
      <c r="C72" s="904">
        <f>IFERROR(Summary!C34/Summary!C$34,0)</f>
        <v>1</v>
      </c>
      <c r="D72" s="904"/>
      <c r="E72" s="904"/>
      <c r="F72" s="1611">
        <f>IF(Summary!F34&gt;0,Summary!F34/Summary!F$34,0)</f>
        <v>1</v>
      </c>
      <c r="G72" s="1611">
        <f>IF(Summary!G34&gt;0,Summary!G34/Summary!G$34,0)</f>
        <v>1</v>
      </c>
      <c r="H72" s="1611">
        <f>IF(Summary!H34&gt;0,Summary!H34/Summary!H$34,0)</f>
        <v>1</v>
      </c>
      <c r="I72" s="1611">
        <f>IF(Summary!I34&gt;0,Summary!I34/Summary!I$34,0)</f>
        <v>1</v>
      </c>
      <c r="J72" s="1611">
        <f>IF(Summary!J34&gt;0,Summary!J34/Summary!J$34,0)</f>
        <v>1</v>
      </c>
      <c r="K72" s="1611">
        <f>IF(Summary!K34&gt;0,Summary!K34/Summary!K$34,0)</f>
        <v>1</v>
      </c>
      <c r="L72" s="1611">
        <f>IF(Summary!L34&gt;0,Summary!L34/Summary!L$34,0)</f>
        <v>1</v>
      </c>
    </row>
    <row r="73" spans="1:12" ht="13.8">
      <c r="A73" s="650">
        <f>ROW()</f>
        <v>73</v>
      </c>
      <c r="B73" s="40"/>
      <c r="C73" s="423"/>
      <c r="D73" s="423"/>
      <c r="E73" s="423"/>
      <c r="F73" s="688"/>
      <c r="G73" s="688"/>
      <c r="H73" s="688"/>
      <c r="I73" s="688"/>
      <c r="J73" s="688"/>
      <c r="K73" s="688"/>
      <c r="L73" s="688"/>
    </row>
    <row r="74" spans="1:12" ht="13.8">
      <c r="A74" s="650">
        <f>ROW()</f>
        <v>74</v>
      </c>
      <c r="B74" s="1251" t="s">
        <v>145</v>
      </c>
      <c r="C74" s="1252"/>
      <c r="D74" s="1252"/>
      <c r="E74" s="1252"/>
      <c r="F74" s="1253"/>
      <c r="G74" s="1253"/>
      <c r="H74" s="1253"/>
      <c r="I74" s="1253"/>
      <c r="J74" s="1253"/>
      <c r="K74" s="1253"/>
      <c r="L74" s="1253"/>
    </row>
    <row r="75" spans="1:12" ht="13.8">
      <c r="A75" s="650">
        <f>ROW()</f>
        <v>75</v>
      </c>
      <c r="B75" s="37" t="s">
        <v>146</v>
      </c>
      <c r="C75" s="569">
        <f>IFERROR(Summary!C42/Summary!C$34,0)</f>
        <v>0.5462351885608413</v>
      </c>
      <c r="D75" s="569"/>
      <c r="E75" s="569"/>
      <c r="F75" s="881">
        <f>IFERROR(Summary!F42/Summary!F$34,0)</f>
        <v>0.32397132075471702</v>
      </c>
      <c r="G75" s="881">
        <f>IFERROR(Summary!G42/Summary!G$34,0)</f>
        <v>0.51941287495979704</v>
      </c>
      <c r="H75" s="881">
        <f>IFERROR(Summary!H42/Summary!H$34,0)</f>
        <v>0.52535169590195951</v>
      </c>
      <c r="I75" s="881">
        <f>IFERROR(Summary!I42/Summary!I$34,0)</f>
        <v>0.58327768016608417</v>
      </c>
      <c r="J75" s="881">
        <f>IFERROR(Summary!J42/Summary!J$34,0)</f>
        <v>0.56104121368650239</v>
      </c>
      <c r="K75" s="881">
        <f>IFERROR(Summary!K42/Summary!K$34,0)</f>
        <v>0.57125327779258728</v>
      </c>
      <c r="L75" s="881">
        <f>IFERROR(Summary!L42/Summary!L$34,0)</f>
        <v>0.51980558270083466</v>
      </c>
    </row>
    <row r="76" spans="1:12" ht="13.8">
      <c r="A76" s="650">
        <f>ROW()</f>
        <v>76</v>
      </c>
      <c r="B76" s="37" t="s">
        <v>105</v>
      </c>
      <c r="C76" s="569">
        <f>IFERROR(Summary!C43/Summary!C$34,0)</f>
        <v>0.14749047960360373</v>
      </c>
      <c r="D76" s="569"/>
      <c r="E76" s="566"/>
      <c r="F76" s="881">
        <f>IFERROR(Summary!F43/Summary!F$34,0)</f>
        <v>0</v>
      </c>
      <c r="G76" s="881">
        <f>IFERROR(Summary!G43/Summary!G$34,0)</f>
        <v>0.21012757745774219</v>
      </c>
      <c r="H76" s="881">
        <f>IFERROR(Summary!H43/Summary!H$34,0)</f>
        <v>0.12612884778735536</v>
      </c>
      <c r="I76" s="881">
        <f>IFERROR(Summary!I43/Summary!I$34,0)</f>
        <v>9.6158857971873055E-2</v>
      </c>
      <c r="J76" s="881">
        <f>IFERROR(Summary!J43/Summary!J$34,0)</f>
        <v>0.17508379483398948</v>
      </c>
      <c r="K76" s="881">
        <f>IFERROR(Summary!K43/Summary!K$34,0)</f>
        <v>0.16158078086046954</v>
      </c>
      <c r="L76" s="881">
        <f>IFERROR(Summary!L43/Summary!L$34,0)</f>
        <v>0.15069176745801705</v>
      </c>
    </row>
    <row r="77" spans="1:12" ht="13.8">
      <c r="A77" s="650">
        <f>ROW()</f>
        <v>77</v>
      </c>
      <c r="B77" s="37" t="s">
        <v>147</v>
      </c>
      <c r="C77" s="569">
        <f>IFERROR(Summary!C44/Summary!C$34,0)</f>
        <v>0.14605451955817378</v>
      </c>
      <c r="D77" s="569"/>
      <c r="E77" s="566"/>
      <c r="F77" s="881">
        <f>IFERROR(Summary!F44/Summary!F$34,0)</f>
        <v>0.6131345911949686</v>
      </c>
      <c r="G77" s="881">
        <f>IFERROR(Summary!G44/Summary!G$34,0)</f>
        <v>0.16757073937747918</v>
      </c>
      <c r="H77" s="881">
        <f>IFERROR(Summary!H44/Summary!H$34,0)</f>
        <v>0.13673594327138219</v>
      </c>
      <c r="I77" s="881">
        <f>IFERROR(Summary!I44/Summary!I$34,0)</f>
        <v>0.13391478125501913</v>
      </c>
      <c r="J77" s="881">
        <f>IFERROR(Summary!J44/Summary!J$34,0)</f>
        <v>0.13339142258333769</v>
      </c>
      <c r="K77" s="881">
        <f>IFERROR(Summary!K44/Summary!K$34,0)</f>
        <v>0.13639742356779247</v>
      </c>
      <c r="L77" s="881">
        <f>IFERROR(Summary!L44/Summary!L$34,0)</f>
        <v>0.13958533568970075</v>
      </c>
    </row>
    <row r="78" spans="1:12" ht="13.8">
      <c r="A78" s="650">
        <f>ROW()</f>
        <v>78</v>
      </c>
      <c r="B78" s="37" t="s">
        <v>1224</v>
      </c>
      <c r="C78" s="569">
        <f>IFERROR(Summary!C45/Summary!C$34,0)</f>
        <v>0</v>
      </c>
      <c r="D78" s="569"/>
      <c r="E78" s="566"/>
      <c r="F78" s="881">
        <f>IFERROR(Summary!F45/Summary!F$34,0)</f>
        <v>0</v>
      </c>
      <c r="G78" s="881">
        <f>IFERROR(Summary!G45/Summary!G$34,0)</f>
        <v>0</v>
      </c>
      <c r="H78" s="881">
        <f>IFERROR(Summary!H45/Summary!H$34,0)</f>
        <v>0</v>
      </c>
      <c r="I78" s="881">
        <f>IFERROR(Summary!I45/Summary!I$34,0)</f>
        <v>0</v>
      </c>
      <c r="J78" s="881">
        <f>IFERROR(Summary!J45/Summary!J$34,0)</f>
        <v>0</v>
      </c>
      <c r="K78" s="881">
        <f>IFERROR(Summary!K45/Summary!K$34,0)</f>
        <v>0</v>
      </c>
      <c r="L78" s="881">
        <f>IFERROR(Summary!L45/Summary!L$34,0)</f>
        <v>0</v>
      </c>
    </row>
    <row r="79" spans="1:12" ht="13.8">
      <c r="A79" s="650">
        <f>ROW()</f>
        <v>79</v>
      </c>
      <c r="B79" s="40" t="s">
        <v>110</v>
      </c>
      <c r="C79" s="569">
        <f>IFERROR(Summary!C46/Summary!C$34,0)</f>
        <v>8.8812357108369899E-4</v>
      </c>
      <c r="D79" s="565"/>
      <c r="E79" s="567"/>
      <c r="F79" s="856">
        <f>IFERROR(Summary!F46/Summary!F$34,0)</f>
        <v>0</v>
      </c>
      <c r="G79" s="856">
        <f>IFERROR(Summary!G46/Summary!G$34,0)</f>
        <v>2.2871028838937929E-3</v>
      </c>
      <c r="H79" s="856">
        <f>IFERROR(Summary!H46/Summary!H$34,0)</f>
        <v>2.0100214786829542E-3</v>
      </c>
      <c r="I79" s="856">
        <f>IFERROR(Summary!I46/Summary!I$34,0)</f>
        <v>7.4185201336115613E-4</v>
      </c>
      <c r="J79" s="856">
        <f>IFERROR(Summary!J46/Summary!J$34,0)</f>
        <v>6.425093388403285E-4</v>
      </c>
      <c r="K79" s="856">
        <f>IFERROR(Summary!K46/Summary!K$34,0)</f>
        <v>5.7707421735881976E-4</v>
      </c>
      <c r="L79" s="856">
        <f>IFERROR(Summary!L46/Summary!L$34,0)</f>
        <v>5.2373539823796008E-4</v>
      </c>
    </row>
    <row r="80" spans="1:12" ht="13.8">
      <c r="A80" s="650">
        <f>ROW()</f>
        <v>80</v>
      </c>
      <c r="B80" s="40" t="s">
        <v>107</v>
      </c>
      <c r="C80" s="569">
        <f>IFERROR(Summary!C47/Summary!C$34,0)</f>
        <v>2.9642698471810693E-2</v>
      </c>
      <c r="D80" s="565"/>
      <c r="E80" s="567"/>
      <c r="F80" s="856">
        <f>IFERROR(Summary!F47/Summary!F$34,0)</f>
        <v>0</v>
      </c>
      <c r="G80" s="856">
        <f>IFERROR(Summary!G47/Summary!G$34,0)</f>
        <v>6.3448029407016826E-2</v>
      </c>
      <c r="H80" s="856">
        <f>IFERROR(Summary!H47/Summary!H$34,0)</f>
        <v>3.6327718055179148E-2</v>
      </c>
      <c r="I80" s="856">
        <f>IFERROR(Summary!I47/Summary!I$34,0)</f>
        <v>3.028431052342178E-2</v>
      </c>
      <c r="J80" s="856">
        <f>IFERROR(Summary!J47/Summary!J$34,0)</f>
        <v>2.6701497789113147E-2</v>
      </c>
      <c r="K80" s="856">
        <f>IFERROR(Summary!K47/Summary!K$34,0)</f>
        <v>2.5375934851717182E-2</v>
      </c>
      <c r="L80" s="856">
        <f>IFERROR(Summary!L47/Summary!L$34,0)</f>
        <v>2.3711264022425991E-2</v>
      </c>
    </row>
    <row r="81" spans="1:12" ht="13.8">
      <c r="A81" s="650">
        <f>ROW()</f>
        <v>81</v>
      </c>
      <c r="B81" s="40" t="s">
        <v>139</v>
      </c>
      <c r="C81" s="569">
        <f>IFERROR(Summary!C48/Summary!C$34,0)</f>
        <v>2.4705982977419262E-3</v>
      </c>
      <c r="D81" s="565"/>
      <c r="E81" s="567"/>
      <c r="F81" s="856">
        <f>IFERROR(Summary!F48/Summary!F$34,0)</f>
        <v>0</v>
      </c>
      <c r="G81" s="856">
        <f>IFERROR(Summary!G48/Summary!G$34,0)</f>
        <v>4.1167851910088272E-3</v>
      </c>
      <c r="H81" s="856">
        <f>IFERROR(Summary!H48/Summary!H$34,0)</f>
        <v>3.6180386616293174E-3</v>
      </c>
      <c r="I81" s="856">
        <f>IFERROR(Summary!I48/Summary!I$34,0)</f>
        <v>2.6706672481001622E-3</v>
      </c>
      <c r="J81" s="856">
        <f>IFERROR(Summary!J48/Summary!J$34,0)</f>
        <v>2.3130336198251824E-3</v>
      </c>
      <c r="K81" s="856">
        <f>IFERROR(Summary!K48/Summary!K$34,0)</f>
        <v>2.0774671824917513E-3</v>
      </c>
      <c r="L81" s="856">
        <f>IFERROR(Summary!L48/Summary!L$34,0)</f>
        <v>1.8854474336566561E-3</v>
      </c>
    </row>
    <row r="82" spans="1:12" ht="13.8">
      <c r="A82" s="650">
        <f>ROW()</f>
        <v>82</v>
      </c>
      <c r="B82" s="40" t="s">
        <v>149</v>
      </c>
      <c r="C82" s="569">
        <f>IFERROR(Summary!C49/Summary!C$34,0)</f>
        <v>6.1170469186005915E-3</v>
      </c>
      <c r="D82" s="565"/>
      <c r="E82" s="567"/>
      <c r="F82" s="856">
        <f>IFERROR(Summary!F49/Summary!F$34,0)</f>
        <v>0</v>
      </c>
      <c r="G82" s="856">
        <f>IFERROR(Summary!G49/Summary!G$34,0)</f>
        <v>1.3734624593503199E-2</v>
      </c>
      <c r="H82" s="856">
        <f>IFERROR(Summary!H49/Summary!H$34,0)</f>
        <v>8.2080634097053511E-3</v>
      </c>
      <c r="I82" s="856">
        <f>IFERROR(Summary!I49/Summary!I$34,0)</f>
        <v>6.1799854374504802E-3</v>
      </c>
      <c r="J82" s="856">
        <f>IFERROR(Summary!J49/Summary!J$34,0)</f>
        <v>5.4594612559697026E-3</v>
      </c>
      <c r="K82" s="856">
        <f>IFERROR(Summary!K49/Summary!K$34,0)</f>
        <v>5.0015220384491662E-3</v>
      </c>
      <c r="L82" s="856">
        <f>IFERROR(Summary!L49/Summary!L$34,0)</f>
        <v>4.6300173166007666E-3</v>
      </c>
    </row>
    <row r="83" spans="1:12" ht="13.8">
      <c r="A83" s="650">
        <f>ROW()</f>
        <v>83</v>
      </c>
      <c r="B83" s="40" t="s">
        <v>197</v>
      </c>
      <c r="C83" s="569">
        <f>IFERROR(Summary!#REF!/Summary!C$34,0)</f>
        <v>0</v>
      </c>
      <c r="D83" s="565"/>
      <c r="E83" s="567"/>
      <c r="F83" s="856">
        <f>IFERROR(Summary!#REF!/Summary!F$34,0)</f>
        <v>0</v>
      </c>
      <c r="G83" s="856">
        <f>IFERROR(Summary!#REF!/Summary!G$34,0)</f>
        <v>0</v>
      </c>
      <c r="H83" s="856">
        <f>IFERROR(Summary!#REF!/Summary!H$34,0)</f>
        <v>0</v>
      </c>
      <c r="I83" s="856">
        <f>IFERROR(Summary!#REF!/Summary!I$34,0)</f>
        <v>0</v>
      </c>
      <c r="J83" s="856">
        <f>IFERROR(Summary!#REF!/Summary!J$34,0)</f>
        <v>0</v>
      </c>
      <c r="K83" s="856">
        <f>IFERROR(Summary!#REF!/Summary!K$34,0)</f>
        <v>0</v>
      </c>
      <c r="L83" s="856">
        <f>IFERROR(Summary!#REF!/Summary!L$34,0)</f>
        <v>0</v>
      </c>
    </row>
    <row r="84" spans="1:12" ht="14.4" thickBot="1">
      <c r="A84" s="650">
        <f>ROW()</f>
        <v>84</v>
      </c>
      <c r="B84" s="1954" t="s">
        <v>150</v>
      </c>
      <c r="C84" s="904">
        <f>IFERROR(Summary!C50/Summary!C$34,0)</f>
        <v>0.87889865498185571</v>
      </c>
      <c r="D84" s="904"/>
      <c r="E84" s="904"/>
      <c r="F84" s="1611">
        <f>IFERROR(Summary!F50/Summary!F$34,0)</f>
        <v>0.93710591194968551</v>
      </c>
      <c r="G84" s="1611">
        <f>IFERROR(Summary!G50/Summary!G$34,0)</f>
        <v>0.98069773387044101</v>
      </c>
      <c r="H84" s="1611">
        <f>IFERROR(Summary!H50/Summary!H$34,0)</f>
        <v>0.83838032856589384</v>
      </c>
      <c r="I84" s="1611">
        <f>IFERROR(Summary!I50/Summary!I$34,0)</f>
        <v>0.85322813461531</v>
      </c>
      <c r="J84" s="1611">
        <f>IFERROR(Summary!J50/Summary!J$34,0)</f>
        <v>0.90463293310757786</v>
      </c>
      <c r="K84" s="1611">
        <f>IFERROR(Summary!K50/Summary!K$34,0)</f>
        <v>0.90226348051086602</v>
      </c>
      <c r="L84" s="1611">
        <f>IFERROR(Summary!L50/Summary!L$34,0)</f>
        <v>0.84083315001947367</v>
      </c>
    </row>
    <row r="85" spans="1:12" ht="14.4" thickBot="1">
      <c r="A85" s="650">
        <f>ROW()</f>
        <v>85</v>
      </c>
      <c r="B85" s="570" t="s">
        <v>198</v>
      </c>
      <c r="C85" s="591">
        <f>IFERROR(Summary!C53/Summary!C$34,0)</f>
        <v>0.12110134501814425</v>
      </c>
      <c r="D85" s="591"/>
      <c r="E85" s="591"/>
      <c r="F85" s="857">
        <f>IFERROR(Summary!F53/Summary!F$34,0)</f>
        <v>6.2894088050314517E-2</v>
      </c>
      <c r="G85" s="857">
        <f>IFERROR(Summary!G53/Summary!G$34,0)</f>
        <v>1.9302266129558966E-2</v>
      </c>
      <c r="H85" s="857">
        <f>IFERROR(Summary!H53/Summary!H$34,0)</f>
        <v>0.16161967143410619</v>
      </c>
      <c r="I85" s="857">
        <f>IFERROR(Summary!I53/Summary!I$34,0)</f>
        <v>0.14677186538468998</v>
      </c>
      <c r="J85" s="857">
        <f>IFERROR(Summary!J53/Summary!J$34,0)</f>
        <v>9.536706689242215E-2</v>
      </c>
      <c r="K85" s="857">
        <f>IFERROR(Summary!K53/Summary!K$34,0)</f>
        <v>9.7736519489133949E-2</v>
      </c>
      <c r="L85" s="857">
        <f>IFERROR(Summary!L53/Summary!L$34,0)</f>
        <v>0.1591668499805263</v>
      </c>
    </row>
    <row r="86" spans="1:12" ht="14.4">
      <c r="A86" s="650">
        <f>ROW()</f>
        <v>86</v>
      </c>
      <c r="B86" s="572" t="s">
        <v>153</v>
      </c>
      <c r="C86" s="938"/>
      <c r="D86" s="938"/>
      <c r="E86" s="938"/>
      <c r="F86" s="844">
        <f>+Summary!F54</f>
        <v>0</v>
      </c>
      <c r="G86" s="844">
        <f>+Summary!G54</f>
        <v>168.79228534482769</v>
      </c>
      <c r="H86" s="844">
        <f>+Summary!H54</f>
        <v>1608.1387502386872</v>
      </c>
      <c r="I86" s="844">
        <f>+Summary!I54</f>
        <v>1483.8390549049807</v>
      </c>
      <c r="J86" s="844">
        <f>+Summary!J54</f>
        <v>989.52716718018053</v>
      </c>
      <c r="K86" s="844">
        <f>+Summary!K54</f>
        <v>1016.1935835892205</v>
      </c>
      <c r="L86" s="844">
        <f>+Summary!L54</f>
        <v>1657.6745070058023</v>
      </c>
    </row>
    <row r="87" spans="1:12" ht="13.8">
      <c r="A87" s="650">
        <f>ROW()</f>
        <v>87</v>
      </c>
      <c r="B87" s="40"/>
      <c r="C87" s="70"/>
      <c r="D87" s="70"/>
      <c r="E87" s="70"/>
      <c r="F87" s="330"/>
      <c r="G87" s="330"/>
      <c r="H87" s="330"/>
      <c r="I87" s="330"/>
      <c r="J87" s="330"/>
      <c r="K87" s="330"/>
      <c r="L87" s="330"/>
    </row>
    <row r="88" spans="1:12" ht="13.8">
      <c r="A88" s="650">
        <f>ROW()</f>
        <v>88</v>
      </c>
      <c r="B88" s="40" t="s">
        <v>199</v>
      </c>
      <c r="C88" s="939">
        <f>+C16</f>
        <v>0</v>
      </c>
      <c r="D88" s="939"/>
      <c r="E88" s="939"/>
      <c r="F88" s="330">
        <f t="shared" ref="F88:L88" si="13">+F16</f>
        <v>25000.400000000023</v>
      </c>
      <c r="G88" s="330">
        <f t="shared" si="13"/>
        <v>58758.857068965561</v>
      </c>
      <c r="H88" s="330">
        <f t="shared" si="13"/>
        <v>541200.48214057169</v>
      </c>
      <c r="I88" s="330">
        <f t="shared" si="13"/>
        <v>1134736.104102564</v>
      </c>
      <c r="J88" s="330">
        <f t="shared" si="13"/>
        <v>1580023.3293336453</v>
      </c>
      <c r="K88" s="330">
        <f t="shared" si="13"/>
        <v>2088120.1211282555</v>
      </c>
      <c r="L88" s="330">
        <f t="shared" si="13"/>
        <v>2999841.0999814468</v>
      </c>
    </row>
    <row r="89" spans="1:12" ht="13.8">
      <c r="A89" s="650">
        <f>ROW()</f>
        <v>89</v>
      </c>
      <c r="B89" s="40"/>
      <c r="C89" s="40"/>
      <c r="D89" s="40"/>
      <c r="E89" s="40"/>
      <c r="F89" s="687"/>
      <c r="G89" s="687"/>
      <c r="H89" s="687"/>
      <c r="I89" s="687"/>
      <c r="J89" s="687"/>
      <c r="K89" s="687"/>
      <c r="L89" s="687"/>
    </row>
    <row r="90" spans="1:12" ht="17.399999999999999">
      <c r="A90" s="650">
        <f>ROW()</f>
        <v>90</v>
      </c>
      <c r="B90" s="1246" t="s">
        <v>200</v>
      </c>
      <c r="C90" s="1247"/>
      <c r="D90" s="1247"/>
      <c r="E90" s="1247"/>
      <c r="F90" s="1254" t="str">
        <f>Summary!F6</f>
        <v>SY 0/Incu</v>
      </c>
      <c r="G90" s="1255">
        <f>Summary!G6</f>
        <v>1</v>
      </c>
      <c r="H90" s="1255">
        <f>Summary!H6</f>
        <v>2</v>
      </c>
      <c r="I90" s="1255">
        <f>Summary!I6</f>
        <v>3</v>
      </c>
      <c r="J90" s="1255">
        <f>Summary!J6</f>
        <v>4</v>
      </c>
      <c r="K90" s="1255">
        <f>Summary!K6</f>
        <v>5</v>
      </c>
      <c r="L90" s="1255">
        <f>Summary!L6</f>
        <v>6</v>
      </c>
    </row>
    <row r="91" spans="1:12" ht="13.8">
      <c r="A91" s="650">
        <f>ROW()</f>
        <v>91</v>
      </c>
      <c r="B91" s="1256" t="s">
        <v>1251</v>
      </c>
      <c r="C91" s="1257" t="s">
        <v>201</v>
      </c>
      <c r="D91" s="1258"/>
      <c r="E91" s="1258"/>
      <c r="F91" s="1259"/>
      <c r="G91" s="1259"/>
      <c r="H91" s="1259"/>
      <c r="I91" s="1259"/>
      <c r="J91" s="1259"/>
      <c r="K91" s="1259"/>
      <c r="L91" s="1259"/>
    </row>
    <row r="92" spans="1:12" ht="13.8">
      <c r="A92" s="650">
        <f>ROW()</f>
        <v>92</v>
      </c>
      <c r="B92" s="40" t="str">
        <f>+B52</f>
        <v>State &amp; Local Revenue w/o St SpEd</v>
      </c>
      <c r="C92" s="420">
        <f t="shared" ref="C92:C109" si="14">AVERAGE(G92:L92)</f>
        <v>8397.4819449201768</v>
      </c>
      <c r="D92" s="564"/>
      <c r="E92" s="565"/>
      <c r="F92" s="859"/>
      <c r="G92" s="859">
        <f>IFERROR(Summary!G14/G$19,0)</f>
        <v>7293</v>
      </c>
      <c r="H92" s="859">
        <f>IFERROR(Summary!H14/H$19,0)</f>
        <v>8380.556120506666</v>
      </c>
      <c r="I92" s="859">
        <f>IFERROR(Summary!I14/I$19,0)</f>
        <v>8507.3843855700015</v>
      </c>
      <c r="J92" s="859">
        <f>IFERROR(Summary!J14/J$19,0)</f>
        <v>8718.7648273422219</v>
      </c>
      <c r="K92" s="859">
        <f>IFERROR(Summary!K14/K$19,0)</f>
        <v>8735.6752626839989</v>
      </c>
      <c r="L92" s="859">
        <f>IFERROR(Summary!L14/L$19,0)</f>
        <v>8749.5110734181817</v>
      </c>
    </row>
    <row r="93" spans="1:12" ht="13.8">
      <c r="A93" s="650">
        <f>ROW()</f>
        <v>93</v>
      </c>
      <c r="B93" s="40" t="str">
        <f>+B53</f>
        <v>CS Sponsorship Fee (Infl' Adj'd)</v>
      </c>
      <c r="C93" s="67">
        <f t="shared" si="14"/>
        <v>-99.386159943994116</v>
      </c>
      <c r="D93" s="66"/>
      <c r="E93" s="565"/>
      <c r="F93" s="860"/>
      <c r="G93" s="860">
        <f>IFERROR(Summary!G15/G$19,0)</f>
        <v>-91.162499999999994</v>
      </c>
      <c r="H93" s="860">
        <f>IFERROR(Summary!H15/H$19,0)</f>
        <v>-99.157023966666657</v>
      </c>
      <c r="I93" s="860">
        <f>IFERROR(Summary!I15/I$19,0)</f>
        <v>-100.15633946250001</v>
      </c>
      <c r="J93" s="860">
        <f>IFERROR(Summary!J15/J$19,0)</f>
        <v>-101.8218652888889</v>
      </c>
      <c r="K93" s="860">
        <f>IFERROR(Summary!K15/K$19,0)</f>
        <v>-101.955107355</v>
      </c>
      <c r="L93" s="860">
        <f>IFERROR(Summary!L15/L$19,0)</f>
        <v>-102.06412359090909</v>
      </c>
    </row>
    <row r="94" spans="1:12" ht="13.8">
      <c r="A94" s="650">
        <f>ROW()</f>
        <v>94</v>
      </c>
      <c r="B94" s="40" t="s">
        <v>134</v>
      </c>
      <c r="C94" s="67">
        <f t="shared" si="14"/>
        <v>278.65757407407409</v>
      </c>
      <c r="D94" s="66"/>
      <c r="E94" s="565"/>
      <c r="F94" s="860"/>
      <c r="G94" s="860">
        <f>IFERROR(Summary!G23/G$19,0)</f>
        <v>0</v>
      </c>
      <c r="H94" s="860">
        <f>IFERROR(Summary!H23/H$19,0)</f>
        <v>270.89333333333332</v>
      </c>
      <c r="I94" s="860">
        <f>IFERROR(Summary!I23/I$19,0)</f>
        <v>304.755</v>
      </c>
      <c r="J94" s="860">
        <f>IFERROR(Summary!J23/J$19,0)</f>
        <v>361.19111111111113</v>
      </c>
      <c r="K94" s="860">
        <f>IFERROR(Summary!K23/K$19,0)</f>
        <v>365.70600000000002</v>
      </c>
      <c r="L94" s="860">
        <f>IFERROR(Summary!L23/L$19,0)</f>
        <v>369.4</v>
      </c>
    </row>
    <row r="95" spans="1:12" ht="13.8">
      <c r="A95" s="650">
        <f>ROW()</f>
        <v>95</v>
      </c>
      <c r="B95" s="40" t="s">
        <v>127</v>
      </c>
      <c r="C95" s="67">
        <f t="shared" si="14"/>
        <v>427.5</v>
      </c>
      <c r="D95" s="66"/>
      <c r="E95" s="565"/>
      <c r="F95" s="860"/>
      <c r="G95" s="860">
        <f>IFERROR(Summary!G16/G$19,0)</f>
        <v>427.5</v>
      </c>
      <c r="H95" s="860">
        <f>IFERROR(Summary!H16/H$19,0)</f>
        <v>427.5</v>
      </c>
      <c r="I95" s="860">
        <f>IFERROR(Summary!I16/I$19,0)</f>
        <v>427.5</v>
      </c>
      <c r="J95" s="860">
        <f>IFERROR(Summary!J16/J$19,0)</f>
        <v>427.5</v>
      </c>
      <c r="K95" s="860">
        <f>IFERROR(Summary!K16/K$19,0)</f>
        <v>427.5</v>
      </c>
      <c r="L95" s="860">
        <f>IFERROR(Summary!L16/L$19,0)</f>
        <v>427.5</v>
      </c>
    </row>
    <row r="96" spans="1:12" ht="13.8">
      <c r="A96" s="650">
        <f>ROW()</f>
        <v>96</v>
      </c>
      <c r="B96" s="40" t="s">
        <v>128</v>
      </c>
      <c r="C96" s="67">
        <f t="shared" si="14"/>
        <v>69.25</v>
      </c>
      <c r="D96" s="66"/>
      <c r="E96" s="565"/>
      <c r="F96" s="860"/>
      <c r="G96" s="860">
        <f>IFERROR(Summary!G17/G$19,0)</f>
        <v>69.25</v>
      </c>
      <c r="H96" s="860">
        <f>IFERROR(Summary!H17/H$19,0)</f>
        <v>69.25</v>
      </c>
      <c r="I96" s="860">
        <f>IFERROR(Summary!I17/I$19,0)</f>
        <v>69.25</v>
      </c>
      <c r="J96" s="860">
        <f>IFERROR(Summary!J17/J$19,0)</f>
        <v>69.25</v>
      </c>
      <c r="K96" s="860">
        <f>IFERROR(Summary!K17/K$19,0)</f>
        <v>69.25</v>
      </c>
      <c r="L96" s="860">
        <f>IFERROR(Summary!L17/L$19,0)</f>
        <v>69.25</v>
      </c>
    </row>
    <row r="97" spans="1:12" ht="13.8">
      <c r="A97" s="650">
        <f>ROW()</f>
        <v>97</v>
      </c>
      <c r="B97" s="40" t="s">
        <v>129</v>
      </c>
      <c r="C97" s="67">
        <f t="shared" si="14"/>
        <v>30</v>
      </c>
      <c r="D97" s="66"/>
      <c r="E97" s="565"/>
      <c r="F97" s="860"/>
      <c r="G97" s="860">
        <f>IFERROR(Summary!G18/G$19,0)</f>
        <v>30</v>
      </c>
      <c r="H97" s="860">
        <f>IFERROR(Summary!H18/H$19,0)</f>
        <v>30</v>
      </c>
      <c r="I97" s="860">
        <f>IFERROR(Summary!I18/I$19,0)</f>
        <v>30</v>
      </c>
      <c r="J97" s="860">
        <f>IFERROR(Summary!J18/J$19,0)</f>
        <v>30</v>
      </c>
      <c r="K97" s="860">
        <f>IFERROR(Summary!K18/K$19,0)</f>
        <v>30</v>
      </c>
      <c r="L97" s="860">
        <f>IFERROR(Summary!L18/L$19,0)</f>
        <v>30</v>
      </c>
    </row>
    <row r="98" spans="1:12" ht="13.8">
      <c r="A98" s="650">
        <f>ROW()</f>
        <v>98</v>
      </c>
      <c r="B98" s="40" t="s">
        <v>131</v>
      </c>
      <c r="C98" s="66">
        <f t="shared" si="14"/>
        <v>307.8</v>
      </c>
      <c r="D98" s="66"/>
      <c r="E98" s="565"/>
      <c r="F98" s="860"/>
      <c r="G98" s="860">
        <f>IFERROR(Summary!G20/G$19,0)</f>
        <v>307.8</v>
      </c>
      <c r="H98" s="860">
        <f>IFERROR(Summary!H20/H$19,0)</f>
        <v>307.8</v>
      </c>
      <c r="I98" s="860">
        <f>IFERROR(Summary!I20/I$19,0)</f>
        <v>307.8</v>
      </c>
      <c r="J98" s="860">
        <f>IFERROR(Summary!J20/J$19,0)</f>
        <v>307.8</v>
      </c>
      <c r="K98" s="860">
        <f>IFERROR(Summary!K20/K$19,0)</f>
        <v>307.8</v>
      </c>
      <c r="L98" s="860">
        <f>IFERROR(Summary!L20/L$19,0)</f>
        <v>307.8</v>
      </c>
    </row>
    <row r="99" spans="1:12" ht="13.8">
      <c r="A99" s="650">
        <f>ROW()</f>
        <v>99</v>
      </c>
      <c r="B99" s="40" t="s">
        <v>132</v>
      </c>
      <c r="C99" s="66">
        <f t="shared" si="14"/>
        <v>427.5</v>
      </c>
      <c r="D99" s="66"/>
      <c r="E99" s="565"/>
      <c r="F99" s="860"/>
      <c r="G99" s="860">
        <f>IFERROR(Summary!G21/G$19,0)</f>
        <v>427.5</v>
      </c>
      <c r="H99" s="860">
        <f>IFERROR(Summary!H21/H$19,0)</f>
        <v>427.5</v>
      </c>
      <c r="I99" s="860">
        <f>IFERROR(Summary!I21/I$19,0)</f>
        <v>427.5</v>
      </c>
      <c r="J99" s="860">
        <f>IFERROR(Summary!J21/J$19,0)</f>
        <v>427.5</v>
      </c>
      <c r="K99" s="860">
        <f>IFERROR(Summary!K21/K$19,0)</f>
        <v>427.5</v>
      </c>
      <c r="L99" s="860">
        <f>IFERROR(Summary!L21/L$19,0)</f>
        <v>427.5</v>
      </c>
    </row>
    <row r="100" spans="1:12" ht="13.8">
      <c r="A100" s="650">
        <f>ROW()</f>
        <v>100</v>
      </c>
      <c r="B100" s="40" t="s">
        <v>133</v>
      </c>
      <c r="C100" s="66">
        <f t="shared" si="14"/>
        <v>116.60000000000001</v>
      </c>
      <c r="D100" s="66"/>
      <c r="E100" s="565"/>
      <c r="F100" s="860"/>
      <c r="G100" s="860">
        <f>IFERROR(Summary!G22/G$19,0)</f>
        <v>116.6</v>
      </c>
      <c r="H100" s="860">
        <f>IFERROR(Summary!H22/H$19,0)</f>
        <v>116.6</v>
      </c>
      <c r="I100" s="860">
        <f>IFERROR(Summary!I22/I$19,0)</f>
        <v>116.6</v>
      </c>
      <c r="J100" s="860">
        <f>IFERROR(Summary!J22/J$19,0)</f>
        <v>116.6</v>
      </c>
      <c r="K100" s="860">
        <f>IFERROR(Summary!K22/K$19,0)</f>
        <v>116.6</v>
      </c>
      <c r="L100" s="860">
        <f>IFERROR(Summary!L22/L$19,0)</f>
        <v>116.6</v>
      </c>
    </row>
    <row r="101" spans="1:12" ht="13.8">
      <c r="A101" s="650">
        <f>ROW()</f>
        <v>101</v>
      </c>
      <c r="B101" s="40" t="s">
        <v>139</v>
      </c>
      <c r="C101" s="66">
        <f t="shared" si="14"/>
        <v>0</v>
      </c>
      <c r="D101" s="66"/>
      <c r="E101" s="565"/>
      <c r="F101" s="860"/>
      <c r="G101" s="860">
        <f>IFERROR(Summary!G29/G$19,0)</f>
        <v>0</v>
      </c>
      <c r="H101" s="860">
        <f>IFERROR(Summary!H29/H$19,0)</f>
        <v>0</v>
      </c>
      <c r="I101" s="860">
        <f>IFERROR(Summary!I29/I$19,0)</f>
        <v>0</v>
      </c>
      <c r="J101" s="860">
        <f>IFERROR(Summary!J29/J$19,0)</f>
        <v>0</v>
      </c>
      <c r="K101" s="860">
        <f>IFERROR(Summary!K29/K$19,0)</f>
        <v>0</v>
      </c>
      <c r="L101" s="860">
        <f>IFERROR(Summary!L29/L$19,0)</f>
        <v>0</v>
      </c>
    </row>
    <row r="102" spans="1:12" ht="13.8">
      <c r="A102" s="650">
        <f>ROW()</f>
        <v>102</v>
      </c>
      <c r="B102" s="40" t="s">
        <v>194</v>
      </c>
      <c r="C102" s="66">
        <f t="shared" si="14"/>
        <v>0</v>
      </c>
      <c r="D102" s="66"/>
      <c r="E102" s="565"/>
      <c r="F102" s="860"/>
      <c r="G102" s="860">
        <f>IFERROR(Summary!G24/G$19,0)</f>
        <v>0</v>
      </c>
      <c r="H102" s="860">
        <f>IFERROR(Summary!H24/H$19,0)</f>
        <v>0</v>
      </c>
      <c r="I102" s="860">
        <f>IFERROR(Summary!I24/I$19,0)</f>
        <v>0</v>
      </c>
      <c r="J102" s="860">
        <f>IFERROR(Summary!J24/J$19,0)</f>
        <v>0</v>
      </c>
      <c r="K102" s="860">
        <f>IFERROR(Summary!K24/K$19,0)</f>
        <v>0</v>
      </c>
      <c r="L102" s="860">
        <f>IFERROR(Summary!L24/L$19,0)</f>
        <v>0</v>
      </c>
    </row>
    <row r="103" spans="1:12" ht="13.8">
      <c r="A103" s="650">
        <f>ROW()</f>
        <v>103</v>
      </c>
      <c r="B103" s="40" t="s">
        <v>195</v>
      </c>
      <c r="C103" s="66">
        <f t="shared" si="14"/>
        <v>0</v>
      </c>
      <c r="D103" s="66"/>
      <c r="E103" s="565"/>
      <c r="F103" s="860"/>
      <c r="G103" s="860">
        <f>IFERROR(Summary!G26/G$19,0)</f>
        <v>0</v>
      </c>
      <c r="H103" s="860">
        <f>IFERROR(Summary!H26/H$19,0)</f>
        <v>0</v>
      </c>
      <c r="I103" s="860">
        <f>IFERROR(Summary!I26/I$19,0)</f>
        <v>0</v>
      </c>
      <c r="J103" s="860">
        <f>IFERROR(Summary!J26/J$19,0)</f>
        <v>0</v>
      </c>
      <c r="K103" s="860">
        <f>IFERROR(Summary!K26/K$19,0)</f>
        <v>0</v>
      </c>
      <c r="L103" s="860">
        <f>IFERROR(Summary!L26/L$19,0)</f>
        <v>0</v>
      </c>
    </row>
    <row r="104" spans="1:12" ht="13.8">
      <c r="A104" s="650">
        <f>ROW()</f>
        <v>104</v>
      </c>
      <c r="B104" s="40" t="s">
        <v>137</v>
      </c>
      <c r="C104" s="66">
        <f t="shared" si="14"/>
        <v>19.2</v>
      </c>
      <c r="D104" s="66"/>
      <c r="E104" s="565"/>
      <c r="F104" s="839"/>
      <c r="G104" s="839">
        <f>IFERROR(Summary!G27/G$19,0)</f>
        <v>19.2</v>
      </c>
      <c r="H104" s="839">
        <f>IFERROR(Summary!H27/H$19,0)</f>
        <v>19.2</v>
      </c>
      <c r="I104" s="839">
        <f>IFERROR(Summary!I27/I$19,0)</f>
        <v>19.2</v>
      </c>
      <c r="J104" s="839">
        <f>IFERROR(Summary!J27/J$19,0)</f>
        <v>19.2</v>
      </c>
      <c r="K104" s="839">
        <f>IFERROR(Summary!K27/K$19,0)</f>
        <v>19.2</v>
      </c>
      <c r="L104" s="839">
        <f>IFERROR(Summary!L27/L$19,0)</f>
        <v>19.2</v>
      </c>
    </row>
    <row r="105" spans="1:12" ht="13.8">
      <c r="A105" s="650">
        <f>ROW()</f>
        <v>105</v>
      </c>
      <c r="B105" s="40" t="s">
        <v>140</v>
      </c>
      <c r="C105" s="66">
        <f t="shared" si="14"/>
        <v>0</v>
      </c>
      <c r="D105" s="66"/>
      <c r="E105" s="565"/>
      <c r="F105" s="860"/>
      <c r="G105" s="860">
        <f>IFERROR(Summary!G30/G$19,0)</f>
        <v>0</v>
      </c>
      <c r="H105" s="860">
        <f>IFERROR(Summary!H30/H$19,0)</f>
        <v>0</v>
      </c>
      <c r="I105" s="860">
        <f>IFERROR(Summary!I30/I$19,0)</f>
        <v>0</v>
      </c>
      <c r="J105" s="860">
        <f>IFERROR(Summary!J30/J$19,0)</f>
        <v>0</v>
      </c>
      <c r="K105" s="860">
        <f>IFERROR(Summary!K30/K$19,0)</f>
        <v>0</v>
      </c>
      <c r="L105" s="860">
        <f>IFERROR(Summary!L30/L$19,0)</f>
        <v>0</v>
      </c>
    </row>
    <row r="106" spans="1:12" ht="13.8">
      <c r="A106" s="650">
        <f>ROW()</f>
        <v>106</v>
      </c>
      <c r="B106" s="40" t="s">
        <v>141</v>
      </c>
      <c r="C106" s="66">
        <f t="shared" si="14"/>
        <v>0</v>
      </c>
      <c r="D106" s="66"/>
      <c r="E106" s="565"/>
      <c r="F106" s="860"/>
      <c r="G106" s="860">
        <f>IFERROR(Summary!G31/G$19,0)</f>
        <v>0</v>
      </c>
      <c r="H106" s="860">
        <f>IFERROR(Summary!H31/H$19,0)</f>
        <v>0</v>
      </c>
      <c r="I106" s="860">
        <f>IFERROR(Summary!I31/I$19,0)</f>
        <v>0</v>
      </c>
      <c r="J106" s="860">
        <f>IFERROR(Summary!J31/J$19,0)</f>
        <v>0</v>
      </c>
      <c r="K106" s="860">
        <f>IFERROR(Summary!K31/K$19,0)</f>
        <v>0</v>
      </c>
      <c r="L106" s="860">
        <f>IFERROR(Summary!L31/L$19,0)</f>
        <v>0</v>
      </c>
    </row>
    <row r="107" spans="1:12" ht="13.8">
      <c r="A107" s="650">
        <f>ROW()</f>
        <v>107</v>
      </c>
      <c r="B107" s="40" t="s">
        <v>142</v>
      </c>
      <c r="C107" s="66">
        <f t="shared" si="14"/>
        <v>0</v>
      </c>
      <c r="D107" s="66"/>
      <c r="E107" s="565"/>
      <c r="F107" s="860"/>
      <c r="G107" s="860">
        <f>IFERROR(Summary!G32/G$19,0)</f>
        <v>0</v>
      </c>
      <c r="H107" s="860">
        <f>IFERROR(Summary!H32/H$19,0)</f>
        <v>0</v>
      </c>
      <c r="I107" s="860">
        <f>IFERROR(Summary!I32/I$19,0)</f>
        <v>0</v>
      </c>
      <c r="J107" s="860">
        <f>IFERROR(Summary!J32/J$19,0)</f>
        <v>0</v>
      </c>
      <c r="K107" s="860">
        <f>IFERROR(Summary!K32/K$19,0)</f>
        <v>0</v>
      </c>
      <c r="L107" s="860">
        <f>IFERROR(Summary!L32/L$19,0)</f>
        <v>0</v>
      </c>
    </row>
    <row r="108" spans="1:12" ht="13.8">
      <c r="A108" s="650">
        <f>ROW()</f>
        <v>108</v>
      </c>
      <c r="B108" s="40" t="s">
        <v>143</v>
      </c>
      <c r="C108" s="66">
        <f t="shared" si="14"/>
        <v>0</v>
      </c>
      <c r="D108" s="66"/>
      <c r="E108" s="565"/>
      <c r="F108" s="860"/>
      <c r="G108" s="860">
        <f>IFERROR(Summary!#REF!/G$19,0)</f>
        <v>0</v>
      </c>
      <c r="H108" s="860">
        <f>IFERROR(Summary!#REF!/H$19,0)</f>
        <v>0</v>
      </c>
      <c r="I108" s="860">
        <f>IFERROR(Summary!#REF!/I$19,0)</f>
        <v>0</v>
      </c>
      <c r="J108" s="860">
        <f>IFERROR(Summary!#REF!/J$19,0)</f>
        <v>0</v>
      </c>
      <c r="K108" s="860">
        <f>IFERROR(Summary!#REF!/K$19,0)</f>
        <v>0</v>
      </c>
      <c r="L108" s="860">
        <f>IFERROR(Summary!#REF!/L$19,0)</f>
        <v>0</v>
      </c>
    </row>
    <row r="109" spans="1:12" ht="13.8">
      <c r="A109" s="650">
        <f>ROW()</f>
        <v>109</v>
      </c>
      <c r="B109" s="37" t="s">
        <v>1250</v>
      </c>
      <c r="C109" s="936">
        <f t="shared" si="14"/>
        <v>9974.6033590502593</v>
      </c>
      <c r="D109" s="936"/>
      <c r="E109" s="936"/>
      <c r="F109" s="1602"/>
      <c r="G109" s="1602">
        <f t="shared" ref="G109:L109" si="15">SUM(G92:G108)</f>
        <v>8599.6875000000018</v>
      </c>
      <c r="H109" s="1602">
        <f t="shared" si="15"/>
        <v>9950.1424298733327</v>
      </c>
      <c r="I109" s="1602">
        <f t="shared" si="15"/>
        <v>10109.8330461075</v>
      </c>
      <c r="J109" s="1602">
        <f t="shared" si="15"/>
        <v>10375.984073164445</v>
      </c>
      <c r="K109" s="1602">
        <f t="shared" si="15"/>
        <v>10397.276155329</v>
      </c>
      <c r="L109" s="1602">
        <f t="shared" si="15"/>
        <v>10414.696949827272</v>
      </c>
    </row>
    <row r="110" spans="1:12" ht="13.8">
      <c r="A110" s="650">
        <f>ROW()</f>
        <v>110</v>
      </c>
      <c r="B110" s="40"/>
      <c r="C110" s="423"/>
      <c r="D110" s="423"/>
      <c r="E110" s="423"/>
      <c r="F110" s="687"/>
      <c r="G110" s="687"/>
      <c r="H110" s="687"/>
      <c r="I110" s="687"/>
      <c r="J110" s="687"/>
      <c r="K110" s="687"/>
      <c r="L110" s="687"/>
    </row>
    <row r="111" spans="1:12" ht="13.8">
      <c r="A111" s="650">
        <f>ROW()</f>
        <v>111</v>
      </c>
      <c r="B111" s="1251" t="s">
        <v>1252</v>
      </c>
      <c r="C111" s="1252"/>
      <c r="D111" s="1252"/>
      <c r="E111" s="1252"/>
      <c r="F111" s="1253"/>
      <c r="G111" s="1253"/>
      <c r="H111" s="1253"/>
      <c r="I111" s="1253"/>
      <c r="J111" s="1253"/>
      <c r="K111" s="1253"/>
      <c r="L111" s="1253"/>
    </row>
    <row r="112" spans="1:12" ht="13.8">
      <c r="A112" s="650">
        <f>ROW()</f>
        <v>112</v>
      </c>
      <c r="B112" s="40" t="s">
        <v>146</v>
      </c>
      <c r="C112" s="937">
        <f t="shared" ref="C112:C121" si="16">AVERAGE(G112:L112)</f>
        <v>5473.4529731839948</v>
      </c>
      <c r="D112" s="422"/>
      <c r="E112" s="565"/>
      <c r="F112" s="860"/>
      <c r="G112" s="860">
        <f>IFERROR(Summary!G42/G$19,0)</f>
        <v>4542.1032750000004</v>
      </c>
      <c r="H112" s="860">
        <f>IFERROR(Summary!H42/H$19,0)</f>
        <v>5227.3242</v>
      </c>
      <c r="I112" s="860">
        <f>IFERROR(Summary!I42/I$19,0)</f>
        <v>5896.8399659999995</v>
      </c>
      <c r="J112" s="860">
        <f>IFERROR(Summary!J42/J$19,0)</f>
        <v>5821.3546975999998</v>
      </c>
      <c r="K112" s="860">
        <f>IFERROR(Summary!K42/K$19,0)</f>
        <v>5939.4780838463994</v>
      </c>
      <c r="L112" s="860">
        <f>IFERROR(Summary!L42/L$19,0)</f>
        <v>5413.6176166575706</v>
      </c>
    </row>
    <row r="113" spans="1:12" ht="13.8">
      <c r="A113" s="650">
        <f>ROW()</f>
        <v>113</v>
      </c>
      <c r="B113" s="40" t="s">
        <v>105</v>
      </c>
      <c r="C113" s="66">
        <f t="shared" si="16"/>
        <v>1521.7876262626262</v>
      </c>
      <c r="D113" s="66"/>
      <c r="E113" s="567"/>
      <c r="F113" s="860"/>
      <c r="G113" s="860">
        <f>IFERROR(Summary!G43/G$19,0)</f>
        <v>1837.5</v>
      </c>
      <c r="H113" s="860">
        <f>IFERROR(Summary!H43/H$19,0)</f>
        <v>1255</v>
      </c>
      <c r="I113" s="860">
        <f>IFERROR(Summary!I43/I$19,0)</f>
        <v>972.15</v>
      </c>
      <c r="J113" s="860">
        <f>IFERROR(Summary!J43/J$19,0)</f>
        <v>1816.6666666666665</v>
      </c>
      <c r="K113" s="860">
        <f>IFERROR(Summary!K43/K$19,0)</f>
        <v>1680</v>
      </c>
      <c r="L113" s="860">
        <f>IFERROR(Summary!L43/L$19,0)</f>
        <v>1569.409090909091</v>
      </c>
    </row>
    <row r="114" spans="1:12" ht="13.8">
      <c r="A114" s="650">
        <f>ROW()</f>
        <v>114</v>
      </c>
      <c r="B114" s="40" t="s">
        <v>147</v>
      </c>
      <c r="C114" s="66">
        <f t="shared" si="16"/>
        <v>1405.9533112511506</v>
      </c>
      <c r="D114" s="66"/>
      <c r="E114" s="567"/>
      <c r="F114" s="860"/>
      <c r="G114" s="860">
        <f>IFERROR(Summary!G44/G$19,0)</f>
        <v>1465.35375</v>
      </c>
      <c r="H114" s="860">
        <f>IFERROR(Summary!H44/H$19,0)</f>
        <v>1360.5421108333333</v>
      </c>
      <c r="I114" s="860">
        <f>IFERROR(Summary!I44/I$19,0)</f>
        <v>1353.85608089425</v>
      </c>
      <c r="J114" s="860">
        <f>IFERROR(Summary!J44/J$19,0)</f>
        <v>1384.0672762214601</v>
      </c>
      <c r="K114" s="860">
        <f>IFERROR(Summary!K44/K$19,0)</f>
        <v>1418.1616797097181</v>
      </c>
      <c r="L114" s="860">
        <f>IFERROR(Summary!L44/L$19,0)</f>
        <v>1453.7389698481425</v>
      </c>
    </row>
    <row r="115" spans="1:12" ht="13.8">
      <c r="A115" s="650">
        <f>ROW()</f>
        <v>115</v>
      </c>
      <c r="B115" s="40" t="s">
        <v>1224</v>
      </c>
      <c r="C115" s="66">
        <f t="shared" si="16"/>
        <v>0</v>
      </c>
      <c r="D115" s="66"/>
      <c r="E115" s="567"/>
      <c r="F115" s="860"/>
      <c r="G115" s="860">
        <f>IFERROR(Summary!G45/G$19,0)</f>
        <v>0</v>
      </c>
      <c r="H115" s="860">
        <f>IFERROR(Summary!H45/H$19,0)</f>
        <v>0</v>
      </c>
      <c r="I115" s="860">
        <f>IFERROR(Summary!I45/I$19,0)</f>
        <v>0</v>
      </c>
      <c r="J115" s="860">
        <f>IFERROR(Summary!J45/J$19,0)</f>
        <v>0</v>
      </c>
      <c r="K115" s="860">
        <f>IFERROR(Summary!K45/K$19,0)</f>
        <v>0</v>
      </c>
      <c r="L115" s="860">
        <f>IFERROR(Summary!L45/L$19,0)</f>
        <v>0</v>
      </c>
    </row>
    <row r="116" spans="1:12" ht="13.8">
      <c r="A116" s="650">
        <f>ROW()</f>
        <v>116</v>
      </c>
      <c r="B116" s="40" t="s">
        <v>110</v>
      </c>
      <c r="C116" s="66">
        <f t="shared" si="16"/>
        <v>10.936868686868687</v>
      </c>
      <c r="D116" s="66"/>
      <c r="E116" s="567"/>
      <c r="F116" s="860"/>
      <c r="G116" s="860">
        <f>IFERROR(Summary!G46/G$19,0)</f>
        <v>20</v>
      </c>
      <c r="H116" s="860">
        <f>IFERROR(Summary!H46/H$19,0)</f>
        <v>20</v>
      </c>
      <c r="I116" s="860">
        <f>IFERROR(Summary!I46/I$19,0)</f>
        <v>7.5</v>
      </c>
      <c r="J116" s="860">
        <f>IFERROR(Summary!J46/J$19,0)</f>
        <v>6.666666666666667</v>
      </c>
      <c r="K116" s="860">
        <f>IFERROR(Summary!K46/K$19,0)</f>
        <v>6</v>
      </c>
      <c r="L116" s="860">
        <f>IFERROR(Summary!L46/L$19,0)</f>
        <v>5.4545454545454541</v>
      </c>
    </row>
    <row r="117" spans="1:12" ht="13.8">
      <c r="A117" s="650">
        <f>ROW()</f>
        <v>117</v>
      </c>
      <c r="B117" s="40" t="s">
        <v>107</v>
      </c>
      <c r="C117" s="66">
        <f t="shared" si="16"/>
        <v>335.05150483301344</v>
      </c>
      <c r="D117" s="66"/>
      <c r="E117" s="567"/>
      <c r="F117" s="860"/>
      <c r="G117" s="860">
        <f>IFERROR(Summary!G47/G$19,0)</f>
        <v>554.83318965517242</v>
      </c>
      <c r="H117" s="860">
        <f>IFERROR(Summary!H47/H$19,0)</f>
        <v>361.46596880131364</v>
      </c>
      <c r="I117" s="860">
        <f>IFERROR(Summary!I47/I$19,0)</f>
        <v>306.16932330827069</v>
      </c>
      <c r="J117" s="860">
        <f>IFERROR(Summary!J47/J$19,0)</f>
        <v>277.05431578947372</v>
      </c>
      <c r="K117" s="860">
        <f>IFERROR(Summary!K47/K$19,0)</f>
        <v>263.84060235294118</v>
      </c>
      <c r="L117" s="860">
        <f>IFERROR(Summary!L47/L$19,0)</f>
        <v>246.94562909090914</v>
      </c>
    </row>
    <row r="118" spans="1:12" ht="13.8">
      <c r="A118" s="650">
        <f>ROW()</f>
        <v>118</v>
      </c>
      <c r="B118" s="40" t="s">
        <v>139</v>
      </c>
      <c r="C118" s="66">
        <f t="shared" si="16"/>
        <v>27.372727272727271</v>
      </c>
      <c r="D118" s="66"/>
      <c r="E118" s="567"/>
      <c r="F118" s="860"/>
      <c r="G118" s="860">
        <f>IFERROR(Summary!G48/G$19,0)</f>
        <v>36</v>
      </c>
      <c r="H118" s="860">
        <f>IFERROR(Summary!H48/H$19,0)</f>
        <v>36</v>
      </c>
      <c r="I118" s="860">
        <f>IFERROR(Summary!I48/I$19,0)</f>
        <v>27</v>
      </c>
      <c r="J118" s="860">
        <f>IFERROR(Summary!J48/J$19,0)</f>
        <v>24</v>
      </c>
      <c r="K118" s="860">
        <f>IFERROR(Summary!K48/K$19,0)</f>
        <v>21.6</v>
      </c>
      <c r="L118" s="860">
        <f>IFERROR(Summary!L48/L$19,0)</f>
        <v>19.636363636363637</v>
      </c>
    </row>
    <row r="119" spans="1:12" ht="13.8">
      <c r="A119" s="650">
        <f>ROW()</f>
        <v>119</v>
      </c>
      <c r="B119" s="40" t="s">
        <v>149</v>
      </c>
      <c r="C119" s="66">
        <f t="shared" si="16"/>
        <v>70.187456182594914</v>
      </c>
      <c r="D119" s="66"/>
      <c r="E119" s="567"/>
      <c r="F119" s="860"/>
      <c r="G119" s="860">
        <f>IFERROR(Summary!G49/G$19,0)</f>
        <v>120.105</v>
      </c>
      <c r="H119" s="860">
        <f>IFERROR(Summary!H49/H$19,0)</f>
        <v>81.671399999999991</v>
      </c>
      <c r="I119" s="860">
        <f>IFERROR(Summary!I49/I$19,0)</f>
        <v>62.478620999999997</v>
      </c>
      <c r="J119" s="860">
        <f>IFERROR(Summary!J49/J$19,0)</f>
        <v>56.647283039999998</v>
      </c>
      <c r="K119" s="860">
        <f>IFERROR(Summary!K49/K$19,0)</f>
        <v>52.002205830720001</v>
      </c>
      <c r="L119" s="860">
        <f>IFERROR(Summary!L49/L$19,0)</f>
        <v>48.220227224849459</v>
      </c>
    </row>
    <row r="120" spans="1:12" ht="13.8">
      <c r="A120" s="467">
        <f>ROW()</f>
        <v>120</v>
      </c>
      <c r="B120" s="40" t="s">
        <v>197</v>
      </c>
      <c r="C120" s="66">
        <f t="shared" si="16"/>
        <v>0</v>
      </c>
      <c r="D120" s="66"/>
      <c r="E120" s="565"/>
      <c r="F120" s="860"/>
      <c r="G120" s="860">
        <f>IFERROR(Summary!#REF!/G$19,0)</f>
        <v>0</v>
      </c>
      <c r="H120" s="860">
        <f>IFERROR(Summary!#REF!/H$19,0)</f>
        <v>0</v>
      </c>
      <c r="I120" s="860">
        <f>IFERROR(Summary!#REF!/I$19,0)</f>
        <v>0</v>
      </c>
      <c r="J120" s="860">
        <f>IFERROR(Summary!#REF!/J$19,0)</f>
        <v>0</v>
      </c>
      <c r="K120" s="860">
        <f>IFERROR(Summary!#REF!/K$19,0)</f>
        <v>0</v>
      </c>
      <c r="L120" s="860">
        <f>IFERROR(Summary!#REF!/L$19,0)</f>
        <v>0</v>
      </c>
    </row>
    <row r="121" spans="1:12" ht="13.8">
      <c r="A121" s="650">
        <f>ROW()</f>
        <v>121</v>
      </c>
      <c r="B121" s="37" t="s">
        <v>1253</v>
      </c>
      <c r="C121" s="936">
        <f t="shared" si="16"/>
        <v>8844.742467672977</v>
      </c>
      <c r="D121" s="936"/>
      <c r="E121" s="936"/>
      <c r="F121" s="1602"/>
      <c r="G121" s="1602">
        <f t="shared" ref="G121:L121" si="17">SUM(G112:G120)</f>
        <v>8575.8952146551728</v>
      </c>
      <c r="H121" s="1602">
        <f t="shared" si="17"/>
        <v>8342.0036796346467</v>
      </c>
      <c r="I121" s="1602">
        <f t="shared" si="17"/>
        <v>8625.9939912025202</v>
      </c>
      <c r="J121" s="1602">
        <f t="shared" si="17"/>
        <v>9386.4569059842652</v>
      </c>
      <c r="K121" s="1602">
        <f t="shared" si="17"/>
        <v>9381.0825717397784</v>
      </c>
      <c r="L121" s="1602">
        <f t="shared" si="17"/>
        <v>8757.0224428214715</v>
      </c>
    </row>
    <row r="122" spans="1:12" ht="14.4" thickBot="1">
      <c r="A122" s="650">
        <f>ROW()</f>
        <v>122</v>
      </c>
      <c r="B122" s="37"/>
      <c r="C122" s="568"/>
      <c r="D122" s="568"/>
      <c r="E122" s="569"/>
      <c r="F122" s="842"/>
      <c r="G122" s="842"/>
      <c r="H122" s="842"/>
      <c r="I122" s="842"/>
      <c r="J122" s="842"/>
      <c r="K122" s="842"/>
      <c r="L122" s="842"/>
    </row>
    <row r="123" spans="1:12" ht="14.4" thickBot="1">
      <c r="A123" s="650">
        <f>ROW()</f>
        <v>123</v>
      </c>
      <c r="B123" s="570" t="s">
        <v>202</v>
      </c>
      <c r="C123" s="941">
        <f>C109-C121</f>
        <v>1129.8608913772823</v>
      </c>
      <c r="D123" s="592"/>
      <c r="E123" s="592"/>
      <c r="F123" s="861"/>
      <c r="G123" s="1796">
        <f t="shared" ref="G123:L123" si="18">G109-G121</f>
        <v>23.792285344828997</v>
      </c>
      <c r="H123" s="1796">
        <f t="shared" si="18"/>
        <v>1608.138750238686</v>
      </c>
      <c r="I123" s="1796">
        <f t="shared" si="18"/>
        <v>1483.83905490498</v>
      </c>
      <c r="J123" s="1796">
        <f t="shared" si="18"/>
        <v>989.52716718018019</v>
      </c>
      <c r="K123" s="1796">
        <f t="shared" si="18"/>
        <v>1016.1935835892218</v>
      </c>
      <c r="L123" s="1796">
        <f t="shared" si="18"/>
        <v>1657.6745070058005</v>
      </c>
    </row>
    <row r="124" spans="1:12" ht="14.4">
      <c r="A124" s="650">
        <f>ROW()</f>
        <v>124</v>
      </c>
      <c r="B124" s="572" t="s">
        <v>1254</v>
      </c>
      <c r="C124" s="573"/>
      <c r="D124" s="573"/>
      <c r="E124" s="573"/>
      <c r="F124" s="858"/>
      <c r="G124" s="844">
        <f t="shared" ref="G124:L124" si="19">G123/G19</f>
        <v>0.11896142672414499</v>
      </c>
      <c r="H124" s="844">
        <f t="shared" si="19"/>
        <v>5.3604625007956201</v>
      </c>
      <c r="I124" s="844">
        <f t="shared" si="19"/>
        <v>3.70959763726245</v>
      </c>
      <c r="J124" s="844">
        <f t="shared" si="19"/>
        <v>2.1989492604004006</v>
      </c>
      <c r="K124" s="844">
        <f t="shared" si="19"/>
        <v>2.0323871671784435</v>
      </c>
      <c r="L124" s="844">
        <f t="shared" si="19"/>
        <v>3.0139536491014556</v>
      </c>
    </row>
    <row r="125" spans="1:12" ht="14.4">
      <c r="A125" s="650">
        <f>ROW()</f>
        <v>125</v>
      </c>
      <c r="B125" s="593" t="s">
        <v>1255</v>
      </c>
      <c r="C125" s="594"/>
      <c r="D125" s="594"/>
      <c r="E125" s="594"/>
      <c r="F125" s="862"/>
      <c r="G125" s="940">
        <f t="shared" ref="G125:L125" si="20">IFERROR(+G123/G109,0)</f>
        <v>2.766645339709029E-3</v>
      </c>
      <c r="H125" s="940">
        <f t="shared" si="20"/>
        <v>0.1616196714341061</v>
      </c>
      <c r="I125" s="940">
        <f t="shared" si="20"/>
        <v>0.14677186538468995</v>
      </c>
      <c r="J125" s="940">
        <f t="shared" si="20"/>
        <v>9.5367066892422123E-2</v>
      </c>
      <c r="K125" s="940">
        <f t="shared" si="20"/>
        <v>9.7736519489134074E-2</v>
      </c>
      <c r="L125" s="940">
        <f t="shared" si="20"/>
        <v>0.15916684998052613</v>
      </c>
    </row>
  </sheetData>
  <sheetProtection algorithmName="SHA-512" hashValue="jF/VXUDyGusxQnZVzhDZ9oBmpWj2N0g84IHrVLX7BIwFJ1ukxzags34u7MG97Y3Wlz2Ri98QUgR/AS0ugz6A+A==" saltValue="7CvESaHsb1W205KgnGMjkw==" spinCount="100000" sheet="1" objects="1" scenarios="1"/>
  <conditionalFormatting sqref="L1">
    <cfRule type="expression" dxfId="102" priority="19" stopIfTrue="1">
      <formula>MOD(ROW(),2)=0</formula>
    </cfRule>
  </conditionalFormatting>
  <conditionalFormatting sqref="C1">
    <cfRule type="expression" dxfId="101" priority="18" stopIfTrue="1">
      <formula>MOD(ROW(),2)=0</formula>
    </cfRule>
  </conditionalFormatting>
  <conditionalFormatting sqref="F52:L67">
    <cfRule type="cellIs" dxfId="100" priority="9" stopIfTrue="1" operator="equal">
      <formula>0</formula>
    </cfRule>
  </conditionalFormatting>
  <conditionalFormatting sqref="C52:C67">
    <cfRule type="cellIs" dxfId="99" priority="10" stopIfTrue="1" operator="equal">
      <formula>0</formula>
    </cfRule>
  </conditionalFormatting>
  <conditionalFormatting sqref="F75:L83">
    <cfRule type="cellIs" dxfId="98" priority="11" stopIfTrue="1" operator="equal">
      <formula>0</formula>
    </cfRule>
  </conditionalFormatting>
  <conditionalFormatting sqref="C75:C83">
    <cfRule type="cellIs" dxfId="97" priority="12" stopIfTrue="1" operator="equal">
      <formula>0</formula>
    </cfRule>
  </conditionalFormatting>
  <conditionalFormatting sqref="G92:L108">
    <cfRule type="cellIs" dxfId="96" priority="13" stopIfTrue="1" operator="equal">
      <formula>0</formula>
    </cfRule>
  </conditionalFormatting>
  <conditionalFormatting sqref="C98:C109">
    <cfRule type="cellIs" dxfId="95" priority="14" stopIfTrue="1" operator="equal">
      <formula>0</formula>
    </cfRule>
  </conditionalFormatting>
  <conditionalFormatting sqref="C112:C120">
    <cfRule type="cellIs" dxfId="94" priority="15" stopIfTrue="1" operator="equal">
      <formula>0</formula>
    </cfRule>
  </conditionalFormatting>
  <conditionalFormatting sqref="G112:L120">
    <cfRule type="cellIs" dxfId="93" priority="16" stopIfTrue="1" operator="equal">
      <formula>0</formula>
    </cfRule>
  </conditionalFormatting>
  <conditionalFormatting sqref="C92:C97">
    <cfRule type="cellIs" dxfId="92" priority="17" stopIfTrue="1" operator="equal">
      <formula>0</formula>
    </cfRule>
  </conditionalFormatting>
  <conditionalFormatting sqref="F68:L68">
    <cfRule type="cellIs" dxfId="91" priority="7" stopIfTrue="1" operator="equal">
      <formula>0</formula>
    </cfRule>
  </conditionalFormatting>
  <conditionalFormatting sqref="C68">
    <cfRule type="cellIs" dxfId="90" priority="8" stopIfTrue="1" operator="equal">
      <formula>0</formula>
    </cfRule>
  </conditionalFormatting>
  <conditionalFormatting sqref="F69:L69">
    <cfRule type="cellIs" dxfId="89" priority="5" stopIfTrue="1" operator="equal">
      <formula>0</formula>
    </cfRule>
  </conditionalFormatting>
  <conditionalFormatting sqref="C69">
    <cfRule type="cellIs" dxfId="88" priority="6" stopIfTrue="1" operator="equal">
      <formula>0</formula>
    </cfRule>
  </conditionalFormatting>
  <conditionalFormatting sqref="F70:L70">
    <cfRule type="cellIs" dxfId="87" priority="3" stopIfTrue="1" operator="equal">
      <formula>0</formula>
    </cfRule>
  </conditionalFormatting>
  <conditionalFormatting sqref="C70">
    <cfRule type="cellIs" dxfId="86" priority="4" stopIfTrue="1" operator="equal">
      <formula>0</formula>
    </cfRule>
  </conditionalFormatting>
  <conditionalFormatting sqref="F71:L71">
    <cfRule type="cellIs" dxfId="85" priority="1" stopIfTrue="1" operator="equal">
      <formula>0</formula>
    </cfRule>
  </conditionalFormatting>
  <conditionalFormatting sqref="C71">
    <cfRule type="cellIs" dxfId="84" priority="2" stopIfTrue="1" operator="equal">
      <formula>0</formula>
    </cfRule>
  </conditionalFormatting>
  <hyperlinks>
    <hyperlink ref="C1" location="HypLink1" display="HypLink1" xr:uid="{D6F51B04-7C22-4E55-BE4A-DB65D4CC86A9}"/>
  </hyperlinks>
  <pageMargins left="0.25" right="0.25" top="0.5" bottom="0.44999999999999996" header="0.25" footer="0.25"/>
  <pageSetup scale="79" orientation="landscape" r:id="rId1"/>
  <headerFooter alignWithMargins="0">
    <oddHeader xml:space="preserve">&amp;L &amp;C &amp;R </oddHeader>
    <oddFooter>&amp;L&amp;7&amp;D  at &amp;T Mike 702.486.8879&amp;C&amp;7&amp;F  &amp;A&amp;R&amp;7Page &amp;P of &amp;N</oddFooter>
  </headerFooter>
  <rowBreaks count="2" manualBreakCount="2">
    <brk id="48" max="11" man="1"/>
    <brk id="89" max="11"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E0E6-1535-4408-B35B-A573593C164E}">
  <sheetPr codeName="Sheet11">
    <tabColor rgb="FF92D050"/>
  </sheetPr>
  <dimension ref="A1:W84"/>
  <sheetViews>
    <sheetView topLeftCell="A58" workbookViewId="0">
      <selection activeCell="L45" sqref="L45"/>
    </sheetView>
  </sheetViews>
  <sheetFormatPr defaultColWidth="8.77734375" defaultRowHeight="13.8"/>
  <cols>
    <col min="1" max="1" width="6.77734375" style="75" bestFit="1" customWidth="1"/>
    <col min="2" max="2" width="21" style="75" customWidth="1"/>
    <col min="3" max="3" width="17.21875" style="75" customWidth="1"/>
    <col min="4" max="4" width="11.44140625" style="75" customWidth="1"/>
    <col min="5" max="6" width="11" style="75" customWidth="1"/>
    <col min="7" max="7" width="11.5546875" style="75" customWidth="1"/>
    <col min="8" max="8" width="11.77734375" style="79" customWidth="1"/>
    <col min="9" max="10" width="9.77734375" style="79" customWidth="1"/>
    <col min="11" max="11" width="1.77734375" style="79" customWidth="1"/>
    <col min="12" max="12" width="61.21875" style="1957" customWidth="1"/>
    <col min="13" max="13" width="4.5546875" style="79" customWidth="1"/>
    <col min="14" max="14" width="4.5546875" style="75" customWidth="1"/>
    <col min="15" max="15" width="7.21875" style="75" customWidth="1"/>
    <col min="16" max="19" width="4.5546875" style="75" customWidth="1"/>
    <col min="20" max="16384" width="8.77734375" style="75"/>
  </cols>
  <sheetData>
    <row r="1" spans="1:23" ht="17.399999999999999">
      <c r="A1" s="191" t="s">
        <v>802</v>
      </c>
      <c r="B1" s="74"/>
      <c r="C1" s="74"/>
      <c r="D1" s="558" t="s">
        <v>2</v>
      </c>
      <c r="E1" s="1597" t="s">
        <v>203</v>
      </c>
      <c r="F1" s="1597"/>
      <c r="G1" s="1597"/>
      <c r="H1" s="94"/>
      <c r="I1" s="94"/>
      <c r="L1" s="1956"/>
      <c r="M1" s="616"/>
      <c r="N1" s="616"/>
      <c r="O1" s="616"/>
      <c r="P1" s="616"/>
      <c r="Q1" s="218"/>
      <c r="R1" s="100"/>
    </row>
    <row r="2" spans="1:23" ht="15.6">
      <c r="A2" s="189" t="str">
        <f>SchoolName</f>
        <v>Southern Nevada Trades High School</v>
      </c>
      <c r="B2" s="76"/>
      <c r="C2" s="76"/>
      <c r="E2" s="75" t="s">
        <v>204</v>
      </c>
      <c r="F2" s="245" t="str">
        <f>+Facilities!G2</f>
        <v>400-570 Nellis Blvd. - Las Vegas, NV 89110</v>
      </c>
      <c r="G2" s="240"/>
      <c r="H2" s="240"/>
      <c r="I2" s="240"/>
      <c r="J2" s="240"/>
      <c r="K2" s="285"/>
      <c r="L2" s="1936" t="s">
        <v>95</v>
      </c>
      <c r="M2" s="616"/>
      <c r="N2" s="616"/>
      <c r="O2" s="616"/>
      <c r="P2" s="616"/>
      <c r="Q2" s="616"/>
      <c r="R2" s="616"/>
      <c r="S2" s="616"/>
      <c r="T2" s="616"/>
      <c r="U2" s="616"/>
      <c r="V2" s="616"/>
    </row>
    <row r="3" spans="1:23">
      <c r="A3" s="78" t="s">
        <v>72</v>
      </c>
      <c r="E3" s="75" t="s">
        <v>83</v>
      </c>
      <c r="F3" s="246" t="str">
        <f>+Facilities!G3</f>
        <v>Site 2</v>
      </c>
      <c r="G3" s="241"/>
      <c r="H3" s="241"/>
      <c r="I3" s="241"/>
      <c r="J3" s="241"/>
      <c r="K3" s="285"/>
      <c r="L3" s="628"/>
      <c r="M3" s="616"/>
      <c r="N3" s="616"/>
      <c r="O3" s="616"/>
      <c r="P3" s="616"/>
      <c r="Q3" s="616"/>
      <c r="R3" s="616"/>
      <c r="S3" s="616"/>
      <c r="T3" s="616"/>
      <c r="U3" s="616"/>
      <c r="V3" s="616"/>
    </row>
    <row r="4" spans="1:23">
      <c r="A4" s="80" t="s">
        <v>73</v>
      </c>
      <c r="F4" s="141" t="s">
        <v>205</v>
      </c>
      <c r="H4" s="75"/>
      <c r="L4" s="462"/>
      <c r="M4" s="616"/>
      <c r="N4" s="616"/>
      <c r="O4" s="616"/>
      <c r="P4" s="616"/>
      <c r="Q4" s="616"/>
      <c r="R4" s="616"/>
      <c r="S4" s="616"/>
      <c r="T4" s="616"/>
      <c r="U4" s="616"/>
      <c r="V4" s="616"/>
    </row>
    <row r="5" spans="1:23">
      <c r="A5" s="71" t="str">
        <f ca="1">CELL("filename")</f>
        <v>C:\Users\jewel\Documents\SNTHS\CHARTER APP FINAL\FINAL COMPILED\[SNTHS Budget Worksheet.xlsx]Summary</v>
      </c>
      <c r="L5" s="462"/>
      <c r="M5" s="616"/>
      <c r="N5" s="616"/>
      <c r="O5" s="616"/>
      <c r="P5" s="616"/>
      <c r="Q5" s="616"/>
      <c r="R5" s="616"/>
      <c r="S5" s="616"/>
      <c r="T5" s="616"/>
      <c r="U5" s="616"/>
      <c r="V5" s="616"/>
    </row>
    <row r="6" spans="1:23">
      <c r="A6" s="95"/>
      <c r="B6" s="138"/>
      <c r="C6" s="138"/>
      <c r="D6" s="138"/>
      <c r="E6" s="72"/>
      <c r="H6" s="75"/>
      <c r="I6" s="75"/>
      <c r="J6" s="75"/>
      <c r="K6" s="75"/>
      <c r="L6" s="462"/>
      <c r="M6" s="616"/>
      <c r="N6" s="616"/>
      <c r="O6" s="616"/>
      <c r="P6" s="616"/>
      <c r="Q6" s="616"/>
      <c r="R6" s="616"/>
      <c r="S6" s="616"/>
      <c r="T6" s="616"/>
      <c r="U6" s="616"/>
      <c r="V6" s="616"/>
    </row>
    <row r="7" spans="1:23">
      <c r="A7" s="652"/>
      <c r="D7" s="1139" t="s">
        <v>206</v>
      </c>
      <c r="E7" s="1140">
        <v>1</v>
      </c>
      <c r="F7" s="1140">
        <v>2</v>
      </c>
      <c r="G7" s="1140">
        <v>3</v>
      </c>
      <c r="H7" s="1140">
        <v>4</v>
      </c>
      <c r="I7" s="1140">
        <v>5</v>
      </c>
      <c r="J7" s="1141">
        <v>6</v>
      </c>
      <c r="K7" s="316"/>
      <c r="L7" s="462" t="s">
        <v>207</v>
      </c>
      <c r="M7" s="616"/>
      <c r="N7" s="616"/>
      <c r="O7" s="616"/>
      <c r="P7" s="616"/>
      <c r="Q7" s="616"/>
      <c r="R7" s="616"/>
      <c r="S7" s="616"/>
      <c r="T7" s="616"/>
      <c r="U7" s="616"/>
      <c r="V7" s="616"/>
    </row>
    <row r="8" spans="1:23" ht="15.6">
      <c r="A8" s="652"/>
      <c r="D8" s="1139">
        <f>' Enrol &amp; Rev'!F10</f>
        <v>2022</v>
      </c>
      <c r="E8" s="1142">
        <f>' Enrol &amp; Rev'!G10</f>
        <v>2023</v>
      </c>
      <c r="F8" s="1142">
        <f>+E9</f>
        <v>2024</v>
      </c>
      <c r="G8" s="1142">
        <f>+F9</f>
        <v>2025</v>
      </c>
      <c r="H8" s="1142">
        <f>+G9</f>
        <v>2026</v>
      </c>
      <c r="I8" s="1142">
        <f>+H9</f>
        <v>2027</v>
      </c>
      <c r="J8" s="1143">
        <f>+I9</f>
        <v>2028</v>
      </c>
      <c r="K8" s="400"/>
      <c r="L8" s="462"/>
      <c r="M8" s="616"/>
      <c r="N8" s="616"/>
      <c r="O8" s="616"/>
      <c r="P8" s="616"/>
      <c r="Q8" s="616"/>
      <c r="R8" s="616"/>
      <c r="S8" s="616"/>
      <c r="T8" s="616"/>
      <c r="U8" s="616"/>
      <c r="V8" s="616"/>
    </row>
    <row r="9" spans="1:23" s="79" customFormat="1" ht="15.6">
      <c r="A9" s="652"/>
      <c r="D9" s="957">
        <f>+D8+1</f>
        <v>2023</v>
      </c>
      <c r="E9" s="958">
        <f t="shared" ref="E9:J9" si="0">+E8+1</f>
        <v>2024</v>
      </c>
      <c r="F9" s="958">
        <f t="shared" si="0"/>
        <v>2025</v>
      </c>
      <c r="G9" s="958">
        <f t="shared" si="0"/>
        <v>2026</v>
      </c>
      <c r="H9" s="958">
        <f t="shared" si="0"/>
        <v>2027</v>
      </c>
      <c r="I9" s="958">
        <f t="shared" si="0"/>
        <v>2028</v>
      </c>
      <c r="J9" s="959">
        <f t="shared" si="0"/>
        <v>2029</v>
      </c>
      <c r="K9" s="401"/>
      <c r="L9" s="462"/>
      <c r="M9" s="616"/>
      <c r="N9" s="616"/>
      <c r="O9" s="616"/>
      <c r="P9" s="616"/>
      <c r="Q9" s="616"/>
      <c r="R9" s="616"/>
      <c r="S9" s="616"/>
      <c r="T9" s="616"/>
      <c r="U9" s="616"/>
      <c r="V9" s="616"/>
    </row>
    <row r="10" spans="1:23" s="79" customFormat="1" ht="15.6">
      <c r="A10" s="652">
        <f>ROW()</f>
        <v>10</v>
      </c>
      <c r="B10" s="950" t="s">
        <v>208</v>
      </c>
      <c r="C10" s="950"/>
      <c r="D10" s="38"/>
      <c r="E10" s="349"/>
      <c r="F10" s="349"/>
      <c r="G10" s="349"/>
      <c r="H10" s="349"/>
      <c r="I10" s="349"/>
      <c r="J10" s="349"/>
      <c r="K10" s="400"/>
      <c r="L10" s="462"/>
      <c r="M10" s="616"/>
      <c r="N10" s="616"/>
      <c r="O10" s="616"/>
      <c r="P10" s="616"/>
      <c r="Q10" s="616"/>
      <c r="R10" s="616"/>
      <c r="S10" s="616"/>
      <c r="T10" s="616"/>
      <c r="U10" s="616"/>
      <c r="V10" s="616"/>
    </row>
    <row r="11" spans="1:23">
      <c r="A11" s="652">
        <f>ROW()</f>
        <v>11</v>
      </c>
      <c r="B11" s="951" t="s">
        <v>209</v>
      </c>
      <c r="C11" s="951"/>
      <c r="D11" s="398">
        <f t="shared" ref="D11:J11" si="1">COUNTIF(D14:D26,"&gt;0")</f>
        <v>0</v>
      </c>
      <c r="E11" s="398">
        <f t="shared" si="1"/>
        <v>2</v>
      </c>
      <c r="F11" s="391">
        <f t="shared" si="1"/>
        <v>3</v>
      </c>
      <c r="G11" s="391">
        <f t="shared" si="1"/>
        <v>4</v>
      </c>
      <c r="H11" s="391">
        <f t="shared" si="1"/>
        <v>4</v>
      </c>
      <c r="I11" s="391">
        <f t="shared" si="1"/>
        <v>4</v>
      </c>
      <c r="J11" s="392">
        <f t="shared" si="1"/>
        <v>4</v>
      </c>
      <c r="K11" s="402"/>
      <c r="L11" s="462"/>
      <c r="M11" s="616"/>
      <c r="N11" s="616"/>
      <c r="O11" s="616"/>
      <c r="P11" s="616"/>
      <c r="Q11" s="616"/>
      <c r="R11" s="616"/>
      <c r="S11" s="616"/>
      <c r="T11" s="616"/>
      <c r="U11" s="616"/>
      <c r="V11" s="616"/>
    </row>
    <row r="12" spans="1:23">
      <c r="A12" s="652">
        <f>ROW()</f>
        <v>12</v>
      </c>
      <c r="B12" s="91" t="s">
        <v>210</v>
      </c>
      <c r="C12" s="91"/>
      <c r="D12" s="399">
        <f>+' Enrol &amp; Rev'!F18</f>
        <v>0</v>
      </c>
      <c r="E12" s="404">
        <f>+' Enrol &amp; Rev'!G18</f>
        <v>6.8965517241379306</v>
      </c>
      <c r="F12" s="405">
        <f>+' Enrol &amp; Rev'!H18</f>
        <v>14.285714285714286</v>
      </c>
      <c r="G12" s="405">
        <f>+' Enrol &amp; Rev'!I18</f>
        <v>21.05263157894737</v>
      </c>
      <c r="H12" s="405">
        <f>+' Enrol &amp; Rev'!J18</f>
        <v>25</v>
      </c>
      <c r="I12" s="405">
        <f>+' Enrol &amp; Rev'!K18</f>
        <v>29.411764705882351</v>
      </c>
      <c r="J12" s="406">
        <f>+' Enrol &amp; Rev'!L18</f>
        <v>28.94736842105263</v>
      </c>
      <c r="K12" s="402"/>
      <c r="L12" s="462"/>
      <c r="M12" s="616"/>
      <c r="N12" s="616"/>
      <c r="O12" s="616"/>
      <c r="P12" s="616"/>
      <c r="Q12" s="616"/>
      <c r="R12" s="616"/>
      <c r="S12" s="616"/>
      <c r="T12" s="616"/>
      <c r="U12" s="616"/>
      <c r="V12" s="616"/>
    </row>
    <row r="13" spans="1:23">
      <c r="A13" s="652">
        <f>ROW()</f>
        <v>13</v>
      </c>
      <c r="B13" s="102"/>
      <c r="C13" s="102"/>
      <c r="D13" s="799"/>
      <c r="E13" s="799"/>
      <c r="F13" s="799"/>
      <c r="G13" s="799"/>
      <c r="H13" s="799"/>
      <c r="I13" s="799"/>
      <c r="J13" s="799"/>
      <c r="K13" s="353"/>
      <c r="L13" s="462"/>
      <c r="M13" s="616"/>
      <c r="N13" s="616"/>
      <c r="O13" s="616"/>
      <c r="P13" s="616"/>
      <c r="Q13" s="616"/>
      <c r="R13" s="616"/>
      <c r="S13" s="616"/>
      <c r="T13" s="616"/>
      <c r="U13" s="616"/>
      <c r="V13" s="616"/>
      <c r="W13" s="616"/>
    </row>
    <row r="14" spans="1:23">
      <c r="A14" s="652">
        <f>ROW()</f>
        <v>14</v>
      </c>
      <c r="B14" s="878" t="s">
        <v>211</v>
      </c>
      <c r="C14" s="1120"/>
      <c r="D14" s="801">
        <f>' Enrol &amp; Rev'!F22</f>
        <v>0</v>
      </c>
      <c r="E14" s="801">
        <f>' Enrol &amp; Rev'!G22</f>
        <v>0</v>
      </c>
      <c r="F14" s="801">
        <f>' Enrol &amp; Rev'!H22</f>
        <v>0</v>
      </c>
      <c r="G14" s="801">
        <f>' Enrol &amp; Rev'!I22</f>
        <v>0</v>
      </c>
      <c r="H14" s="801">
        <f>' Enrol &amp; Rev'!J22</f>
        <v>0</v>
      </c>
      <c r="I14" s="801">
        <f>' Enrol &amp; Rev'!K22</f>
        <v>0</v>
      </c>
      <c r="J14" s="801">
        <f>' Enrol &amp; Rev'!L22</f>
        <v>0</v>
      </c>
      <c r="K14" s="354"/>
      <c r="L14" s="462"/>
      <c r="M14" s="616"/>
      <c r="N14" s="616"/>
      <c r="O14" s="616"/>
      <c r="P14" s="616"/>
      <c r="Q14" s="616"/>
      <c r="R14" s="616"/>
      <c r="S14" s="616"/>
      <c r="T14" s="616"/>
      <c r="U14" s="616"/>
      <c r="V14" s="616"/>
      <c r="W14" s="616"/>
    </row>
    <row r="15" spans="1:23">
      <c r="A15" s="652">
        <f>ROW()</f>
        <v>15</v>
      </c>
      <c r="B15" s="106" t="s">
        <v>212</v>
      </c>
      <c r="C15" s="448"/>
      <c r="D15" s="800">
        <f>' Enrol &amp; Rev'!F23</f>
        <v>0</v>
      </c>
      <c r="E15" s="800">
        <f>' Enrol &amp; Rev'!G23</f>
        <v>0</v>
      </c>
      <c r="F15" s="800">
        <f>' Enrol &amp; Rev'!H23</f>
        <v>0</v>
      </c>
      <c r="G15" s="800">
        <f>' Enrol &amp; Rev'!I23</f>
        <v>0</v>
      </c>
      <c r="H15" s="800">
        <f>' Enrol &amp; Rev'!J23</f>
        <v>0</v>
      </c>
      <c r="I15" s="800">
        <f>' Enrol &amp; Rev'!K23</f>
        <v>0</v>
      </c>
      <c r="J15" s="800">
        <f>' Enrol &amp; Rev'!L23</f>
        <v>0</v>
      </c>
      <c r="K15" s="354"/>
      <c r="L15" s="462"/>
      <c r="M15" s="616"/>
      <c r="N15" s="616"/>
      <c r="O15" s="616"/>
      <c r="P15" s="616"/>
      <c r="Q15" s="616"/>
      <c r="R15" s="616"/>
      <c r="S15" s="616"/>
      <c r="T15" s="616"/>
      <c r="U15" s="616"/>
      <c r="V15" s="616"/>
      <c r="W15" s="616"/>
    </row>
    <row r="16" spans="1:23">
      <c r="A16" s="652">
        <f>ROW()</f>
        <v>16</v>
      </c>
      <c r="B16" s="106" t="s">
        <v>213</v>
      </c>
      <c r="C16" s="448"/>
      <c r="D16" s="800">
        <f>' Enrol &amp; Rev'!F24</f>
        <v>0</v>
      </c>
      <c r="E16" s="800">
        <f>' Enrol &amp; Rev'!G24</f>
        <v>0</v>
      </c>
      <c r="F16" s="800">
        <f>' Enrol &amp; Rev'!H24</f>
        <v>0</v>
      </c>
      <c r="G16" s="800">
        <f>' Enrol &amp; Rev'!I24</f>
        <v>0</v>
      </c>
      <c r="H16" s="800">
        <f>' Enrol &amp; Rev'!J24</f>
        <v>0</v>
      </c>
      <c r="I16" s="800">
        <f>' Enrol &amp; Rev'!K24</f>
        <v>0</v>
      </c>
      <c r="J16" s="800">
        <f>' Enrol &amp; Rev'!L24</f>
        <v>0</v>
      </c>
      <c r="K16" s="354"/>
      <c r="L16" s="462"/>
      <c r="M16" s="616"/>
      <c r="N16" s="616"/>
      <c r="O16" s="616"/>
      <c r="P16" s="616"/>
      <c r="Q16" s="616"/>
      <c r="R16" s="616"/>
      <c r="S16" s="616"/>
      <c r="T16" s="616"/>
      <c r="U16" s="616"/>
      <c r="V16" s="616"/>
      <c r="W16" s="616"/>
    </row>
    <row r="17" spans="1:23">
      <c r="A17" s="652">
        <f>ROW()</f>
        <v>17</v>
      </c>
      <c r="B17" s="106" t="s">
        <v>214</v>
      </c>
      <c r="C17" s="448"/>
      <c r="D17" s="800">
        <f>' Enrol &amp; Rev'!F25</f>
        <v>0</v>
      </c>
      <c r="E17" s="800">
        <f>' Enrol &amp; Rev'!G25</f>
        <v>0</v>
      </c>
      <c r="F17" s="800">
        <f>' Enrol &amp; Rev'!H25</f>
        <v>0</v>
      </c>
      <c r="G17" s="800">
        <f>' Enrol &amp; Rev'!I25</f>
        <v>0</v>
      </c>
      <c r="H17" s="800">
        <f>' Enrol &amp; Rev'!J25</f>
        <v>0</v>
      </c>
      <c r="I17" s="800">
        <f>' Enrol &amp; Rev'!K25</f>
        <v>0</v>
      </c>
      <c r="J17" s="800">
        <f>' Enrol &amp; Rev'!L25</f>
        <v>0</v>
      </c>
      <c r="K17" s="354"/>
      <c r="L17" s="462"/>
      <c r="M17" s="616"/>
      <c r="N17" s="616"/>
      <c r="O17" s="616"/>
      <c r="P17" s="616"/>
      <c r="Q17" s="616"/>
      <c r="R17" s="616"/>
      <c r="S17" s="616"/>
      <c r="T17" s="616"/>
      <c r="U17" s="616"/>
      <c r="V17" s="616"/>
      <c r="W17" s="616"/>
    </row>
    <row r="18" spans="1:23">
      <c r="A18" s="652">
        <f>ROW()</f>
        <v>18</v>
      </c>
      <c r="B18" s="106" t="s">
        <v>215</v>
      </c>
      <c r="C18" s="448"/>
      <c r="D18" s="800">
        <f>' Enrol &amp; Rev'!F26</f>
        <v>0</v>
      </c>
      <c r="E18" s="800">
        <f>' Enrol &amp; Rev'!G26</f>
        <v>0</v>
      </c>
      <c r="F18" s="800">
        <f>' Enrol &amp; Rev'!H26</f>
        <v>0</v>
      </c>
      <c r="G18" s="800">
        <f>' Enrol &amp; Rev'!I26</f>
        <v>0</v>
      </c>
      <c r="H18" s="800">
        <f>' Enrol &amp; Rev'!J26</f>
        <v>0</v>
      </c>
      <c r="I18" s="800">
        <f>' Enrol &amp; Rev'!K26</f>
        <v>0</v>
      </c>
      <c r="J18" s="800">
        <f>' Enrol &amp; Rev'!L26</f>
        <v>0</v>
      </c>
      <c r="K18" s="354"/>
      <c r="L18" s="462"/>
      <c r="M18" s="616"/>
      <c r="N18" s="616"/>
      <c r="O18" s="616"/>
      <c r="P18" s="616"/>
      <c r="Q18" s="616"/>
      <c r="R18" s="616"/>
      <c r="S18" s="616"/>
      <c r="T18" s="616"/>
      <c r="U18" s="616"/>
      <c r="V18" s="616"/>
      <c r="W18" s="616"/>
    </row>
    <row r="19" spans="1:23">
      <c r="A19" s="652">
        <f>ROW()</f>
        <v>19</v>
      </c>
      <c r="B19" s="106" t="s">
        <v>216</v>
      </c>
      <c r="C19" s="448"/>
      <c r="D19" s="800">
        <f>' Enrol &amp; Rev'!F27</f>
        <v>0</v>
      </c>
      <c r="E19" s="800">
        <f>' Enrol &amp; Rev'!G27</f>
        <v>0</v>
      </c>
      <c r="F19" s="800">
        <f>' Enrol &amp; Rev'!H27</f>
        <v>0</v>
      </c>
      <c r="G19" s="800">
        <f>' Enrol &amp; Rev'!I27</f>
        <v>0</v>
      </c>
      <c r="H19" s="800">
        <f>' Enrol &amp; Rev'!J27</f>
        <v>0</v>
      </c>
      <c r="I19" s="800">
        <f>' Enrol &amp; Rev'!K27</f>
        <v>0</v>
      </c>
      <c r="J19" s="800">
        <f>' Enrol &amp; Rev'!L27</f>
        <v>0</v>
      </c>
      <c r="K19" s="354"/>
      <c r="L19" s="462"/>
      <c r="M19" s="616"/>
      <c r="N19" s="616"/>
      <c r="O19" s="616"/>
      <c r="P19" s="616"/>
      <c r="Q19" s="616"/>
      <c r="R19" s="616"/>
      <c r="S19" s="616"/>
      <c r="T19" s="616"/>
      <c r="U19" s="616"/>
      <c r="V19" s="616"/>
      <c r="W19" s="616"/>
    </row>
    <row r="20" spans="1:23">
      <c r="A20" s="652">
        <f>ROW()</f>
        <v>20</v>
      </c>
      <c r="B20" s="106" t="s">
        <v>217</v>
      </c>
      <c r="C20" s="448"/>
      <c r="D20" s="800">
        <f>' Enrol &amp; Rev'!F28</f>
        <v>0</v>
      </c>
      <c r="E20" s="800">
        <f>' Enrol &amp; Rev'!G28</f>
        <v>0</v>
      </c>
      <c r="F20" s="800">
        <f>' Enrol &amp; Rev'!H28</f>
        <v>0</v>
      </c>
      <c r="G20" s="800">
        <f>' Enrol &amp; Rev'!I28</f>
        <v>0</v>
      </c>
      <c r="H20" s="800">
        <f>' Enrol &amp; Rev'!J28</f>
        <v>0</v>
      </c>
      <c r="I20" s="800">
        <f>' Enrol &amp; Rev'!K28</f>
        <v>0</v>
      </c>
      <c r="J20" s="800">
        <f>' Enrol &amp; Rev'!L28</f>
        <v>0</v>
      </c>
      <c r="K20" s="354"/>
      <c r="L20" s="462"/>
      <c r="M20" s="616"/>
      <c r="N20" s="616"/>
      <c r="O20" s="616"/>
      <c r="P20" s="616"/>
      <c r="Q20" s="616"/>
      <c r="R20" s="616"/>
      <c r="S20" s="616"/>
      <c r="T20" s="616"/>
      <c r="U20" s="616"/>
      <c r="V20" s="616"/>
      <c r="W20" s="616"/>
    </row>
    <row r="21" spans="1:23">
      <c r="A21" s="652">
        <f>ROW()</f>
        <v>21</v>
      </c>
      <c r="B21" s="106" t="s">
        <v>218</v>
      </c>
      <c r="C21" s="448"/>
      <c r="D21" s="800">
        <f>' Enrol &amp; Rev'!F29</f>
        <v>0</v>
      </c>
      <c r="E21" s="800">
        <f>' Enrol &amp; Rev'!G29</f>
        <v>0</v>
      </c>
      <c r="F21" s="800">
        <f>' Enrol &amp; Rev'!H29</f>
        <v>0</v>
      </c>
      <c r="G21" s="800">
        <f>' Enrol &amp; Rev'!I29</f>
        <v>0</v>
      </c>
      <c r="H21" s="800">
        <f>' Enrol &amp; Rev'!J29</f>
        <v>0</v>
      </c>
      <c r="I21" s="800">
        <f>' Enrol &amp; Rev'!K29</f>
        <v>0</v>
      </c>
      <c r="J21" s="800">
        <f>' Enrol &amp; Rev'!L29</f>
        <v>0</v>
      </c>
      <c r="K21" s="354"/>
      <c r="L21" s="462"/>
      <c r="M21" s="616"/>
      <c r="N21" s="616"/>
      <c r="O21" s="616"/>
      <c r="P21" s="616"/>
      <c r="Q21" s="616"/>
      <c r="R21" s="616"/>
      <c r="S21" s="616"/>
      <c r="T21" s="616"/>
      <c r="U21" s="616"/>
      <c r="V21" s="616"/>
    </row>
    <row r="22" spans="1:23">
      <c r="A22" s="652">
        <f>ROW()</f>
        <v>22</v>
      </c>
      <c r="B22" s="106" t="s">
        <v>219</v>
      </c>
      <c r="C22" s="448"/>
      <c r="D22" s="800">
        <f>' Enrol &amp; Rev'!F30</f>
        <v>0</v>
      </c>
      <c r="E22" s="800">
        <f>' Enrol &amp; Rev'!G30</f>
        <v>0</v>
      </c>
      <c r="F22" s="800">
        <f>' Enrol &amp; Rev'!H30</f>
        <v>0</v>
      </c>
      <c r="G22" s="800">
        <f>' Enrol &amp; Rev'!I30</f>
        <v>0</v>
      </c>
      <c r="H22" s="800">
        <f>' Enrol &amp; Rev'!J30</f>
        <v>0</v>
      </c>
      <c r="I22" s="800">
        <f>' Enrol &amp; Rev'!K30</f>
        <v>0</v>
      </c>
      <c r="J22" s="800">
        <f>' Enrol &amp; Rev'!L30</f>
        <v>0</v>
      </c>
      <c r="K22" s="354"/>
      <c r="L22" s="462"/>
      <c r="M22" s="616"/>
      <c r="N22" s="616"/>
      <c r="O22" s="616"/>
      <c r="P22" s="616"/>
      <c r="Q22" s="616"/>
      <c r="R22" s="616"/>
      <c r="S22" s="616"/>
      <c r="T22" s="616"/>
      <c r="U22" s="616"/>
      <c r="V22" s="616"/>
    </row>
    <row r="23" spans="1:23">
      <c r="A23" s="652">
        <f>ROW()</f>
        <v>23</v>
      </c>
      <c r="B23" s="106" t="s">
        <v>220</v>
      </c>
      <c r="C23" s="448"/>
      <c r="D23" s="800">
        <f>' Enrol &amp; Rev'!F31</f>
        <v>0</v>
      </c>
      <c r="E23" s="800">
        <f>' Enrol &amp; Rev'!G31</f>
        <v>100</v>
      </c>
      <c r="F23" s="800">
        <f>' Enrol &amp; Rev'!H31</f>
        <v>100</v>
      </c>
      <c r="G23" s="800">
        <f>' Enrol &amp; Rev'!I31</f>
        <v>100</v>
      </c>
      <c r="H23" s="800">
        <f>' Enrol &amp; Rev'!J31</f>
        <v>150</v>
      </c>
      <c r="I23" s="800">
        <f>' Enrol &amp; Rev'!K31</f>
        <v>150</v>
      </c>
      <c r="J23" s="800">
        <f>' Enrol &amp; Rev'!L31</f>
        <v>150</v>
      </c>
      <c r="K23" s="354"/>
      <c r="L23" s="462"/>
      <c r="M23" s="616"/>
      <c r="N23" s="616"/>
      <c r="O23" s="616"/>
      <c r="P23" s="616"/>
      <c r="Q23" s="616"/>
      <c r="R23" s="616"/>
      <c r="S23" s="616"/>
      <c r="T23" s="616"/>
      <c r="U23" s="616"/>
      <c r="V23" s="616"/>
    </row>
    <row r="24" spans="1:23">
      <c r="A24" s="652">
        <f>ROW()</f>
        <v>24</v>
      </c>
      <c r="B24" s="106" t="s">
        <v>221</v>
      </c>
      <c r="C24" s="448"/>
      <c r="D24" s="800">
        <f>' Enrol &amp; Rev'!F32</f>
        <v>0</v>
      </c>
      <c r="E24" s="800">
        <f>' Enrol &amp; Rev'!G32</f>
        <v>100</v>
      </c>
      <c r="F24" s="800">
        <f>' Enrol &amp; Rev'!H32</f>
        <v>100</v>
      </c>
      <c r="G24" s="800">
        <f>' Enrol &amp; Rev'!I32</f>
        <v>100</v>
      </c>
      <c r="H24" s="800">
        <f>' Enrol &amp; Rev'!J32</f>
        <v>100</v>
      </c>
      <c r="I24" s="800">
        <f>' Enrol &amp; Rev'!K32</f>
        <v>150</v>
      </c>
      <c r="J24" s="800">
        <f>' Enrol &amp; Rev'!L32</f>
        <v>150</v>
      </c>
      <c r="K24" s="354"/>
      <c r="L24" s="462"/>
      <c r="M24" s="616"/>
      <c r="N24" s="616"/>
      <c r="O24" s="616"/>
      <c r="P24" s="616"/>
      <c r="Q24" s="616"/>
      <c r="R24" s="616"/>
      <c r="S24" s="616"/>
      <c r="T24" s="616"/>
      <c r="U24" s="616"/>
      <c r="V24" s="616"/>
    </row>
    <row r="25" spans="1:23">
      <c r="A25" s="652">
        <f>ROW()</f>
        <v>25</v>
      </c>
      <c r="B25" s="106" t="s">
        <v>222</v>
      </c>
      <c r="C25" s="448"/>
      <c r="D25" s="800">
        <f>' Enrol &amp; Rev'!F33</f>
        <v>0</v>
      </c>
      <c r="E25" s="800">
        <f>' Enrol &amp; Rev'!G33</f>
        <v>0</v>
      </c>
      <c r="F25" s="800">
        <f>' Enrol &amp; Rev'!H33</f>
        <v>100</v>
      </c>
      <c r="G25" s="800">
        <f>' Enrol &amp; Rev'!I33</f>
        <v>100</v>
      </c>
      <c r="H25" s="800">
        <f>' Enrol &amp; Rev'!J33</f>
        <v>100</v>
      </c>
      <c r="I25" s="800">
        <f>' Enrol &amp; Rev'!K33</f>
        <v>100</v>
      </c>
      <c r="J25" s="800">
        <f>' Enrol &amp; Rev'!L33</f>
        <v>150</v>
      </c>
      <c r="K25" s="354"/>
      <c r="L25" s="462"/>
      <c r="M25" s="616"/>
      <c r="N25" s="616"/>
      <c r="O25" s="616"/>
      <c r="P25" s="616"/>
      <c r="Q25" s="616"/>
      <c r="R25" s="616"/>
      <c r="S25" s="616"/>
      <c r="T25" s="616"/>
      <c r="U25" s="616"/>
      <c r="V25" s="616"/>
    </row>
    <row r="26" spans="1:23">
      <c r="A26" s="652">
        <f>ROW()</f>
        <v>26</v>
      </c>
      <c r="B26" s="877" t="s">
        <v>223</v>
      </c>
      <c r="C26" s="1121"/>
      <c r="D26" s="802">
        <f>' Enrol &amp; Rev'!F34</f>
        <v>0</v>
      </c>
      <c r="E26" s="802">
        <f>' Enrol &amp; Rev'!G34</f>
        <v>0</v>
      </c>
      <c r="F26" s="802">
        <f>' Enrol &amp; Rev'!H34</f>
        <v>0</v>
      </c>
      <c r="G26" s="802">
        <f>' Enrol &amp; Rev'!I34</f>
        <v>100</v>
      </c>
      <c r="H26" s="802">
        <f>' Enrol &amp; Rev'!J34</f>
        <v>100</v>
      </c>
      <c r="I26" s="802">
        <f>' Enrol &amp; Rev'!K34</f>
        <v>100</v>
      </c>
      <c r="J26" s="802">
        <f>' Enrol &amp; Rev'!L34</f>
        <v>100</v>
      </c>
      <c r="K26" s="354"/>
      <c r="L26" s="462"/>
      <c r="M26" s="616"/>
      <c r="N26" s="616"/>
      <c r="O26" s="616"/>
      <c r="P26" s="616"/>
      <c r="Q26" s="616"/>
      <c r="R26" s="616"/>
      <c r="S26" s="616"/>
      <c r="T26" s="616"/>
      <c r="U26" s="616"/>
      <c r="V26" s="616"/>
    </row>
    <row r="27" spans="1:23">
      <c r="A27" s="652">
        <f>ROW()</f>
        <v>27</v>
      </c>
      <c r="B27" s="255" t="s">
        <v>224</v>
      </c>
      <c r="C27" s="255"/>
      <c r="D27" s="403">
        <f t="shared" ref="D27:J27" si="2">SUM(D14:D26)</f>
        <v>0</v>
      </c>
      <c r="E27" s="403">
        <f t="shared" si="2"/>
        <v>200</v>
      </c>
      <c r="F27" s="403">
        <f t="shared" si="2"/>
        <v>300</v>
      </c>
      <c r="G27" s="403">
        <f t="shared" si="2"/>
        <v>400</v>
      </c>
      <c r="H27" s="403">
        <f t="shared" si="2"/>
        <v>450</v>
      </c>
      <c r="I27" s="403">
        <f t="shared" si="2"/>
        <v>500</v>
      </c>
      <c r="J27" s="403">
        <f t="shared" si="2"/>
        <v>550</v>
      </c>
      <c r="K27" s="403"/>
      <c r="L27" s="462"/>
      <c r="M27" s="616"/>
      <c r="N27" s="616"/>
      <c r="O27" s="616"/>
      <c r="P27" s="616"/>
      <c r="Q27" s="616"/>
      <c r="R27" s="616"/>
      <c r="S27" s="616"/>
      <c r="T27" s="616"/>
      <c r="U27" s="616"/>
      <c r="V27" s="616"/>
    </row>
    <row r="28" spans="1:23">
      <c r="A28" s="652">
        <f>ROW()</f>
        <v>28</v>
      </c>
      <c r="B28" s="102" t="s">
        <v>225</v>
      </c>
      <c r="C28" s="102"/>
      <c r="D28" s="192"/>
      <c r="E28" s="192">
        <f>IFERROR(E27/E12,0)</f>
        <v>29.000000000000004</v>
      </c>
      <c r="F28" s="192">
        <f t="shared" ref="F28:J28" si="3">IFERROR(F27/F12,0)</f>
        <v>21</v>
      </c>
      <c r="G28" s="192">
        <f t="shared" si="3"/>
        <v>19</v>
      </c>
      <c r="H28" s="192">
        <f t="shared" si="3"/>
        <v>18</v>
      </c>
      <c r="I28" s="192">
        <f t="shared" si="3"/>
        <v>17</v>
      </c>
      <c r="J28" s="192">
        <f t="shared" si="3"/>
        <v>19</v>
      </c>
      <c r="K28" s="192"/>
      <c r="L28" s="462"/>
      <c r="M28" s="616"/>
      <c r="N28" s="616"/>
      <c r="O28" s="616"/>
      <c r="P28" s="616"/>
      <c r="Q28" s="616"/>
      <c r="R28" s="616"/>
      <c r="S28" s="616"/>
      <c r="T28" s="616"/>
      <c r="U28" s="616"/>
      <c r="V28" s="616"/>
    </row>
    <row r="29" spans="1:23">
      <c r="A29" s="652">
        <f>ROW()</f>
        <v>29</v>
      </c>
      <c r="B29" s="102" t="s">
        <v>226</v>
      </c>
      <c r="C29" s="102"/>
      <c r="D29" s="192"/>
      <c r="E29" s="494">
        <f t="shared" ref="E29:J29" si="4">IFERROR(IF(AND(E27,$G$51)&gt;0,E27/$G51,0),0)</f>
        <v>0</v>
      </c>
      <c r="F29" s="495">
        <f t="shared" si="4"/>
        <v>0</v>
      </c>
      <c r="G29" s="495">
        <f t="shared" si="4"/>
        <v>0</v>
      </c>
      <c r="H29" s="495">
        <f t="shared" si="4"/>
        <v>0</v>
      </c>
      <c r="I29" s="495">
        <f t="shared" si="4"/>
        <v>0</v>
      </c>
      <c r="J29" s="495">
        <f t="shared" si="4"/>
        <v>0</v>
      </c>
      <c r="K29" s="192"/>
      <c r="L29" s="462"/>
      <c r="M29" s="616"/>
      <c r="N29" s="616"/>
      <c r="O29" s="616"/>
      <c r="P29" s="616"/>
      <c r="Q29" s="616"/>
      <c r="R29" s="616"/>
      <c r="S29" s="616"/>
      <c r="T29" s="616"/>
      <c r="U29" s="616"/>
      <c r="V29" s="616"/>
    </row>
    <row r="30" spans="1:23">
      <c r="A30" s="652">
        <f>ROW()</f>
        <v>30</v>
      </c>
      <c r="B30" s="102" t="s">
        <v>227</v>
      </c>
      <c r="C30" s="102"/>
      <c r="D30" s="192"/>
      <c r="E30" s="494">
        <f t="shared" ref="E30:J30" si="5">IFERROR(IF(AND(E27,$H$70)&gt;0,E27/$H70,0),0)</f>
        <v>0</v>
      </c>
      <c r="F30" s="494">
        <f t="shared" si="5"/>
        <v>0</v>
      </c>
      <c r="G30" s="494">
        <f t="shared" si="5"/>
        <v>0</v>
      </c>
      <c r="H30" s="494">
        <f t="shared" si="5"/>
        <v>0</v>
      </c>
      <c r="I30" s="494">
        <f t="shared" si="5"/>
        <v>0</v>
      </c>
      <c r="J30" s="494">
        <f t="shared" si="5"/>
        <v>0</v>
      </c>
      <c r="K30" s="192"/>
      <c r="L30" s="462"/>
      <c r="M30" s="616"/>
      <c r="N30" s="616"/>
      <c r="O30" s="616"/>
      <c r="P30" s="616"/>
      <c r="Q30" s="616"/>
      <c r="R30" s="616"/>
      <c r="S30" s="616"/>
      <c r="T30" s="616"/>
      <c r="U30" s="616"/>
      <c r="V30" s="616"/>
    </row>
    <row r="31" spans="1:23">
      <c r="A31" s="652">
        <f>ROW()</f>
        <v>31</v>
      </c>
      <c r="B31" s="244" t="s">
        <v>228</v>
      </c>
      <c r="C31" s="102"/>
      <c r="D31" s="192"/>
      <c r="E31" s="494"/>
      <c r="F31" s="495"/>
      <c r="G31" s="495"/>
      <c r="H31" s="495"/>
      <c r="I31" s="495"/>
      <c r="J31" s="495"/>
      <c r="K31" s="192"/>
      <c r="L31" s="462"/>
      <c r="M31" s="616"/>
      <c r="N31" s="616"/>
      <c r="O31" s="616"/>
      <c r="P31" s="616"/>
      <c r="Q31" s="616"/>
      <c r="R31" s="616"/>
      <c r="S31" s="616"/>
      <c r="T31" s="616"/>
      <c r="U31" s="616"/>
      <c r="V31" s="616"/>
    </row>
    <row r="32" spans="1:23">
      <c r="A32" s="652"/>
      <c r="B32" s="109"/>
      <c r="C32" s="109"/>
      <c r="D32" s="109"/>
      <c r="E32" s="102"/>
      <c r="F32" s="110"/>
      <c r="G32" s="111"/>
      <c r="H32" s="111"/>
      <c r="I32" s="111"/>
      <c r="J32" s="111"/>
      <c r="K32" s="111"/>
      <c r="L32" s="462"/>
      <c r="M32" s="616"/>
      <c r="N32" s="616"/>
      <c r="O32" s="616"/>
      <c r="P32" s="616"/>
      <c r="Q32" s="616"/>
      <c r="R32" s="616"/>
      <c r="S32" s="616"/>
      <c r="T32" s="616"/>
      <c r="U32" s="616"/>
      <c r="V32" s="616"/>
    </row>
    <row r="33" spans="1:22" ht="15.6">
      <c r="A33" s="288" t="s">
        <v>1243</v>
      </c>
      <c r="B33" s="109"/>
      <c r="C33" s="109"/>
      <c r="D33" s="109"/>
      <c r="E33" s="100"/>
      <c r="F33" s="110"/>
      <c r="G33" s="111"/>
      <c r="H33" s="111"/>
      <c r="I33" s="75"/>
      <c r="J33" s="75"/>
      <c r="K33" s="75"/>
      <c r="L33" s="462"/>
      <c r="M33" s="616"/>
      <c r="N33" s="616"/>
      <c r="O33" s="616"/>
      <c r="P33" s="616"/>
      <c r="Q33" s="616"/>
      <c r="R33" s="616"/>
      <c r="S33" s="616"/>
      <c r="T33" s="616"/>
      <c r="U33" s="616"/>
      <c r="V33" s="616"/>
    </row>
    <row r="34" spans="1:22" ht="30" customHeight="1">
      <c r="A34" s="1122"/>
      <c r="B34" s="2188" t="s">
        <v>1427</v>
      </c>
      <c r="C34" s="2188"/>
      <c r="D34" s="1689"/>
      <c r="E34" s="1124" t="s">
        <v>1284</v>
      </c>
      <c r="F34" s="1123" t="s">
        <v>229</v>
      </c>
      <c r="G34" s="1124" t="s">
        <v>230</v>
      </c>
      <c r="H34" s="1124" t="s">
        <v>231</v>
      </c>
      <c r="I34" s="949" t="s">
        <v>232</v>
      </c>
      <c r="K34" s="286"/>
      <c r="L34" s="1212" t="s">
        <v>233</v>
      </c>
      <c r="M34" s="616"/>
      <c r="N34" s="616"/>
      <c r="O34" s="616"/>
      <c r="P34" s="616"/>
      <c r="Q34" s="616"/>
      <c r="R34" s="616"/>
      <c r="S34" s="616"/>
      <c r="T34" s="616"/>
      <c r="U34" s="616"/>
      <c r="V34" s="616"/>
    </row>
    <row r="35" spans="1:22">
      <c r="A35" s="1125">
        <f>ROW()</f>
        <v>35</v>
      </c>
      <c r="B35" s="2186" t="s">
        <v>234</v>
      </c>
      <c r="C35" s="2186"/>
      <c r="D35" s="2186"/>
      <c r="E35" s="1126"/>
      <c r="F35" s="1126"/>
      <c r="G35" s="1127"/>
      <c r="H35" s="1128">
        <v>0</v>
      </c>
      <c r="I35" s="1129">
        <v>0</v>
      </c>
      <c r="K35" s="286"/>
      <c r="L35" s="462" t="s">
        <v>235</v>
      </c>
      <c r="M35" s="616"/>
      <c r="N35" s="616"/>
      <c r="O35" s="616"/>
      <c r="P35" s="616"/>
      <c r="Q35" s="616"/>
      <c r="R35" s="616"/>
      <c r="S35" s="616"/>
      <c r="T35" s="616"/>
      <c r="U35" s="616"/>
      <c r="V35" s="616"/>
    </row>
    <row r="36" spans="1:22">
      <c r="A36" s="803">
        <f>ROW()</f>
        <v>36</v>
      </c>
      <c r="B36" s="2187" t="s">
        <v>236</v>
      </c>
      <c r="C36" s="2187"/>
      <c r="D36" s="2187"/>
      <c r="E36" s="407"/>
      <c r="F36" s="407"/>
      <c r="G36" s="408"/>
      <c r="H36" s="362">
        <v>0</v>
      </c>
      <c r="I36" s="1130">
        <v>0</v>
      </c>
      <c r="K36" s="286"/>
      <c r="L36" s="462"/>
      <c r="M36" s="616"/>
      <c r="N36" s="616"/>
      <c r="O36" s="616"/>
      <c r="P36" s="616"/>
      <c r="Q36" s="616"/>
      <c r="R36" s="616"/>
      <c r="S36" s="616"/>
      <c r="T36" s="616"/>
      <c r="U36" s="616"/>
      <c r="V36" s="616"/>
    </row>
    <row r="37" spans="1:22">
      <c r="A37" s="803">
        <f>ROW()</f>
        <v>37</v>
      </c>
      <c r="B37" s="2187" t="s">
        <v>237</v>
      </c>
      <c r="C37" s="2187"/>
      <c r="D37" s="2187"/>
      <c r="E37" s="407"/>
      <c r="F37" s="407"/>
      <c r="G37" s="408"/>
      <c r="H37" s="362">
        <v>0</v>
      </c>
      <c r="I37" s="1130">
        <v>0</v>
      </c>
      <c r="K37" s="286"/>
      <c r="L37" s="462"/>
      <c r="M37" s="616"/>
      <c r="N37" s="616"/>
      <c r="O37" s="616"/>
      <c r="P37" s="616"/>
      <c r="Q37" s="616"/>
      <c r="R37" s="616"/>
      <c r="S37" s="616"/>
      <c r="T37" s="616"/>
      <c r="U37" s="616"/>
      <c r="V37" s="616"/>
    </row>
    <row r="38" spans="1:22">
      <c r="A38" s="803">
        <f>ROW()</f>
        <v>38</v>
      </c>
      <c r="B38" s="2187"/>
      <c r="C38" s="2187"/>
      <c r="D38" s="2187"/>
      <c r="E38" s="407"/>
      <c r="F38" s="407"/>
      <c r="G38" s="408"/>
      <c r="H38" s="362">
        <v>0</v>
      </c>
      <c r="I38" s="1130">
        <v>0</v>
      </c>
      <c r="K38" s="286"/>
      <c r="L38" s="462"/>
      <c r="M38" s="616"/>
      <c r="N38" s="616"/>
      <c r="O38" s="616"/>
      <c r="P38" s="616"/>
      <c r="Q38" s="616"/>
      <c r="R38" s="616"/>
      <c r="S38" s="616"/>
      <c r="T38" s="616"/>
      <c r="U38" s="616"/>
      <c r="V38" s="616"/>
    </row>
    <row r="39" spans="1:22">
      <c r="A39" s="803">
        <f>ROW()</f>
        <v>39</v>
      </c>
      <c r="B39" s="2187"/>
      <c r="C39" s="2187"/>
      <c r="D39" s="2187"/>
      <c r="E39" s="407"/>
      <c r="F39" s="407"/>
      <c r="G39" s="408"/>
      <c r="H39" s="362">
        <v>0</v>
      </c>
      <c r="I39" s="1130">
        <v>0</v>
      </c>
      <c r="K39" s="286"/>
      <c r="L39" s="462"/>
      <c r="M39" s="616"/>
      <c r="N39" s="616"/>
      <c r="O39" s="616"/>
      <c r="P39" s="616"/>
      <c r="Q39" s="616"/>
      <c r="R39" s="616"/>
      <c r="S39" s="616"/>
      <c r="T39" s="616"/>
      <c r="U39" s="616"/>
      <c r="V39" s="616"/>
    </row>
    <row r="40" spans="1:22">
      <c r="A40" s="803">
        <f>ROW()</f>
        <v>40</v>
      </c>
      <c r="B40" s="2187"/>
      <c r="C40" s="2187"/>
      <c r="D40" s="2187"/>
      <c r="E40" s="407"/>
      <c r="F40" s="407"/>
      <c r="G40" s="408"/>
      <c r="H40" s="362">
        <v>0</v>
      </c>
      <c r="I40" s="1130">
        <v>0</v>
      </c>
      <c r="K40" s="286"/>
      <c r="L40" s="462"/>
      <c r="M40" s="616"/>
      <c r="N40" s="616"/>
      <c r="O40" s="616"/>
      <c r="P40" s="616"/>
      <c r="Q40" s="616"/>
      <c r="R40" s="616"/>
      <c r="S40" s="616"/>
      <c r="T40" s="616"/>
      <c r="U40" s="616"/>
      <c r="V40" s="616"/>
    </row>
    <row r="41" spans="1:22">
      <c r="A41" s="803">
        <f>ROW()</f>
        <v>41</v>
      </c>
      <c r="B41" s="2187"/>
      <c r="C41" s="2187"/>
      <c r="D41" s="2187"/>
      <c r="E41" s="407"/>
      <c r="F41" s="407"/>
      <c r="G41" s="408"/>
      <c r="H41" s="362">
        <v>0</v>
      </c>
      <c r="I41" s="1130">
        <v>0</v>
      </c>
      <c r="K41" s="286"/>
      <c r="L41" s="462"/>
      <c r="M41" s="616"/>
      <c r="N41" s="616"/>
      <c r="O41" s="616"/>
      <c r="P41" s="616"/>
      <c r="Q41" s="616"/>
      <c r="R41" s="616"/>
      <c r="S41" s="616"/>
      <c r="T41" s="616"/>
      <c r="U41" s="616"/>
      <c r="V41" s="616"/>
    </row>
    <row r="42" spans="1:22">
      <c r="A42" s="803">
        <f>ROW()</f>
        <v>42</v>
      </c>
      <c r="B42" s="2187"/>
      <c r="C42" s="2187"/>
      <c r="D42" s="2187"/>
      <c r="E42" s="407"/>
      <c r="F42" s="407"/>
      <c r="G42" s="408"/>
      <c r="H42" s="362">
        <v>0</v>
      </c>
      <c r="I42" s="1130">
        <v>0</v>
      </c>
      <c r="K42" s="286"/>
      <c r="L42" s="462"/>
      <c r="M42" s="616"/>
      <c r="N42" s="616"/>
      <c r="O42" s="616"/>
      <c r="P42" s="616"/>
      <c r="Q42" s="616"/>
      <c r="R42" s="616"/>
      <c r="S42" s="616"/>
      <c r="T42" s="616"/>
      <c r="U42" s="616"/>
      <c r="V42" s="616"/>
    </row>
    <row r="43" spans="1:22">
      <c r="A43" s="803">
        <f>ROW()</f>
        <v>43</v>
      </c>
      <c r="B43" s="1598"/>
      <c r="C43" s="1598"/>
      <c r="D43" s="1598"/>
      <c r="E43" s="407"/>
      <c r="F43" s="407"/>
      <c r="G43" s="408"/>
      <c r="H43" s="362"/>
      <c r="I43" s="1130"/>
      <c r="K43" s="286"/>
      <c r="L43" s="462"/>
      <c r="M43" s="616"/>
      <c r="N43" s="616"/>
      <c r="O43" s="616"/>
      <c r="P43" s="616"/>
      <c r="Q43" s="616"/>
      <c r="R43" s="616"/>
      <c r="S43" s="616"/>
      <c r="T43" s="616"/>
      <c r="U43" s="616"/>
      <c r="V43" s="616"/>
    </row>
    <row r="44" spans="1:22">
      <c r="A44" s="803">
        <f>ROW()</f>
        <v>44</v>
      </c>
      <c r="B44" s="1598"/>
      <c r="C44" s="1598"/>
      <c r="D44" s="1598"/>
      <c r="E44" s="407"/>
      <c r="F44" s="407"/>
      <c r="G44" s="408"/>
      <c r="H44" s="362"/>
      <c r="I44" s="1130"/>
      <c r="K44" s="286"/>
      <c r="L44" s="462"/>
      <c r="M44" s="616"/>
      <c r="N44" s="616"/>
      <c r="O44" s="616"/>
      <c r="P44" s="616"/>
      <c r="Q44" s="616"/>
      <c r="R44" s="616"/>
      <c r="S44" s="616"/>
      <c r="T44" s="616"/>
      <c r="U44" s="616"/>
      <c r="V44" s="616"/>
    </row>
    <row r="45" spans="1:22">
      <c r="A45" s="803">
        <f>ROW()</f>
        <v>45</v>
      </c>
      <c r="B45" s="2187"/>
      <c r="C45" s="2187"/>
      <c r="D45" s="2187"/>
      <c r="E45" s="407"/>
      <c r="F45" s="407"/>
      <c r="G45" s="408"/>
      <c r="H45" s="362">
        <v>0</v>
      </c>
      <c r="I45" s="1130">
        <v>0</v>
      </c>
      <c r="K45" s="286"/>
      <c r="L45" s="462"/>
      <c r="M45" s="616"/>
      <c r="N45" s="616"/>
      <c r="O45" s="616"/>
      <c r="P45" s="616"/>
      <c r="Q45" s="616"/>
      <c r="R45" s="616"/>
      <c r="S45" s="616"/>
      <c r="T45" s="616"/>
      <c r="U45" s="616"/>
      <c r="V45" s="616"/>
    </row>
    <row r="46" spans="1:22">
      <c r="A46" s="1298">
        <f>ROW()</f>
        <v>46</v>
      </c>
      <c r="B46" s="1599"/>
      <c r="C46" s="1599"/>
      <c r="D46" s="1599"/>
      <c r="E46" s="1206"/>
      <c r="F46" s="1206"/>
      <c r="G46" s="1207"/>
      <c r="H46" s="364"/>
      <c r="I46" s="1208"/>
      <c r="K46" s="286"/>
      <c r="L46" s="462"/>
      <c r="M46" s="616"/>
      <c r="N46" s="616"/>
      <c r="O46" s="616"/>
      <c r="P46" s="616"/>
      <c r="Q46" s="616"/>
      <c r="R46" s="616"/>
      <c r="S46" s="616"/>
      <c r="T46" s="616"/>
      <c r="U46" s="616"/>
      <c r="V46" s="616"/>
    </row>
    <row r="47" spans="1:22">
      <c r="A47" s="1298">
        <f>ROW()</f>
        <v>47</v>
      </c>
      <c r="B47" s="1599"/>
      <c r="C47" s="1599"/>
      <c r="D47" s="1599"/>
      <c r="E47" s="1206"/>
      <c r="F47" s="1206"/>
      <c r="G47" s="1207"/>
      <c r="H47" s="364"/>
      <c r="I47" s="1208"/>
      <c r="K47" s="286"/>
      <c r="L47" s="462"/>
      <c r="M47" s="616"/>
      <c r="N47" s="616"/>
      <c r="O47" s="616"/>
      <c r="P47" s="616"/>
      <c r="Q47" s="616"/>
      <c r="R47" s="616"/>
      <c r="S47" s="616"/>
      <c r="T47" s="616"/>
      <c r="U47" s="616"/>
      <c r="V47" s="616"/>
    </row>
    <row r="48" spans="1:22">
      <c r="A48" s="1298">
        <f>ROW()</f>
        <v>48</v>
      </c>
      <c r="B48" s="1599"/>
      <c r="C48" s="1599"/>
      <c r="D48" s="1599"/>
      <c r="E48" s="1206"/>
      <c r="F48" s="1206"/>
      <c r="G48" s="1207"/>
      <c r="H48" s="364"/>
      <c r="I48" s="1208"/>
      <c r="K48" s="286"/>
      <c r="L48" s="462"/>
      <c r="M48" s="616"/>
      <c r="N48" s="616"/>
      <c r="O48" s="616"/>
      <c r="P48" s="616"/>
      <c r="Q48" s="616"/>
      <c r="R48" s="616"/>
      <c r="S48" s="616"/>
      <c r="T48" s="616"/>
      <c r="U48" s="616"/>
      <c r="V48" s="616"/>
    </row>
    <row r="49" spans="1:22">
      <c r="A49" s="1298">
        <f>ROW()</f>
        <v>49</v>
      </c>
      <c r="B49" s="1599"/>
      <c r="C49" s="1599"/>
      <c r="D49" s="1599"/>
      <c r="E49" s="1206"/>
      <c r="F49" s="1206"/>
      <c r="G49" s="1207"/>
      <c r="H49" s="364"/>
      <c r="I49" s="1208"/>
      <c r="K49" s="286"/>
      <c r="L49" s="462"/>
      <c r="M49" s="616"/>
      <c r="N49" s="616"/>
      <c r="O49" s="616"/>
      <c r="P49" s="616"/>
      <c r="Q49" s="616"/>
      <c r="R49" s="616"/>
      <c r="S49" s="616"/>
      <c r="T49" s="616"/>
      <c r="U49" s="616"/>
      <c r="V49" s="616"/>
    </row>
    <row r="50" spans="1:22">
      <c r="A50" s="1211">
        <f>ROW()</f>
        <v>50</v>
      </c>
      <c r="B50" s="1599"/>
      <c r="C50" s="1599"/>
      <c r="D50" s="1599"/>
      <c r="E50" s="1206"/>
      <c r="F50" s="1206"/>
      <c r="G50" s="1207"/>
      <c r="H50" s="364">
        <v>0</v>
      </c>
      <c r="I50" s="1900">
        <v>0</v>
      </c>
      <c r="K50" s="286"/>
      <c r="L50" s="462"/>
      <c r="M50" s="616"/>
      <c r="N50" s="616"/>
      <c r="O50" s="616"/>
      <c r="P50" s="616"/>
      <c r="Q50" s="616"/>
      <c r="R50" s="616"/>
      <c r="S50" s="616"/>
      <c r="T50" s="616"/>
      <c r="U50" s="616"/>
      <c r="V50" s="616"/>
    </row>
    <row r="51" spans="1:22">
      <c r="A51" s="98"/>
      <c r="B51" s="1958"/>
      <c r="C51" s="1958"/>
      <c r="D51" s="1958"/>
      <c r="E51" s="1958"/>
      <c r="F51" s="1959"/>
      <c r="G51" s="1959">
        <f>SUM(H35:H50)</f>
        <v>0</v>
      </c>
      <c r="H51" s="1960">
        <f>IFERROR(SUMPRODUCT(H35:H50,I35:I50)/G51,0)</f>
        <v>0</v>
      </c>
      <c r="I51" s="1961"/>
      <c r="K51" s="434"/>
      <c r="L51" s="462"/>
      <c r="M51" s="616"/>
      <c r="N51" s="616"/>
      <c r="O51" s="616"/>
      <c r="P51" s="616"/>
      <c r="Q51" s="616"/>
      <c r="R51" s="616"/>
      <c r="S51" s="616"/>
      <c r="T51" s="616"/>
      <c r="U51" s="616"/>
      <c r="V51" s="616"/>
    </row>
    <row r="52" spans="1:22">
      <c r="A52" s="98"/>
      <c r="B52" s="1962" t="s">
        <v>1462</v>
      </c>
      <c r="C52" s="1963"/>
      <c r="D52" s="1963"/>
      <c r="E52" s="1964"/>
      <c r="F52" s="1965"/>
      <c r="G52" s="1965"/>
      <c r="H52" s="1966"/>
      <c r="I52" s="1961"/>
      <c r="K52" s="434"/>
      <c r="L52" s="462"/>
      <c r="M52" s="616"/>
      <c r="N52" s="616"/>
      <c r="O52" s="616"/>
      <c r="P52" s="616"/>
      <c r="Q52" s="616"/>
      <c r="R52" s="616"/>
      <c r="S52" s="616"/>
      <c r="T52" s="616"/>
      <c r="U52" s="616"/>
      <c r="V52" s="616"/>
    </row>
    <row r="53" spans="1:22">
      <c r="A53" s="98"/>
      <c r="B53" s="244" t="s">
        <v>1463</v>
      </c>
      <c r="C53" s="102"/>
      <c r="D53" s="102"/>
      <c r="E53" s="102"/>
      <c r="F53" s="239"/>
      <c r="G53" s="239"/>
      <c r="H53" s="435"/>
      <c r="I53" s="165"/>
      <c r="K53" s="434"/>
      <c r="L53" s="462"/>
      <c r="M53" s="616"/>
      <c r="N53" s="616"/>
      <c r="O53" s="616"/>
      <c r="P53" s="616"/>
      <c r="Q53" s="616"/>
      <c r="R53" s="616"/>
      <c r="S53" s="616"/>
      <c r="T53" s="616"/>
      <c r="U53" s="616"/>
      <c r="V53" s="616"/>
    </row>
    <row r="54" spans="1:22">
      <c r="A54" s="98"/>
      <c r="B54" s="102"/>
      <c r="C54" s="102"/>
      <c r="D54" s="102"/>
      <c r="E54" s="102"/>
      <c r="F54" s="239"/>
      <c r="G54" s="239"/>
      <c r="H54" s="435"/>
      <c r="I54" s="165"/>
      <c r="K54" s="434"/>
      <c r="L54" s="462"/>
      <c r="M54" s="616"/>
      <c r="N54" s="616"/>
      <c r="O54" s="616"/>
      <c r="P54" s="616"/>
      <c r="Q54" s="616"/>
      <c r="R54" s="616"/>
      <c r="S54" s="616"/>
      <c r="T54" s="616"/>
      <c r="U54" s="616"/>
      <c r="V54" s="616"/>
    </row>
    <row r="55" spans="1:22">
      <c r="A55" s="98"/>
      <c r="B55" s="447" t="s">
        <v>238</v>
      </c>
      <c r="C55" s="102"/>
      <c r="D55" s="102"/>
      <c r="E55" s="102"/>
      <c r="F55" s="239"/>
      <c r="G55" s="239"/>
      <c r="H55" s="435"/>
      <c r="I55" s="165"/>
      <c r="K55" s="434"/>
      <c r="L55" s="462"/>
      <c r="M55" s="616"/>
      <c r="N55" s="616"/>
      <c r="O55" s="616"/>
      <c r="P55" s="616"/>
      <c r="Q55" s="616"/>
      <c r="R55" s="616"/>
      <c r="S55" s="616"/>
      <c r="T55" s="616"/>
      <c r="U55" s="616"/>
      <c r="V55" s="616"/>
    </row>
    <row r="56" spans="1:22">
      <c r="A56" s="98"/>
      <c r="B56" s="244" t="s">
        <v>239</v>
      </c>
      <c r="C56" s="102"/>
      <c r="D56" s="102"/>
      <c r="E56" s="102"/>
      <c r="F56" s="239"/>
      <c r="G56" s="239"/>
      <c r="H56" s="435"/>
      <c r="I56" s="165"/>
      <c r="K56" s="434"/>
      <c r="L56" s="462"/>
      <c r="M56" s="616"/>
      <c r="N56" s="616"/>
      <c r="O56" s="616"/>
      <c r="P56" s="616"/>
      <c r="Q56" s="616"/>
      <c r="R56" s="616"/>
      <c r="S56" s="616"/>
      <c r="T56" s="616"/>
      <c r="U56" s="616"/>
      <c r="V56" s="616"/>
    </row>
    <row r="57" spans="1:22">
      <c r="A57" s="98"/>
      <c r="B57" s="102"/>
      <c r="C57" s="102"/>
      <c r="D57" s="102"/>
      <c r="E57" s="102"/>
      <c r="F57" s="239"/>
      <c r="G57" s="239"/>
      <c r="H57" s="435"/>
      <c r="I57" s="165"/>
      <c r="K57" s="434"/>
      <c r="L57" s="462"/>
      <c r="M57" s="616"/>
      <c r="N57" s="616"/>
      <c r="O57" s="616"/>
      <c r="P57" s="616"/>
      <c r="Q57" s="616"/>
      <c r="R57" s="616"/>
      <c r="S57" s="616"/>
      <c r="T57" s="616"/>
      <c r="U57" s="616"/>
      <c r="V57" s="616"/>
    </row>
    <row r="58" spans="1:22" ht="15.6">
      <c r="A58" s="288" t="s">
        <v>1244</v>
      </c>
      <c r="B58" s="630"/>
      <c r="C58" s="630"/>
      <c r="D58" s="630"/>
      <c r="E58" s="104"/>
      <c r="F58" s="934"/>
      <c r="G58" s="935"/>
      <c r="H58" s="935"/>
      <c r="I58" s="165"/>
      <c r="K58" s="75"/>
      <c r="L58" s="462"/>
      <c r="M58" s="616"/>
      <c r="N58" s="616"/>
      <c r="O58" s="616"/>
      <c r="P58" s="616"/>
      <c r="Q58" s="616"/>
      <c r="R58" s="616"/>
      <c r="S58" s="616"/>
      <c r="T58" s="616"/>
      <c r="U58" s="616"/>
      <c r="V58" s="616"/>
    </row>
    <row r="59" spans="1:22" ht="35.25" customHeight="1">
      <c r="A59" s="287"/>
      <c r="B59" s="2189" t="s">
        <v>1242</v>
      </c>
      <c r="C59" s="2189"/>
      <c r="D59" s="1690"/>
      <c r="E59" s="1955" t="s">
        <v>1284</v>
      </c>
      <c r="F59" s="947" t="s">
        <v>229</v>
      </c>
      <c r="G59" s="948" t="s">
        <v>230</v>
      </c>
      <c r="H59" s="948" t="s">
        <v>231</v>
      </c>
      <c r="I59" s="949" t="s">
        <v>232</v>
      </c>
      <c r="K59" s="75"/>
      <c r="L59" s="1212" t="s">
        <v>240</v>
      </c>
      <c r="M59" s="616"/>
      <c r="N59" s="616"/>
      <c r="O59" s="616"/>
      <c r="P59" s="616"/>
      <c r="Q59" s="616"/>
      <c r="R59" s="616"/>
      <c r="S59" s="616"/>
      <c r="T59" s="616"/>
      <c r="U59" s="616"/>
      <c r="V59" s="616"/>
    </row>
    <row r="60" spans="1:22">
      <c r="A60" s="804">
        <f>ROW()</f>
        <v>60</v>
      </c>
      <c r="B60" s="2186" t="s">
        <v>81</v>
      </c>
      <c r="C60" s="2186"/>
      <c r="D60" s="2186"/>
      <c r="E60" s="407"/>
      <c r="F60" s="407"/>
      <c r="G60" s="408"/>
      <c r="H60" s="362">
        <v>0</v>
      </c>
      <c r="I60" s="1129">
        <v>1</v>
      </c>
      <c r="K60" s="75"/>
      <c r="L60" s="462"/>
      <c r="M60" s="616"/>
      <c r="N60" s="616"/>
      <c r="O60" s="616"/>
      <c r="P60" s="616"/>
      <c r="Q60" s="616"/>
      <c r="R60" s="616"/>
      <c r="S60" s="616"/>
      <c r="T60" s="616"/>
      <c r="U60" s="616"/>
      <c r="V60" s="616"/>
    </row>
    <row r="61" spans="1:22">
      <c r="A61" s="803">
        <f>ROW()</f>
        <v>61</v>
      </c>
      <c r="B61" s="2187"/>
      <c r="C61" s="2187"/>
      <c r="D61" s="2187"/>
      <c r="E61" s="407"/>
      <c r="F61" s="407"/>
      <c r="G61" s="408"/>
      <c r="H61" s="362">
        <v>0</v>
      </c>
      <c r="I61" s="1130">
        <v>0</v>
      </c>
      <c r="K61" s="75"/>
      <c r="L61" s="462"/>
      <c r="M61" s="616"/>
      <c r="N61" s="616"/>
      <c r="O61" s="616"/>
      <c r="P61" s="616"/>
      <c r="Q61" s="616"/>
      <c r="R61" s="616"/>
      <c r="S61" s="616"/>
      <c r="T61" s="616"/>
      <c r="U61" s="616"/>
      <c r="V61" s="616"/>
    </row>
    <row r="62" spans="1:22">
      <c r="A62" s="803">
        <f>ROW()</f>
        <v>62</v>
      </c>
      <c r="B62" s="2187"/>
      <c r="C62" s="2187"/>
      <c r="D62" s="2187"/>
      <c r="E62" s="407"/>
      <c r="F62" s="407"/>
      <c r="G62" s="408"/>
      <c r="H62" s="362">
        <v>0</v>
      </c>
      <c r="I62" s="1130">
        <v>0</v>
      </c>
      <c r="K62" s="75"/>
      <c r="L62" s="462"/>
      <c r="M62" s="616"/>
      <c r="N62" s="616"/>
      <c r="O62" s="616"/>
      <c r="P62" s="616"/>
      <c r="Q62" s="616"/>
      <c r="R62" s="616"/>
      <c r="S62" s="616"/>
      <c r="T62" s="616"/>
      <c r="U62" s="616"/>
      <c r="V62" s="616"/>
    </row>
    <row r="63" spans="1:22">
      <c r="A63" s="803">
        <f>ROW()</f>
        <v>63</v>
      </c>
      <c r="B63" s="2187"/>
      <c r="C63" s="2187"/>
      <c r="D63" s="2187"/>
      <c r="E63" s="407"/>
      <c r="F63" s="407"/>
      <c r="G63" s="408"/>
      <c r="H63" s="362">
        <v>0</v>
      </c>
      <c r="I63" s="1130">
        <v>0</v>
      </c>
      <c r="K63" s="75"/>
      <c r="L63" s="462"/>
      <c r="M63" s="616"/>
      <c r="N63" s="616"/>
      <c r="O63" s="616"/>
      <c r="P63" s="616"/>
      <c r="Q63" s="616"/>
      <c r="R63" s="616"/>
      <c r="S63" s="616"/>
      <c r="T63" s="616"/>
      <c r="U63" s="616"/>
      <c r="V63" s="616"/>
    </row>
    <row r="64" spans="1:22">
      <c r="A64" s="803">
        <f>ROW()</f>
        <v>64</v>
      </c>
      <c r="B64" s="2187"/>
      <c r="C64" s="2187"/>
      <c r="D64" s="2187"/>
      <c r="E64" s="407"/>
      <c r="F64" s="407"/>
      <c r="G64" s="408"/>
      <c r="H64" s="362">
        <v>0</v>
      </c>
      <c r="I64" s="1130">
        <v>0</v>
      </c>
      <c r="K64" s="75"/>
      <c r="L64" s="462"/>
      <c r="M64" s="616"/>
      <c r="N64" s="616"/>
      <c r="O64" s="616"/>
      <c r="P64" s="616"/>
      <c r="Q64" s="616"/>
      <c r="R64" s="616"/>
      <c r="S64" s="616"/>
      <c r="T64" s="616"/>
      <c r="U64" s="616"/>
      <c r="V64" s="616"/>
    </row>
    <row r="65" spans="1:22">
      <c r="A65" s="803">
        <f>ROW()</f>
        <v>65</v>
      </c>
      <c r="B65" s="1598"/>
      <c r="C65" s="1598"/>
      <c r="D65" s="1598"/>
      <c r="E65" s="407"/>
      <c r="F65" s="407"/>
      <c r="G65" s="408"/>
      <c r="H65" s="362">
        <v>0</v>
      </c>
      <c r="I65" s="1130">
        <v>0</v>
      </c>
      <c r="K65" s="75"/>
      <c r="L65" s="462"/>
      <c r="M65" s="616"/>
      <c r="N65" s="616"/>
      <c r="O65" s="616"/>
      <c r="P65" s="616"/>
      <c r="Q65" s="616"/>
      <c r="R65" s="616"/>
      <c r="S65" s="616"/>
      <c r="T65" s="616"/>
      <c r="U65" s="616"/>
      <c r="V65" s="616"/>
    </row>
    <row r="66" spans="1:22">
      <c r="A66" s="803">
        <f>ROW()</f>
        <v>66</v>
      </c>
      <c r="B66" s="1598"/>
      <c r="C66" s="1598"/>
      <c r="D66" s="1598"/>
      <c r="E66" s="407"/>
      <c r="F66" s="407"/>
      <c r="G66" s="408"/>
      <c r="H66" s="362">
        <v>0</v>
      </c>
      <c r="I66" s="1130">
        <v>0</v>
      </c>
      <c r="K66" s="75"/>
      <c r="L66" s="462"/>
      <c r="M66" s="616"/>
      <c r="N66" s="616"/>
      <c r="O66" s="616"/>
      <c r="P66" s="616"/>
      <c r="Q66" s="616"/>
      <c r="R66" s="616"/>
      <c r="S66" s="616"/>
      <c r="T66" s="616"/>
      <c r="U66" s="616"/>
      <c r="V66" s="616"/>
    </row>
    <row r="67" spans="1:22">
      <c r="A67" s="803">
        <f>ROW()</f>
        <v>67</v>
      </c>
      <c r="B67" s="1598"/>
      <c r="C67" s="1598"/>
      <c r="D67" s="1598"/>
      <c r="E67" s="407"/>
      <c r="F67" s="407"/>
      <c r="G67" s="408"/>
      <c r="H67" s="362">
        <v>0</v>
      </c>
      <c r="I67" s="1130">
        <v>0</v>
      </c>
      <c r="K67" s="75"/>
      <c r="L67" s="462"/>
      <c r="M67" s="616"/>
      <c r="N67" s="616"/>
      <c r="O67" s="616"/>
      <c r="P67" s="616"/>
      <c r="Q67" s="616"/>
      <c r="R67" s="616"/>
      <c r="S67" s="616"/>
      <c r="T67" s="616"/>
      <c r="U67" s="616"/>
      <c r="V67" s="616"/>
    </row>
    <row r="68" spans="1:22">
      <c r="A68" s="803">
        <f>ROW()</f>
        <v>68</v>
      </c>
      <c r="B68" s="1598"/>
      <c r="C68" s="1598"/>
      <c r="D68" s="1598"/>
      <c r="E68" s="407"/>
      <c r="F68" s="407"/>
      <c r="G68" s="408"/>
      <c r="H68" s="362">
        <v>0</v>
      </c>
      <c r="I68" s="1130">
        <v>0</v>
      </c>
      <c r="K68" s="75"/>
      <c r="L68" s="462"/>
      <c r="M68" s="616"/>
      <c r="N68" s="616"/>
      <c r="O68" s="616"/>
      <c r="P68" s="616"/>
      <c r="Q68" s="616"/>
      <c r="R68" s="616"/>
      <c r="S68" s="616"/>
      <c r="T68" s="616"/>
      <c r="U68" s="616"/>
      <c r="V68" s="616"/>
    </row>
    <row r="69" spans="1:22">
      <c r="A69" s="1211">
        <f>ROW()</f>
        <v>69</v>
      </c>
      <c r="B69" s="2185"/>
      <c r="C69" s="2185"/>
      <c r="D69" s="2185"/>
      <c r="E69" s="1206"/>
      <c r="F69" s="1206"/>
      <c r="G69" s="1207"/>
      <c r="H69" s="364">
        <v>0</v>
      </c>
      <c r="I69" s="1208">
        <v>0</v>
      </c>
      <c r="K69" s="75"/>
      <c r="L69" s="462"/>
      <c r="M69" s="616"/>
      <c r="N69" s="616"/>
      <c r="O69" s="616"/>
      <c r="P69" s="616"/>
      <c r="Q69" s="616"/>
      <c r="R69" s="616"/>
      <c r="S69" s="616"/>
      <c r="T69" s="616"/>
      <c r="U69" s="616"/>
      <c r="V69" s="616"/>
    </row>
    <row r="70" spans="1:22" ht="13.5" customHeight="1">
      <c r="A70" s="98"/>
      <c r="B70" s="223"/>
      <c r="C70" s="223"/>
      <c r="D70" s="223"/>
      <c r="E70" s="223"/>
      <c r="F70" s="223"/>
      <c r="G70" s="1209"/>
      <c r="H70" s="1209">
        <f>SUM(H60:H69)</f>
        <v>0</v>
      </c>
      <c r="I70" s="1210">
        <f>IFERROR(SUMPRODUCT(H60:H69,I60:I69)/H70,0)</f>
        <v>0</v>
      </c>
      <c r="K70" s="239"/>
      <c r="L70" s="462"/>
      <c r="M70" s="616"/>
      <c r="N70" s="616"/>
      <c r="O70" s="616"/>
      <c r="P70" s="616"/>
      <c r="Q70" s="616"/>
      <c r="R70" s="616"/>
      <c r="S70" s="616"/>
      <c r="T70" s="616"/>
      <c r="U70" s="616"/>
      <c r="V70" s="616"/>
    </row>
    <row r="71" spans="1:22">
      <c r="A71" s="98"/>
      <c r="B71" s="109"/>
      <c r="C71" s="109"/>
      <c r="D71" s="109"/>
      <c r="E71" s="102"/>
      <c r="F71" s="110"/>
      <c r="G71" s="111"/>
      <c r="H71" s="111"/>
      <c r="I71" s="165"/>
      <c r="K71" s="239"/>
      <c r="L71" s="462"/>
      <c r="M71" s="616"/>
      <c r="N71" s="616"/>
      <c r="O71" s="616"/>
      <c r="P71" s="616"/>
      <c r="Q71" s="616"/>
      <c r="R71" s="616"/>
      <c r="S71" s="616"/>
      <c r="T71" s="616"/>
      <c r="U71" s="616"/>
      <c r="V71" s="616"/>
    </row>
    <row r="72" spans="1:22">
      <c r="B72" s="100"/>
      <c r="C72" s="100"/>
      <c r="D72" s="100"/>
      <c r="E72" s="100"/>
      <c r="F72" s="100"/>
      <c r="G72" s="100"/>
      <c r="H72" s="100"/>
      <c r="I72" s="165"/>
      <c r="M72" s="616"/>
      <c r="N72" s="616"/>
      <c r="O72" s="616"/>
      <c r="P72" s="616"/>
      <c r="Q72" s="616"/>
      <c r="R72" s="616"/>
      <c r="S72" s="616"/>
      <c r="T72" s="616"/>
      <c r="U72" s="616"/>
      <c r="V72" s="616"/>
    </row>
    <row r="73" spans="1:22">
      <c r="B73" s="79"/>
      <c r="C73" s="79"/>
      <c r="D73" s="79"/>
      <c r="E73" s="79"/>
      <c r="F73" s="79"/>
      <c r="G73" s="79"/>
      <c r="M73" s="616"/>
      <c r="N73" s="616"/>
      <c r="O73" s="616"/>
      <c r="P73" s="616"/>
      <c r="Q73" s="616"/>
      <c r="R73" s="616"/>
      <c r="S73" s="616"/>
      <c r="T73" s="616"/>
      <c r="U73" s="616"/>
      <c r="V73" s="616"/>
    </row>
    <row r="74" spans="1:22">
      <c r="M74" s="616"/>
      <c r="N74" s="616"/>
      <c r="O74" s="616"/>
      <c r="P74" s="616"/>
      <c r="Q74" s="616"/>
      <c r="R74" s="616"/>
      <c r="S74" s="616"/>
      <c r="T74" s="616"/>
      <c r="U74" s="616"/>
      <c r="V74" s="616"/>
    </row>
    <row r="75" spans="1:22">
      <c r="M75" s="616"/>
      <c r="N75" s="616"/>
      <c r="O75" s="616"/>
      <c r="P75" s="616"/>
      <c r="Q75" s="616"/>
      <c r="R75" s="616"/>
      <c r="S75" s="616"/>
      <c r="T75" s="616"/>
      <c r="U75" s="616"/>
      <c r="V75" s="616"/>
    </row>
    <row r="76" spans="1:22">
      <c r="M76" s="616"/>
      <c r="N76" s="616"/>
      <c r="O76" s="616"/>
      <c r="P76" s="616"/>
      <c r="Q76" s="616"/>
      <c r="R76" s="616"/>
      <c r="S76" s="616"/>
      <c r="T76" s="616"/>
      <c r="U76" s="616"/>
      <c r="V76" s="616"/>
    </row>
    <row r="77" spans="1:22">
      <c r="M77" s="616"/>
      <c r="N77" s="616"/>
      <c r="O77" s="616"/>
      <c r="P77" s="616"/>
      <c r="Q77" s="616"/>
      <c r="R77" s="616"/>
      <c r="S77" s="616"/>
      <c r="T77" s="616"/>
      <c r="U77" s="616"/>
      <c r="V77" s="616"/>
    </row>
    <row r="78" spans="1:22">
      <c r="M78" s="616"/>
      <c r="N78" s="616"/>
      <c r="O78" s="616"/>
      <c r="P78" s="616"/>
      <c r="Q78" s="616"/>
      <c r="R78" s="616"/>
      <c r="S78" s="616"/>
      <c r="T78" s="616"/>
      <c r="U78" s="616"/>
      <c r="V78" s="616"/>
    </row>
    <row r="79" spans="1:22">
      <c r="M79" s="616"/>
      <c r="N79" s="616"/>
      <c r="O79" s="616"/>
      <c r="P79" s="616"/>
      <c r="Q79" s="616"/>
      <c r="R79" s="616"/>
      <c r="S79" s="616"/>
      <c r="T79" s="616"/>
      <c r="U79" s="616"/>
      <c r="V79" s="616"/>
    </row>
    <row r="80" spans="1:22">
      <c r="M80" s="616"/>
      <c r="N80" s="616"/>
      <c r="O80" s="616"/>
      <c r="P80" s="616"/>
      <c r="Q80" s="616"/>
      <c r="R80" s="616"/>
      <c r="S80" s="616"/>
      <c r="T80" s="616"/>
      <c r="U80" s="616"/>
      <c r="V80" s="616"/>
    </row>
    <row r="81" spans="13:22">
      <c r="M81" s="616"/>
      <c r="N81" s="616"/>
      <c r="O81" s="616"/>
      <c r="P81" s="616"/>
      <c r="Q81" s="616"/>
      <c r="R81" s="616"/>
      <c r="S81" s="616"/>
      <c r="T81" s="616"/>
      <c r="U81" s="616"/>
      <c r="V81" s="616"/>
    </row>
    <row r="82" spans="13:22">
      <c r="M82" s="616"/>
      <c r="N82" s="616"/>
      <c r="O82" s="616"/>
      <c r="P82" s="616"/>
      <c r="Q82" s="616"/>
      <c r="R82" s="616"/>
      <c r="S82" s="616"/>
      <c r="T82" s="616"/>
      <c r="U82" s="616"/>
      <c r="V82" s="616"/>
    </row>
    <row r="83" spans="13:22">
      <c r="M83" s="616"/>
      <c r="N83" s="616"/>
      <c r="O83" s="616"/>
      <c r="P83" s="616"/>
      <c r="Q83" s="616"/>
      <c r="R83" s="616"/>
      <c r="S83" s="616"/>
      <c r="T83" s="616"/>
      <c r="U83" s="616"/>
      <c r="V83" s="616"/>
    </row>
    <row r="84" spans="13:22">
      <c r="M84" s="616"/>
      <c r="N84" s="616"/>
      <c r="O84" s="616"/>
      <c r="P84" s="616"/>
      <c r="Q84" s="616"/>
      <c r="R84" s="616"/>
      <c r="S84" s="616"/>
      <c r="T84" s="616"/>
      <c r="U84" s="616"/>
      <c r="V84" s="616"/>
    </row>
  </sheetData>
  <sheetProtection algorithmName="SHA-512" hashValue="AhuTn5oK79qD/1RV1M4Pn+Ev8gRfIx9W2+tUdYm0FRiqkiHEMj5PoM+FdR/0klbKaZhjPH0qB2v208mtIhKIKA==" saltValue="ueBQ1gwN/vM9UXCjCg+ARg==" spinCount="100000" sheet="1" objects="1" scenarios="1"/>
  <mergeCells count="17">
    <mergeCell ref="B34:C34"/>
    <mergeCell ref="B59:C59"/>
    <mergeCell ref="B35:D35"/>
    <mergeCell ref="B36:D36"/>
    <mergeCell ref="B37:D37"/>
    <mergeCell ref="B38:D38"/>
    <mergeCell ref="B39:D39"/>
    <mergeCell ref="B40:D40"/>
    <mergeCell ref="B41:D41"/>
    <mergeCell ref="B42:D42"/>
    <mergeCell ref="B45:D45"/>
    <mergeCell ref="B69:D69"/>
    <mergeCell ref="B60:D60"/>
    <mergeCell ref="B61:D61"/>
    <mergeCell ref="B62:D62"/>
    <mergeCell ref="B63:D63"/>
    <mergeCell ref="B64:D64"/>
  </mergeCells>
  <conditionalFormatting sqref="B14:C26">
    <cfRule type="expression" dxfId="83" priority="66" stopIfTrue="1">
      <formula>MOD(ROW(),2)=0</formula>
    </cfRule>
  </conditionalFormatting>
  <conditionalFormatting sqref="D14:J26">
    <cfRule type="cellIs" dxfId="82" priority="67" stopIfTrue="1" operator="equal">
      <formula>0</formula>
    </cfRule>
  </conditionalFormatting>
  <conditionalFormatting sqref="D11:D12">
    <cfRule type="cellIs" dxfId="81" priority="68" stopIfTrue="1" operator="equal">
      <formula>0</formula>
    </cfRule>
  </conditionalFormatting>
  <conditionalFormatting sqref="E11:J12">
    <cfRule type="cellIs" dxfId="80" priority="69" stopIfTrue="1" operator="equal">
      <formula>0</formula>
    </cfRule>
  </conditionalFormatting>
  <conditionalFormatting sqref="D1">
    <cfRule type="expression" dxfId="79" priority="7" stopIfTrue="1">
      <formula>MOD(ROW(),2)=0</formula>
    </cfRule>
  </conditionalFormatting>
  <hyperlinks>
    <hyperlink ref="D1" location="HypLink1" display="HypLink1" xr:uid="{A10A35EE-80B5-4044-9D6A-1FACE9E32D18}"/>
  </hyperlinks>
  <pageMargins left="0.25" right="0.25" top="0.5" bottom="0.45" header="0.25" footer="0.25"/>
  <pageSetup scale="89" fitToHeight="4" orientation="landscape" r:id="rId1"/>
  <headerFooter>
    <oddHeader xml:space="preserve">&amp;L &amp;C &amp;R </oddHeader>
    <oddFooter>&amp;L&amp;7&amp;D  at &amp;T Mike 702.854.0691&amp;C&amp;7&amp;F  &amp;A&amp;R&amp;7Page &amp;P of &amp;N</oddFooter>
  </headerFooter>
  <rowBreaks count="1" manualBreakCount="1">
    <brk id="32" max="1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00B050"/>
  </sheetPr>
  <dimension ref="A1:Z146"/>
  <sheetViews>
    <sheetView showGridLines="0" topLeftCell="C112" zoomScale="85" zoomScaleNormal="85" workbookViewId="0">
      <selection activeCell="N131" sqref="N131"/>
    </sheetView>
  </sheetViews>
  <sheetFormatPr defaultColWidth="8.77734375" defaultRowHeight="13.8" outlineLevelRow="1"/>
  <cols>
    <col min="1" max="1" width="5.5546875" style="75" customWidth="1"/>
    <col min="2" max="2" width="44.21875" style="75" customWidth="1"/>
    <col min="3" max="3" width="17.77734375" style="75" customWidth="1"/>
    <col min="4" max="4" width="8.77734375" style="75" customWidth="1"/>
    <col min="5" max="5" width="11" style="75" customWidth="1"/>
    <col min="6" max="6" width="15.21875" style="75" customWidth="1"/>
    <col min="7" max="7" width="16.21875" style="79" customWidth="1"/>
    <col min="8" max="9" width="21" style="79" customWidth="1"/>
    <col min="10" max="12" width="17" style="75" customWidth="1"/>
    <col min="13" max="13" width="1.21875" style="75" customWidth="1"/>
    <col min="14" max="14" width="88.5546875" style="416" customWidth="1"/>
    <col min="15" max="24" width="12.21875" style="75" customWidth="1"/>
    <col min="25" max="16384" width="8.77734375" style="75"/>
  </cols>
  <sheetData>
    <row r="1" spans="1:26" ht="17.399999999999999">
      <c r="A1" s="191" t="s">
        <v>241</v>
      </c>
      <c r="B1" s="74"/>
      <c r="D1" s="558" t="s">
        <v>2</v>
      </c>
      <c r="E1" s="558"/>
    </row>
    <row r="2" spans="1:26" ht="15.6">
      <c r="A2" s="189" t="str">
        <f>SchoolName</f>
        <v>Southern Nevada Trades High School</v>
      </c>
      <c r="B2" s="76"/>
    </row>
    <row r="3" spans="1:26">
      <c r="A3" s="78" t="s">
        <v>72</v>
      </c>
      <c r="K3" s="81"/>
    </row>
    <row r="4" spans="1:26">
      <c r="A4" s="80" t="s">
        <v>73</v>
      </c>
    </row>
    <row r="5" spans="1:26">
      <c r="A5" s="71" t="str">
        <f ca="1">CELL("filename")</f>
        <v>C:\Users\jewel\Documents\SNTHS\CHARTER APP FINAL\FINAL COMPILED\[SNTHS Budget Worksheet.xlsx]Summary</v>
      </c>
    </row>
    <row r="6" spans="1:26" ht="15.6">
      <c r="A6" s="95"/>
      <c r="D6" s="96" t="s">
        <v>242</v>
      </c>
      <c r="E6" s="96"/>
      <c r="G6" s="367"/>
      <c r="J6" s="96"/>
    </row>
    <row r="7" spans="1:26">
      <c r="A7" s="95"/>
      <c r="D7" s="97" t="s">
        <v>243</v>
      </c>
      <c r="E7" s="97"/>
      <c r="G7" s="72"/>
      <c r="J7" s="97"/>
    </row>
    <row r="8" spans="1:26">
      <c r="A8" s="95"/>
      <c r="F8" s="709"/>
      <c r="G8" s="139"/>
      <c r="H8" s="144"/>
      <c r="I8" s="144"/>
      <c r="J8" s="144"/>
      <c r="K8" s="144"/>
      <c r="L8" s="144"/>
    </row>
    <row r="9" spans="1:26">
      <c r="A9" s="95"/>
      <c r="B9" s="81"/>
      <c r="C9" s="40"/>
      <c r="D9" s="40"/>
      <c r="E9" s="40"/>
      <c r="F9" s="952" t="s">
        <v>206</v>
      </c>
      <c r="G9" s="953">
        <v>1</v>
      </c>
      <c r="H9" s="953">
        <f>1+G9</f>
        <v>2</v>
      </c>
      <c r="I9" s="953">
        <f>1+H9</f>
        <v>3</v>
      </c>
      <c r="J9" s="953">
        <f>1+I9</f>
        <v>4</v>
      </c>
      <c r="K9" s="953">
        <f>1+J9</f>
        <v>5</v>
      </c>
      <c r="L9" s="1601">
        <f>1+K9</f>
        <v>6</v>
      </c>
    </row>
    <row r="10" spans="1:26">
      <c r="A10" s="653"/>
      <c r="B10" s="99"/>
      <c r="C10" s="40"/>
      <c r="D10" s="40"/>
      <c r="E10" s="40"/>
      <c r="F10" s="954">
        <f>+G10-1</f>
        <v>2022</v>
      </c>
      <c r="G10" s="955">
        <f>Cover!E11</f>
        <v>2023</v>
      </c>
      <c r="H10" s="955">
        <f>+G11</f>
        <v>2024</v>
      </c>
      <c r="I10" s="955">
        <f>+H11</f>
        <v>2025</v>
      </c>
      <c r="J10" s="955">
        <f>+I11</f>
        <v>2026</v>
      </c>
      <c r="K10" s="955">
        <f>+J11</f>
        <v>2027</v>
      </c>
      <c r="L10" s="956">
        <f>+K11</f>
        <v>2028</v>
      </c>
    </row>
    <row r="11" spans="1:26" s="79" customFormat="1" ht="17.399999999999999">
      <c r="A11" s="653">
        <f>ROW()</f>
        <v>11</v>
      </c>
      <c r="B11" s="960" t="s">
        <v>241</v>
      </c>
      <c r="C11" s="961" t="s">
        <v>244</v>
      </c>
      <c r="D11" s="962"/>
      <c r="E11" s="1583"/>
      <c r="F11" s="957">
        <f>+G11-1</f>
        <v>2023</v>
      </c>
      <c r="G11" s="958">
        <f t="shared" ref="G11:L11" si="0">+G10+1</f>
        <v>2024</v>
      </c>
      <c r="H11" s="958">
        <f t="shared" si="0"/>
        <v>2025</v>
      </c>
      <c r="I11" s="958">
        <f t="shared" si="0"/>
        <v>2026</v>
      </c>
      <c r="J11" s="958">
        <f t="shared" si="0"/>
        <v>2027</v>
      </c>
      <c r="K11" s="958">
        <f t="shared" si="0"/>
        <v>2028</v>
      </c>
      <c r="L11" s="959">
        <f t="shared" si="0"/>
        <v>2029</v>
      </c>
      <c r="N11" s="1957"/>
      <c r="O11" s="75"/>
      <c r="P11" s="75"/>
      <c r="Q11" s="75"/>
      <c r="R11" s="75"/>
      <c r="S11" s="75"/>
      <c r="T11" s="75"/>
      <c r="U11" s="75"/>
      <c r="V11" s="75"/>
      <c r="W11" s="75"/>
      <c r="X11" s="75"/>
      <c r="Y11" s="75"/>
      <c r="Z11" s="75"/>
    </row>
    <row r="12" spans="1:26" s="79" customFormat="1" ht="15.6">
      <c r="A12" s="653">
        <f>ROW()</f>
        <v>12</v>
      </c>
      <c r="B12" s="143" t="s">
        <v>245</v>
      </c>
      <c r="C12" s="43"/>
      <c r="D12" s="833"/>
      <c r="E12" s="833"/>
      <c r="F12" s="348"/>
      <c r="G12" s="1612"/>
      <c r="H12" s="1612"/>
      <c r="I12" s="1612"/>
      <c r="J12" s="1612"/>
      <c r="K12" s="1612"/>
      <c r="L12" s="1612"/>
      <c r="N12" s="1957"/>
      <c r="O12" s="75"/>
      <c r="P12" s="75"/>
      <c r="Q12" s="75"/>
      <c r="R12" s="75"/>
      <c r="S12" s="75"/>
      <c r="T12" s="75"/>
      <c r="U12" s="75"/>
      <c r="V12" s="75"/>
      <c r="W12" s="75"/>
      <c r="X12" s="75"/>
      <c r="Y12" s="75"/>
      <c r="Z12" s="75"/>
    </row>
    <row r="13" spans="1:26" s="79" customFormat="1" ht="15.6">
      <c r="A13" s="653">
        <f>ROW()</f>
        <v>13</v>
      </c>
      <c r="B13" s="1131" t="s">
        <v>122</v>
      </c>
      <c r="C13" s="1132"/>
      <c r="D13" s="1132"/>
      <c r="E13" s="1132"/>
      <c r="F13" s="962"/>
      <c r="G13" s="961"/>
      <c r="H13" s="961"/>
      <c r="I13" s="961"/>
      <c r="J13" s="961"/>
      <c r="K13" s="961"/>
      <c r="L13" s="961"/>
      <c r="N13" s="1936" t="s">
        <v>95</v>
      </c>
      <c r="O13" s="75"/>
      <c r="P13" s="75"/>
      <c r="Q13" s="75"/>
      <c r="R13" s="75"/>
      <c r="S13" s="75"/>
      <c r="T13" s="75"/>
      <c r="U13" s="75"/>
      <c r="V13" s="75"/>
      <c r="W13" s="75"/>
      <c r="X13" s="75"/>
      <c r="Y13" s="75"/>
      <c r="Z13" s="75"/>
    </row>
    <row r="14" spans="1:26" s="79" customFormat="1" ht="15.6">
      <c r="A14" s="653">
        <f>ROW()</f>
        <v>14</v>
      </c>
      <c r="B14" s="218"/>
      <c r="C14" s="100"/>
      <c r="D14" s="100"/>
      <c r="E14" s="100"/>
      <c r="F14" s="390"/>
      <c r="G14" s="400"/>
      <c r="H14" s="400"/>
      <c r="I14" s="400"/>
      <c r="J14" s="400"/>
      <c r="K14" s="400"/>
      <c r="L14" s="400"/>
      <c r="N14" s="1975"/>
      <c r="O14" s="75"/>
      <c r="P14" s="75"/>
      <c r="Q14" s="75"/>
      <c r="R14" s="75"/>
      <c r="S14" s="75"/>
      <c r="T14" s="75"/>
      <c r="U14" s="75"/>
      <c r="V14" s="75"/>
      <c r="W14" s="75"/>
      <c r="X14" s="75"/>
      <c r="Y14" s="75"/>
      <c r="Z14" s="75"/>
    </row>
    <row r="15" spans="1:26" s="79" customFormat="1" ht="15.6">
      <c r="A15" s="653">
        <f>ROW()</f>
        <v>15</v>
      </c>
      <c r="B15" s="950" t="s">
        <v>1232</v>
      </c>
      <c r="C15" s="1788"/>
      <c r="D15" s="1788"/>
      <c r="E15" s="1788"/>
      <c r="F15" s="1786"/>
      <c r="G15" s="1787"/>
      <c r="H15" s="1787"/>
      <c r="I15" s="1787"/>
      <c r="J15" s="1787"/>
      <c r="K15" s="1787"/>
      <c r="L15" s="1787"/>
      <c r="N15" s="628"/>
      <c r="O15" s="75"/>
      <c r="P15" s="75"/>
      <c r="Q15" s="75"/>
      <c r="R15" s="75"/>
      <c r="S15" s="75"/>
      <c r="T15" s="75"/>
      <c r="U15" s="75"/>
      <c r="V15" s="75"/>
      <c r="W15" s="75"/>
      <c r="X15" s="75"/>
      <c r="Y15" s="75"/>
      <c r="Z15" s="75"/>
    </row>
    <row r="16" spans="1:26">
      <c r="A16" s="653">
        <f>ROW()</f>
        <v>16</v>
      </c>
      <c r="B16" s="878" t="s">
        <v>209</v>
      </c>
      <c r="C16" s="879"/>
      <c r="D16" s="879"/>
      <c r="E16" s="879"/>
      <c r="F16" s="880"/>
      <c r="G16" s="1075">
        <f t="shared" ref="G16:L16" si="1">COUNTIF(G22:G34,"&gt;0")</f>
        <v>2</v>
      </c>
      <c r="H16" s="1075">
        <f t="shared" si="1"/>
        <v>3</v>
      </c>
      <c r="I16" s="1075">
        <f t="shared" si="1"/>
        <v>4</v>
      </c>
      <c r="J16" s="1075">
        <f t="shared" si="1"/>
        <v>4</v>
      </c>
      <c r="K16" s="1075">
        <f t="shared" si="1"/>
        <v>4</v>
      </c>
      <c r="L16" s="1075">
        <f t="shared" si="1"/>
        <v>4</v>
      </c>
      <c r="N16" s="462"/>
    </row>
    <row r="17" spans="1:14">
      <c r="A17" s="653">
        <f>ROW()</f>
        <v>17</v>
      </c>
      <c r="B17" s="106" t="s">
        <v>246</v>
      </c>
      <c r="C17" s="222"/>
      <c r="D17" s="222"/>
      <c r="E17" s="222"/>
      <c r="F17" s="669"/>
      <c r="G17" s="827">
        <v>29</v>
      </c>
      <c r="H17" s="827">
        <v>21</v>
      </c>
      <c r="I17" s="827">
        <v>19</v>
      </c>
      <c r="J17" s="827">
        <v>18</v>
      </c>
      <c r="K17" s="827">
        <v>17</v>
      </c>
      <c r="L17" s="827">
        <v>19</v>
      </c>
      <c r="N17" s="462"/>
    </row>
    <row r="18" spans="1:14">
      <c r="A18" s="653">
        <f>ROW()</f>
        <v>18</v>
      </c>
      <c r="B18" s="106" t="s">
        <v>247</v>
      </c>
      <c r="C18" s="222"/>
      <c r="D18" s="222"/>
      <c r="E18" s="222"/>
      <c r="F18" s="669"/>
      <c r="G18" s="1076">
        <f>IFERROR(+G35/G17,0)</f>
        <v>6.8965517241379306</v>
      </c>
      <c r="H18" s="1076">
        <f t="shared" ref="H18:L18" si="2">IFERROR(+H35/H17,0)</f>
        <v>14.285714285714286</v>
      </c>
      <c r="I18" s="1076">
        <f t="shared" si="2"/>
        <v>21.05263157894737</v>
      </c>
      <c r="J18" s="1076">
        <f t="shared" si="2"/>
        <v>25</v>
      </c>
      <c r="K18" s="1076">
        <f t="shared" si="2"/>
        <v>29.411764705882351</v>
      </c>
      <c r="L18" s="1076">
        <f t="shared" si="2"/>
        <v>28.94736842105263</v>
      </c>
      <c r="N18" s="462"/>
    </row>
    <row r="19" spans="1:14">
      <c r="A19" s="653">
        <f>ROW()</f>
        <v>19</v>
      </c>
      <c r="B19" s="106" t="s">
        <v>248</v>
      </c>
      <c r="C19" s="222"/>
      <c r="D19" s="222"/>
      <c r="E19" s="222"/>
      <c r="F19" s="669"/>
      <c r="G19" s="1077">
        <v>7</v>
      </c>
      <c r="H19" s="1078">
        <v>14</v>
      </c>
      <c r="I19" s="1078">
        <v>21</v>
      </c>
      <c r="J19" s="1078">
        <v>25</v>
      </c>
      <c r="K19" s="1078">
        <v>29</v>
      </c>
      <c r="L19" s="1078">
        <v>29</v>
      </c>
      <c r="N19" s="462"/>
    </row>
    <row r="20" spans="1:14">
      <c r="A20" s="653">
        <f>ROW()</f>
        <v>20</v>
      </c>
      <c r="B20" s="877" t="s">
        <v>249</v>
      </c>
      <c r="C20" s="895"/>
      <c r="D20" s="895"/>
      <c r="E20" s="895"/>
      <c r="F20" s="896"/>
      <c r="G20" s="1079">
        <f>IFERROR(G35/G19,0)</f>
        <v>28.571428571428573</v>
      </c>
      <c r="H20" s="1079">
        <f t="shared" ref="H20:L20" si="3">IFERROR(H35/H19,0)</f>
        <v>21.428571428571427</v>
      </c>
      <c r="I20" s="1079">
        <f t="shared" si="3"/>
        <v>19.047619047619047</v>
      </c>
      <c r="J20" s="1079">
        <f t="shared" si="3"/>
        <v>18</v>
      </c>
      <c r="K20" s="1079">
        <f t="shared" si="3"/>
        <v>17.241379310344829</v>
      </c>
      <c r="L20" s="1079">
        <f t="shared" si="3"/>
        <v>18.96551724137931</v>
      </c>
      <c r="N20" s="462"/>
    </row>
    <row r="21" spans="1:14">
      <c r="A21" s="653">
        <f>ROW()</f>
        <v>21</v>
      </c>
      <c r="B21" s="49"/>
      <c r="C21" s="49"/>
      <c r="D21" s="49"/>
      <c r="E21" s="49"/>
      <c r="F21" s="353"/>
      <c r="G21" s="353"/>
      <c r="H21" s="353"/>
      <c r="I21" s="353"/>
      <c r="J21" s="353"/>
      <c r="K21" s="353"/>
      <c r="L21" s="353"/>
      <c r="N21" s="462"/>
    </row>
    <row r="22" spans="1:14">
      <c r="A22" s="653">
        <f>ROW()</f>
        <v>22</v>
      </c>
      <c r="B22" s="223" t="s">
        <v>211</v>
      </c>
      <c r="C22" s="193"/>
      <c r="D22" s="193"/>
      <c r="E22" s="193"/>
      <c r="F22" s="894"/>
      <c r="G22" s="1080">
        <v>0</v>
      </c>
      <c r="H22" s="1080">
        <v>0</v>
      </c>
      <c r="I22" s="1080">
        <v>0</v>
      </c>
      <c r="J22" s="1080">
        <v>0</v>
      </c>
      <c r="K22" s="1080">
        <v>0</v>
      </c>
      <c r="L22" s="1080">
        <v>0</v>
      </c>
      <c r="N22" s="462"/>
    </row>
    <row r="23" spans="1:14">
      <c r="A23" s="653">
        <f>ROW()</f>
        <v>23</v>
      </c>
      <c r="B23" s="106" t="s">
        <v>212</v>
      </c>
      <c r="C23" s="222"/>
      <c r="D23" s="222"/>
      <c r="E23" s="222"/>
      <c r="F23" s="667"/>
      <c r="G23" s="828">
        <v>0</v>
      </c>
      <c r="H23" s="828">
        <v>0</v>
      </c>
      <c r="I23" s="828">
        <v>0</v>
      </c>
      <c r="J23" s="828">
        <v>0</v>
      </c>
      <c r="K23" s="828">
        <v>0</v>
      </c>
      <c r="L23" s="828">
        <v>0</v>
      </c>
      <c r="N23" s="462"/>
    </row>
    <row r="24" spans="1:14">
      <c r="A24" s="653">
        <f>ROW()</f>
        <v>24</v>
      </c>
      <c r="B24" s="106" t="s">
        <v>213</v>
      </c>
      <c r="C24" s="222"/>
      <c r="D24" s="222"/>
      <c r="E24" s="222"/>
      <c r="F24" s="667"/>
      <c r="G24" s="828">
        <v>0</v>
      </c>
      <c r="H24" s="828">
        <v>0</v>
      </c>
      <c r="I24" s="828">
        <v>0</v>
      </c>
      <c r="J24" s="828">
        <v>0</v>
      </c>
      <c r="K24" s="828">
        <v>0</v>
      </c>
      <c r="L24" s="828">
        <v>0</v>
      </c>
      <c r="N24" s="462"/>
    </row>
    <row r="25" spans="1:14">
      <c r="A25" s="653">
        <f>ROW()</f>
        <v>25</v>
      </c>
      <c r="B25" s="106" t="s">
        <v>214</v>
      </c>
      <c r="C25" s="222"/>
      <c r="D25" s="222"/>
      <c r="E25" s="222"/>
      <c r="F25" s="667"/>
      <c r="G25" s="828">
        <v>0</v>
      </c>
      <c r="H25" s="828">
        <v>0</v>
      </c>
      <c r="I25" s="828">
        <v>0</v>
      </c>
      <c r="J25" s="828">
        <v>0</v>
      </c>
      <c r="K25" s="828">
        <v>0</v>
      </c>
      <c r="L25" s="828">
        <v>0</v>
      </c>
      <c r="N25" s="462"/>
    </row>
    <row r="26" spans="1:14">
      <c r="A26" s="653">
        <f>ROW()</f>
        <v>26</v>
      </c>
      <c r="B26" s="106" t="s">
        <v>215</v>
      </c>
      <c r="C26" s="222"/>
      <c r="D26" s="222"/>
      <c r="E26" s="222"/>
      <c r="F26" s="667"/>
      <c r="G26" s="828">
        <v>0</v>
      </c>
      <c r="H26" s="828">
        <v>0</v>
      </c>
      <c r="I26" s="828">
        <v>0</v>
      </c>
      <c r="J26" s="828">
        <v>0</v>
      </c>
      <c r="K26" s="828">
        <v>0</v>
      </c>
      <c r="L26" s="828">
        <v>0</v>
      </c>
      <c r="N26" s="462"/>
    </row>
    <row r="27" spans="1:14">
      <c r="A27" s="653">
        <f>ROW()</f>
        <v>27</v>
      </c>
      <c r="B27" s="106" t="s">
        <v>216</v>
      </c>
      <c r="C27" s="222"/>
      <c r="D27" s="222"/>
      <c r="E27" s="222"/>
      <c r="F27" s="668"/>
      <c r="G27" s="828">
        <v>0</v>
      </c>
      <c r="H27" s="828">
        <v>0</v>
      </c>
      <c r="I27" s="828">
        <v>0</v>
      </c>
      <c r="J27" s="828">
        <v>0</v>
      </c>
      <c r="K27" s="828">
        <v>0</v>
      </c>
      <c r="L27" s="828">
        <v>0</v>
      </c>
      <c r="N27" s="462"/>
    </row>
    <row r="28" spans="1:14">
      <c r="A28" s="653">
        <f>ROW()</f>
        <v>28</v>
      </c>
      <c r="B28" s="106" t="s">
        <v>217</v>
      </c>
      <c r="C28" s="222"/>
      <c r="D28" s="222"/>
      <c r="E28" s="222"/>
      <c r="F28" s="668"/>
      <c r="G28" s="828">
        <v>0</v>
      </c>
      <c r="H28" s="828">
        <v>0</v>
      </c>
      <c r="I28" s="828">
        <v>0</v>
      </c>
      <c r="J28" s="828">
        <v>0</v>
      </c>
      <c r="K28" s="828">
        <v>0</v>
      </c>
      <c r="L28" s="828">
        <v>0</v>
      </c>
      <c r="N28" s="462"/>
    </row>
    <row r="29" spans="1:14">
      <c r="A29" s="653">
        <f>ROW()</f>
        <v>29</v>
      </c>
      <c r="B29" s="106" t="s">
        <v>218</v>
      </c>
      <c r="C29" s="222"/>
      <c r="D29" s="222"/>
      <c r="E29" s="222"/>
      <c r="F29" s="668"/>
      <c r="G29" s="828">
        <v>0</v>
      </c>
      <c r="H29" s="828">
        <v>0</v>
      </c>
      <c r="I29" s="828">
        <v>0</v>
      </c>
      <c r="J29" s="828">
        <v>0</v>
      </c>
      <c r="K29" s="828">
        <v>0</v>
      </c>
      <c r="L29" s="828">
        <v>0</v>
      </c>
      <c r="N29" s="462"/>
    </row>
    <row r="30" spans="1:14">
      <c r="A30" s="653">
        <f>ROW()</f>
        <v>30</v>
      </c>
      <c r="B30" s="106" t="s">
        <v>219</v>
      </c>
      <c r="C30" s="222"/>
      <c r="D30" s="222"/>
      <c r="E30" s="222"/>
      <c r="F30" s="668"/>
      <c r="G30" s="828">
        <v>0</v>
      </c>
      <c r="H30" s="828">
        <v>0</v>
      </c>
      <c r="I30" s="828">
        <v>0</v>
      </c>
      <c r="J30" s="828">
        <v>0</v>
      </c>
      <c r="K30" s="828">
        <v>0</v>
      </c>
      <c r="L30" s="828">
        <v>0</v>
      </c>
      <c r="N30" s="462"/>
    </row>
    <row r="31" spans="1:14">
      <c r="A31" s="653">
        <f>ROW()</f>
        <v>31</v>
      </c>
      <c r="B31" s="106" t="s">
        <v>220</v>
      </c>
      <c r="C31" s="222"/>
      <c r="D31" s="222"/>
      <c r="E31" s="222"/>
      <c r="F31" s="668"/>
      <c r="G31" s="828">
        <v>100</v>
      </c>
      <c r="H31" s="828">
        <v>100</v>
      </c>
      <c r="I31" s="828">
        <v>100</v>
      </c>
      <c r="J31" s="828">
        <v>150</v>
      </c>
      <c r="K31" s="828">
        <v>150</v>
      </c>
      <c r="L31" s="828">
        <v>150</v>
      </c>
      <c r="N31" s="462"/>
    </row>
    <row r="32" spans="1:14">
      <c r="A32" s="653">
        <f>ROW()</f>
        <v>32</v>
      </c>
      <c r="B32" s="106" t="s">
        <v>221</v>
      </c>
      <c r="C32" s="222"/>
      <c r="D32" s="222"/>
      <c r="E32" s="222"/>
      <c r="F32" s="668"/>
      <c r="G32" s="828">
        <v>100</v>
      </c>
      <c r="H32" s="828">
        <v>100</v>
      </c>
      <c r="I32" s="828">
        <v>100</v>
      </c>
      <c r="J32" s="828">
        <v>100</v>
      </c>
      <c r="K32" s="828">
        <v>150</v>
      </c>
      <c r="L32" s="828">
        <v>150</v>
      </c>
      <c r="N32" s="462"/>
    </row>
    <row r="33" spans="1:14">
      <c r="A33" s="653">
        <f>ROW()</f>
        <v>33</v>
      </c>
      <c r="B33" s="106" t="s">
        <v>222</v>
      </c>
      <c r="C33" s="222"/>
      <c r="D33" s="222"/>
      <c r="E33" s="222"/>
      <c r="F33" s="668"/>
      <c r="G33" s="828">
        <v>0</v>
      </c>
      <c r="H33" s="828">
        <v>100</v>
      </c>
      <c r="I33" s="828">
        <v>100</v>
      </c>
      <c r="J33" s="828">
        <v>100</v>
      </c>
      <c r="K33" s="828">
        <v>100</v>
      </c>
      <c r="L33" s="828">
        <v>150</v>
      </c>
      <c r="N33" s="462"/>
    </row>
    <row r="34" spans="1:14">
      <c r="A34" s="653">
        <f>ROW()</f>
        <v>34</v>
      </c>
      <c r="B34" s="106" t="s">
        <v>223</v>
      </c>
      <c r="F34" s="1083"/>
      <c r="G34" s="829">
        <v>0</v>
      </c>
      <c r="H34" s="829">
        <v>0</v>
      </c>
      <c r="I34" s="829">
        <v>100</v>
      </c>
      <c r="J34" s="829">
        <v>100</v>
      </c>
      <c r="K34" s="829">
        <v>100</v>
      </c>
      <c r="L34" s="829">
        <v>100</v>
      </c>
      <c r="N34" s="462" t="s">
        <v>1502</v>
      </c>
    </row>
    <row r="35" spans="1:14">
      <c r="A35" s="653">
        <f>ROW()</f>
        <v>35</v>
      </c>
      <c r="B35" s="223" t="s">
        <v>224</v>
      </c>
      <c r="C35" s="193"/>
      <c r="D35" s="193"/>
      <c r="E35" s="193"/>
      <c r="F35" s="194"/>
      <c r="G35" s="1613">
        <f t="shared" ref="G35:L35" si="4">SUM(G22:G34)</f>
        <v>200</v>
      </c>
      <c r="H35" s="1613">
        <f t="shared" si="4"/>
        <v>300</v>
      </c>
      <c r="I35" s="1613">
        <f t="shared" si="4"/>
        <v>400</v>
      </c>
      <c r="J35" s="1613">
        <f t="shared" si="4"/>
        <v>450</v>
      </c>
      <c r="K35" s="1613">
        <f t="shared" si="4"/>
        <v>500</v>
      </c>
      <c r="L35" s="1613">
        <f t="shared" si="4"/>
        <v>550</v>
      </c>
      <c r="N35" s="462"/>
    </row>
    <row r="36" spans="1:14">
      <c r="A36" s="653">
        <f>ROW()</f>
        <v>36</v>
      </c>
      <c r="B36" s="1945" t="s">
        <v>1377</v>
      </c>
      <c r="C36" s="79"/>
      <c r="D36" s="79"/>
      <c r="E36" s="79"/>
      <c r="G36" s="1892">
        <v>100</v>
      </c>
      <c r="H36" s="75"/>
      <c r="I36" s="75"/>
      <c r="N36" s="462" t="s">
        <v>1542</v>
      </c>
    </row>
    <row r="37" spans="1:14" ht="14.4">
      <c r="A37" s="653">
        <f>ROW()</f>
        <v>37</v>
      </c>
      <c r="B37" s="190" t="s">
        <v>250</v>
      </c>
      <c r="F37" s="671"/>
      <c r="G37" s="1081">
        <v>0.85</v>
      </c>
      <c r="H37" s="1081">
        <f>+G37</f>
        <v>0.85</v>
      </c>
      <c r="I37" s="1081">
        <f t="shared" ref="I37:L37" si="5">+H37</f>
        <v>0.85</v>
      </c>
      <c r="J37" s="1081">
        <f t="shared" si="5"/>
        <v>0.85</v>
      </c>
      <c r="K37" s="1081">
        <f t="shared" si="5"/>
        <v>0.85</v>
      </c>
      <c r="L37" s="1081">
        <f t="shared" si="5"/>
        <v>0.85</v>
      </c>
      <c r="N37" s="462"/>
    </row>
    <row r="38" spans="1:14" ht="14.4">
      <c r="A38" s="653">
        <f>ROW()</f>
        <v>38</v>
      </c>
      <c r="B38" s="190" t="s">
        <v>251</v>
      </c>
      <c r="F38" s="111"/>
      <c r="G38" s="1082">
        <f t="shared" ref="G38:L38" si="6">+G35*(1-G37)</f>
        <v>30.000000000000004</v>
      </c>
      <c r="H38" s="1082">
        <f t="shared" si="6"/>
        <v>45.000000000000007</v>
      </c>
      <c r="I38" s="1082">
        <f t="shared" si="6"/>
        <v>60.000000000000007</v>
      </c>
      <c r="J38" s="1082">
        <f t="shared" si="6"/>
        <v>67.500000000000014</v>
      </c>
      <c r="K38" s="1082">
        <f t="shared" si="6"/>
        <v>75.000000000000014</v>
      </c>
      <c r="L38" s="1082">
        <f t="shared" si="6"/>
        <v>82.500000000000014</v>
      </c>
      <c r="N38" s="462"/>
    </row>
    <row r="39" spans="1:14" ht="14.4">
      <c r="A39" s="653">
        <f>ROW()</f>
        <v>39</v>
      </c>
      <c r="B39" s="190"/>
      <c r="F39" s="111"/>
      <c r="G39" s="1082"/>
      <c r="H39" s="1082"/>
      <c r="I39" s="1082"/>
      <c r="J39" s="1082"/>
      <c r="K39" s="1082"/>
      <c r="L39" s="1082"/>
      <c r="N39" s="462"/>
    </row>
    <row r="40" spans="1:14">
      <c r="A40" s="653">
        <f>ROW()</f>
        <v>40</v>
      </c>
      <c r="B40" s="1871" t="s">
        <v>1358</v>
      </c>
      <c r="C40" s="1771"/>
      <c r="D40" s="1771"/>
      <c r="E40" s="1771"/>
      <c r="F40" s="1772"/>
      <c r="G40" s="1773"/>
      <c r="H40" s="1772"/>
      <c r="I40" s="1772"/>
      <c r="J40" s="1772"/>
      <c r="K40" s="1772"/>
      <c r="L40" s="1772"/>
      <c r="N40" s="462"/>
    </row>
    <row r="41" spans="1:14">
      <c r="A41" s="653">
        <f>ROW()</f>
        <v>41</v>
      </c>
      <c r="B41" s="1769"/>
      <c r="C41" s="1586"/>
      <c r="D41" s="1567" t="s">
        <v>1233</v>
      </c>
      <c r="E41" s="1567"/>
      <c r="F41" s="416"/>
      <c r="G41" s="416"/>
      <c r="H41" s="416"/>
      <c r="I41" s="416"/>
      <c r="J41" s="416"/>
      <c r="K41" s="416"/>
      <c r="L41" s="416"/>
      <c r="N41" s="462"/>
    </row>
    <row r="42" spans="1:14">
      <c r="A42" s="653">
        <f>ROW()</f>
        <v>42</v>
      </c>
      <c r="B42" s="416"/>
      <c r="C42" s="1567"/>
      <c r="D42" s="1567" t="s">
        <v>1228</v>
      </c>
      <c r="E42" s="1567"/>
      <c r="F42" s="416"/>
      <c r="G42" s="416"/>
      <c r="H42" s="416"/>
      <c r="I42" s="416"/>
      <c r="J42" s="416"/>
      <c r="K42" s="416"/>
      <c r="L42" s="416"/>
      <c r="N42" s="462"/>
    </row>
    <row r="43" spans="1:14">
      <c r="A43" s="653">
        <f>ROW()</f>
        <v>43</v>
      </c>
      <c r="B43" s="1569"/>
      <c r="C43" s="1568"/>
      <c r="D43" s="1569"/>
      <c r="E43" s="1570"/>
      <c r="F43" s="1768"/>
      <c r="G43" s="1768"/>
      <c r="H43" s="1768"/>
      <c r="I43" s="1768"/>
      <c r="J43" s="1768"/>
      <c r="K43" s="1768"/>
      <c r="L43" s="1768"/>
      <c r="N43" s="462"/>
    </row>
    <row r="44" spans="1:14" ht="14.4">
      <c r="A44" s="653">
        <f>ROW()</f>
        <v>44</v>
      </c>
      <c r="B44" s="1982" t="s">
        <v>1445</v>
      </c>
      <c r="C44" s="1754"/>
      <c r="D44" s="1789">
        <v>0.11</v>
      </c>
      <c r="E44" s="1754"/>
      <c r="F44" s="1863"/>
      <c r="G44" s="1868">
        <f t="shared" ref="G44:L47" si="7">+$D44*G$35</f>
        <v>22</v>
      </c>
      <c r="H44" s="1868">
        <f t="shared" si="7"/>
        <v>33</v>
      </c>
      <c r="I44" s="1868">
        <f t="shared" si="7"/>
        <v>44</v>
      </c>
      <c r="J44" s="1868">
        <f t="shared" si="7"/>
        <v>49.5</v>
      </c>
      <c r="K44" s="1868">
        <f t="shared" si="7"/>
        <v>55</v>
      </c>
      <c r="L44" s="1868">
        <f t="shared" si="7"/>
        <v>60.5</v>
      </c>
      <c r="N44" s="462"/>
    </row>
    <row r="45" spans="1:14">
      <c r="A45" s="653">
        <f>ROW()</f>
        <v>45</v>
      </c>
      <c r="B45" s="1587" t="s">
        <v>1238</v>
      </c>
      <c r="C45" s="1754"/>
      <c r="D45" s="1789">
        <v>0.3</v>
      </c>
      <c r="E45" s="1754"/>
      <c r="F45" s="1864"/>
      <c r="G45" s="1868">
        <f t="shared" si="7"/>
        <v>60</v>
      </c>
      <c r="H45" s="1868">
        <f t="shared" si="7"/>
        <v>90</v>
      </c>
      <c r="I45" s="1868">
        <f t="shared" si="7"/>
        <v>120</v>
      </c>
      <c r="J45" s="1868">
        <f t="shared" si="7"/>
        <v>135</v>
      </c>
      <c r="K45" s="1868">
        <f t="shared" si="7"/>
        <v>150</v>
      </c>
      <c r="L45" s="1868">
        <f t="shared" si="7"/>
        <v>165</v>
      </c>
      <c r="N45" s="462"/>
    </row>
    <row r="46" spans="1:14" ht="14.4">
      <c r="A46" s="653">
        <f>ROW()</f>
        <v>46</v>
      </c>
      <c r="B46" s="1587" t="s">
        <v>254</v>
      </c>
      <c r="C46" s="1754"/>
      <c r="D46" s="1789">
        <v>0</v>
      </c>
      <c r="E46" s="1755"/>
      <c r="F46" s="1865"/>
      <c r="G46" s="1868">
        <f t="shared" si="7"/>
        <v>0</v>
      </c>
      <c r="H46" s="1868">
        <f t="shared" si="7"/>
        <v>0</v>
      </c>
      <c r="I46" s="1868">
        <f t="shared" si="7"/>
        <v>0</v>
      </c>
      <c r="J46" s="1868">
        <f t="shared" si="7"/>
        <v>0</v>
      </c>
      <c r="K46" s="1868">
        <f t="shared" si="7"/>
        <v>0</v>
      </c>
      <c r="L46" s="1868">
        <f t="shared" si="7"/>
        <v>0</v>
      </c>
      <c r="N46" s="462"/>
    </row>
    <row r="47" spans="1:14" ht="14.4">
      <c r="A47" s="653">
        <f>ROW()</f>
        <v>47</v>
      </c>
      <c r="B47" s="1587" t="s">
        <v>1287</v>
      </c>
      <c r="C47" s="1754"/>
      <c r="D47" s="1789">
        <v>0.95</v>
      </c>
      <c r="E47" s="1754"/>
      <c r="F47" s="1865"/>
      <c r="G47" s="1868">
        <f t="shared" si="7"/>
        <v>190</v>
      </c>
      <c r="H47" s="1868">
        <f t="shared" si="7"/>
        <v>285</v>
      </c>
      <c r="I47" s="1868">
        <f t="shared" si="7"/>
        <v>380</v>
      </c>
      <c r="J47" s="1868">
        <f t="shared" si="7"/>
        <v>427.5</v>
      </c>
      <c r="K47" s="1868">
        <f t="shared" si="7"/>
        <v>475</v>
      </c>
      <c r="L47" s="1868">
        <f t="shared" si="7"/>
        <v>522.5</v>
      </c>
      <c r="N47" s="462"/>
    </row>
    <row r="48" spans="1:14" ht="14.4">
      <c r="A48" s="653">
        <f>ROW()</f>
        <v>48</v>
      </c>
      <c r="B48" s="1588"/>
      <c r="C48" s="1572"/>
      <c r="D48" s="1756"/>
      <c r="E48" s="1756"/>
      <c r="F48" s="1866"/>
      <c r="G48" s="1867"/>
      <c r="H48" s="1867"/>
      <c r="I48" s="1867"/>
      <c r="J48" s="1867"/>
      <c r="K48" s="1867"/>
      <c r="L48" s="1867"/>
      <c r="N48" s="462"/>
    </row>
    <row r="49" spans="1:14">
      <c r="A49" s="653">
        <f>ROW()</f>
        <v>49</v>
      </c>
      <c r="B49" s="1967" t="s">
        <v>1411</v>
      </c>
      <c r="C49" s="416"/>
      <c r="D49" s="1695">
        <f>SUM(D44:D48)</f>
        <v>1.3599999999999999</v>
      </c>
      <c r="E49" s="1696"/>
      <c r="F49" s="1861" t="s">
        <v>1355</v>
      </c>
      <c r="G49" s="1862">
        <f>SUM(G44:G48)</f>
        <v>272</v>
      </c>
      <c r="H49" s="1862">
        <f t="shared" ref="H49:L49" si="8">SUM(H44:H48)</f>
        <v>408</v>
      </c>
      <c r="I49" s="1862">
        <f t="shared" si="8"/>
        <v>544</v>
      </c>
      <c r="J49" s="1862">
        <f t="shared" si="8"/>
        <v>612</v>
      </c>
      <c r="K49" s="1862">
        <f t="shared" si="8"/>
        <v>680</v>
      </c>
      <c r="L49" s="1862">
        <f t="shared" si="8"/>
        <v>748</v>
      </c>
      <c r="N49" s="462"/>
    </row>
    <row r="50" spans="1:14">
      <c r="A50" s="653">
        <f>ROW()</f>
        <v>50</v>
      </c>
      <c r="B50" s="1589"/>
      <c r="C50" s="416"/>
      <c r="D50" s="1591"/>
      <c r="E50" s="1591"/>
      <c r="F50" s="1592"/>
      <c r="G50" s="1593"/>
      <c r="H50" s="1593"/>
      <c r="I50" s="1593"/>
      <c r="J50" s="1593"/>
      <c r="K50" s="1593"/>
      <c r="L50" s="1593"/>
      <c r="N50" s="462"/>
    </row>
    <row r="51" spans="1:14" ht="14.4">
      <c r="A51" s="653">
        <f>ROW()</f>
        <v>51</v>
      </c>
      <c r="B51" s="1190"/>
      <c r="F51" s="111"/>
      <c r="G51" s="1082"/>
      <c r="H51" s="1082"/>
      <c r="I51" s="1082"/>
      <c r="J51" s="1082"/>
      <c r="K51" s="1082"/>
      <c r="L51" s="1082"/>
      <c r="N51" s="462"/>
    </row>
    <row r="52" spans="1:14">
      <c r="A52" s="653">
        <f>ROW()</f>
        <v>52</v>
      </c>
      <c r="B52" s="1770" t="s">
        <v>1447</v>
      </c>
      <c r="C52" s="1771"/>
      <c r="D52" s="1771"/>
      <c r="E52" s="1771"/>
      <c r="F52" s="1772"/>
      <c r="G52" s="1773"/>
      <c r="H52" s="1772"/>
      <c r="I52" s="1772"/>
      <c r="J52" s="1772"/>
      <c r="K52" s="1772"/>
      <c r="L52" s="1772"/>
      <c r="N52" s="462"/>
    </row>
    <row r="53" spans="1:14">
      <c r="A53" s="653">
        <f>ROW()</f>
        <v>53</v>
      </c>
      <c r="B53" s="1968" t="s">
        <v>1448</v>
      </c>
      <c r="C53" s="166"/>
      <c r="D53" s="166"/>
      <c r="E53" s="166"/>
      <c r="F53" s="1969"/>
      <c r="G53" s="1969"/>
      <c r="H53" s="1969"/>
      <c r="I53" s="1969"/>
      <c r="J53" s="1969"/>
      <c r="K53" s="1969"/>
      <c r="L53" s="1969"/>
      <c r="N53" s="462"/>
    </row>
    <row r="54" spans="1:14">
      <c r="A54" s="653">
        <f>ROW()</f>
        <v>54</v>
      </c>
      <c r="B54" s="1968" t="s">
        <v>1429</v>
      </c>
      <c r="C54" s="1969"/>
      <c r="D54" s="1968"/>
      <c r="E54" s="1969"/>
      <c r="F54" s="1969"/>
      <c r="G54" s="1969"/>
      <c r="H54" s="1969"/>
      <c r="I54" s="1969"/>
      <c r="J54" s="1969"/>
      <c r="K54" s="1969"/>
      <c r="L54" s="1969"/>
      <c r="N54" s="462"/>
    </row>
    <row r="55" spans="1:14">
      <c r="A55" s="653">
        <f>ROW()</f>
        <v>55</v>
      </c>
      <c r="B55" s="1968" t="s">
        <v>1432</v>
      </c>
      <c r="C55" s="1969"/>
      <c r="D55" s="1968"/>
      <c r="E55" s="1969"/>
      <c r="F55" s="1969"/>
      <c r="G55" s="1969"/>
      <c r="H55" s="1969"/>
      <c r="I55" s="1969"/>
      <c r="J55" s="1969"/>
      <c r="K55" s="1969"/>
      <c r="L55" s="1969"/>
      <c r="N55" s="462"/>
    </row>
    <row r="56" spans="1:14">
      <c r="A56" s="653">
        <f>ROW()</f>
        <v>56</v>
      </c>
      <c r="B56" s="1968" t="s">
        <v>1449</v>
      </c>
      <c r="C56" s="1969"/>
      <c r="D56" s="1968"/>
      <c r="E56" s="1969"/>
      <c r="F56" s="1969"/>
      <c r="G56" s="1969"/>
      <c r="H56" s="1969"/>
      <c r="I56" s="1969"/>
      <c r="J56" s="1969"/>
      <c r="K56" s="1969"/>
      <c r="L56" s="1969"/>
      <c r="N56" s="462"/>
    </row>
    <row r="57" spans="1:14">
      <c r="A57" s="653">
        <f>ROW()</f>
        <v>57</v>
      </c>
      <c r="B57" s="1968"/>
      <c r="C57" s="1969"/>
      <c r="D57" s="1968"/>
      <c r="E57" s="1969"/>
      <c r="F57" s="1969"/>
      <c r="G57" s="1969"/>
      <c r="H57" s="1969"/>
      <c r="I57" s="1969"/>
      <c r="J57" s="1969"/>
      <c r="K57" s="1969"/>
      <c r="L57" s="1969"/>
      <c r="N57" s="462"/>
    </row>
    <row r="58" spans="1:14">
      <c r="A58" s="653">
        <f>ROW()</f>
        <v>58</v>
      </c>
      <c r="B58" s="1586"/>
      <c r="C58" s="1567" t="s">
        <v>1431</v>
      </c>
      <c r="D58" s="1586" t="s">
        <v>1353</v>
      </c>
      <c r="E58" s="1567" t="s">
        <v>1234</v>
      </c>
      <c r="F58" s="416"/>
      <c r="G58" s="416"/>
      <c r="H58" s="416"/>
      <c r="I58" s="416"/>
      <c r="J58" s="416"/>
      <c r="K58" s="416"/>
      <c r="L58" s="416"/>
      <c r="N58" s="462"/>
    </row>
    <row r="59" spans="1:14">
      <c r="A59" s="653">
        <f>ROW()</f>
        <v>59</v>
      </c>
      <c r="B59" s="416"/>
      <c r="C59" s="1567" t="s">
        <v>1430</v>
      </c>
      <c r="D59" s="1567" t="s">
        <v>1354</v>
      </c>
      <c r="E59" s="1567" t="s">
        <v>1430</v>
      </c>
      <c r="F59" s="416"/>
      <c r="G59" s="416"/>
      <c r="H59" s="416"/>
      <c r="I59" s="416"/>
      <c r="J59" s="416"/>
      <c r="K59" s="416"/>
      <c r="L59" s="416"/>
      <c r="N59" s="462"/>
    </row>
    <row r="60" spans="1:14">
      <c r="A60" s="653">
        <f>ROW()</f>
        <v>60</v>
      </c>
      <c r="B60" s="1569"/>
      <c r="C60" s="1569"/>
      <c r="D60" s="1569"/>
      <c r="E60" s="1570"/>
      <c r="F60" s="1571"/>
      <c r="G60" s="1571"/>
      <c r="H60" s="1571"/>
      <c r="I60" s="1571"/>
      <c r="J60" s="1571"/>
      <c r="K60" s="1571"/>
      <c r="L60" s="1571"/>
      <c r="N60" s="462"/>
    </row>
    <row r="61" spans="1:14">
      <c r="A61" s="653">
        <f>ROW()</f>
        <v>61</v>
      </c>
      <c r="B61" s="1982" t="s">
        <v>1445</v>
      </c>
      <c r="C61" s="1901">
        <f>+D44</f>
        <v>0.11</v>
      </c>
      <c r="D61" s="1902">
        <v>1</v>
      </c>
      <c r="E61" s="1902">
        <f>+C61</f>
        <v>0.11</v>
      </c>
      <c r="F61" s="1544"/>
      <c r="G61" s="1545">
        <f t="shared" ref="G61:L61" si="9">+$E61*G$35</f>
        <v>22</v>
      </c>
      <c r="H61" s="1545">
        <f t="shared" si="9"/>
        <v>33</v>
      </c>
      <c r="I61" s="1545">
        <f t="shared" si="9"/>
        <v>44</v>
      </c>
      <c r="J61" s="1545">
        <f t="shared" si="9"/>
        <v>49.5</v>
      </c>
      <c r="K61" s="1545">
        <f t="shared" si="9"/>
        <v>55</v>
      </c>
      <c r="L61" s="1545">
        <f t="shared" si="9"/>
        <v>60.5</v>
      </c>
      <c r="N61" s="462"/>
    </row>
    <row r="62" spans="1:14">
      <c r="A62" s="653">
        <f>ROW()</f>
        <v>62</v>
      </c>
      <c r="B62" s="1587" t="s">
        <v>253</v>
      </c>
      <c r="C62" s="1901">
        <f>+D45</f>
        <v>0.3</v>
      </c>
      <c r="D62" s="1902">
        <v>0.8579</v>
      </c>
      <c r="E62" s="1902">
        <f>+C62*D62</f>
        <v>0.25736999999999999</v>
      </c>
      <c r="F62" s="1565"/>
      <c r="G62" s="1566">
        <f>+$E62*G$35</f>
        <v>51.473999999999997</v>
      </c>
      <c r="H62" s="1566">
        <f t="shared" ref="H62:L64" si="10">+$E62*H$35</f>
        <v>77.210999999999999</v>
      </c>
      <c r="I62" s="1566">
        <f t="shared" si="10"/>
        <v>102.94799999999999</v>
      </c>
      <c r="J62" s="1566">
        <f t="shared" si="10"/>
        <v>115.81649999999999</v>
      </c>
      <c r="K62" s="1566">
        <f t="shared" si="10"/>
        <v>128.685</v>
      </c>
      <c r="L62" s="1566">
        <f t="shared" si="10"/>
        <v>141.55349999999999</v>
      </c>
      <c r="N62" s="462"/>
    </row>
    <row r="63" spans="1:14">
      <c r="A63" s="653">
        <f>ROW()</f>
        <v>63</v>
      </c>
      <c r="B63" s="1587" t="s">
        <v>254</v>
      </c>
      <c r="C63" s="1901">
        <f>+D46</f>
        <v>0</v>
      </c>
      <c r="D63" s="1902">
        <v>0.9556</v>
      </c>
      <c r="E63" s="1972">
        <f t="shared" ref="E63" si="11">+C63*D63</f>
        <v>0</v>
      </c>
      <c r="F63" s="1546"/>
      <c r="G63" s="1545">
        <f>+$E63*G$35</f>
        <v>0</v>
      </c>
      <c r="H63" s="1545">
        <f t="shared" si="10"/>
        <v>0</v>
      </c>
      <c r="I63" s="1545">
        <f t="shared" si="10"/>
        <v>0</v>
      </c>
      <c r="J63" s="1545">
        <f t="shared" si="10"/>
        <v>0</v>
      </c>
      <c r="K63" s="1545">
        <f t="shared" si="10"/>
        <v>0</v>
      </c>
      <c r="L63" s="1545">
        <f t="shared" si="10"/>
        <v>0</v>
      </c>
      <c r="N63" s="462"/>
    </row>
    <row r="64" spans="1:14">
      <c r="A64" s="653">
        <f>ROW()</f>
        <v>64</v>
      </c>
      <c r="B64" s="1587" t="s">
        <v>255</v>
      </c>
      <c r="C64" s="1901">
        <f>+D47</f>
        <v>0.95</v>
      </c>
      <c r="D64" s="1902">
        <v>0.76949999999999996</v>
      </c>
      <c r="E64" s="1902">
        <f>MIN(C64*D64,1-SUM(E61:E63))</f>
        <v>0.63263000000000003</v>
      </c>
      <c r="F64" s="1546"/>
      <c r="G64" s="1566">
        <f>+$E64*G$35</f>
        <v>126.52600000000001</v>
      </c>
      <c r="H64" s="1566">
        <f t="shared" si="10"/>
        <v>189.78900000000002</v>
      </c>
      <c r="I64" s="1566">
        <f t="shared" si="10"/>
        <v>253.05200000000002</v>
      </c>
      <c r="J64" s="1566">
        <f t="shared" si="10"/>
        <v>284.68350000000004</v>
      </c>
      <c r="K64" s="1566">
        <f t="shared" si="10"/>
        <v>316.315</v>
      </c>
      <c r="L64" s="1566">
        <f t="shared" si="10"/>
        <v>347.94650000000001</v>
      </c>
      <c r="N64" s="462"/>
    </row>
    <row r="65" spans="1:14">
      <c r="A65" s="653">
        <f>ROW()</f>
        <v>65</v>
      </c>
      <c r="B65" s="1588" t="s">
        <v>1288</v>
      </c>
      <c r="C65" s="1903">
        <v>0</v>
      </c>
      <c r="D65" s="1973">
        <v>0</v>
      </c>
      <c r="E65" s="1974">
        <v>0</v>
      </c>
      <c r="F65" s="1556"/>
      <c r="G65" s="1547">
        <f>G$35-SUM(G61:G64)</f>
        <v>0</v>
      </c>
      <c r="H65" s="1547">
        <f t="shared" ref="H65" si="12">H$35-SUM(H61:H64)</f>
        <v>0</v>
      </c>
      <c r="I65" s="1547">
        <f t="shared" ref="I65" si="13">I$35-SUM(I61:I64)</f>
        <v>0</v>
      </c>
      <c r="J65" s="1547">
        <f t="shared" ref="J65" si="14">J$35-SUM(J61:J64)</f>
        <v>0</v>
      </c>
      <c r="K65" s="1547">
        <f t="shared" ref="K65" si="15">K$35-SUM(K61:K64)</f>
        <v>0</v>
      </c>
      <c r="L65" s="1547">
        <f t="shared" ref="L65" si="16">L$35-SUM(L61:L64)</f>
        <v>0</v>
      </c>
      <c r="N65" s="462"/>
    </row>
    <row r="66" spans="1:14">
      <c r="A66" s="653">
        <f>ROW()</f>
        <v>66</v>
      </c>
      <c r="B66" s="416" t="s">
        <v>1289</v>
      </c>
      <c r="C66" s="1984">
        <f>SUM(C61:C65)</f>
        <v>1.3599999999999999</v>
      </c>
      <c r="D66" s="1904"/>
      <c r="E66" s="1904">
        <f>SUM(E61:E65)</f>
        <v>1</v>
      </c>
      <c r="F66" s="1590"/>
      <c r="G66" s="1761">
        <f>SUM(G61:G65)</f>
        <v>200</v>
      </c>
      <c r="H66" s="1761">
        <f t="shared" ref="H66:L66" si="17">SUM(H61:H65)</f>
        <v>300</v>
      </c>
      <c r="I66" s="1761">
        <f t="shared" si="17"/>
        <v>400</v>
      </c>
      <c r="J66" s="1761">
        <f t="shared" si="17"/>
        <v>450</v>
      </c>
      <c r="K66" s="1761">
        <f t="shared" si="17"/>
        <v>500</v>
      </c>
      <c r="L66" s="1761">
        <f t="shared" si="17"/>
        <v>550</v>
      </c>
      <c r="N66" s="462"/>
    </row>
    <row r="67" spans="1:14">
      <c r="A67" s="653">
        <f>ROW()</f>
        <v>67</v>
      </c>
      <c r="B67" s="416" t="s">
        <v>1231</v>
      </c>
      <c r="C67" s="1970" t="str">
        <f>IF(C66&gt;1,"Be sure next data tabe set =100%",0)</f>
        <v>Be sure next data tabe set =100%</v>
      </c>
      <c r="D67" s="1970"/>
      <c r="E67" s="1971"/>
      <c r="F67" s="1592"/>
      <c r="G67" s="1759">
        <f>SUM(G61:G64)</f>
        <v>200</v>
      </c>
      <c r="H67" s="1759">
        <f t="shared" ref="H67:L67" si="18">SUM(H61:H64)</f>
        <v>300</v>
      </c>
      <c r="I67" s="1759">
        <f t="shared" si="18"/>
        <v>400</v>
      </c>
      <c r="J67" s="1759">
        <f t="shared" si="18"/>
        <v>450</v>
      </c>
      <c r="K67" s="1759">
        <f t="shared" si="18"/>
        <v>500</v>
      </c>
      <c r="L67" s="1759">
        <f t="shared" si="18"/>
        <v>550</v>
      </c>
      <c r="N67" s="462"/>
    </row>
    <row r="68" spans="1:14">
      <c r="A68" s="653">
        <f>ROW()</f>
        <v>68</v>
      </c>
      <c r="B68" s="416" t="s">
        <v>1230</v>
      </c>
      <c r="C68" s="416"/>
      <c r="D68" s="1757"/>
      <c r="E68" s="1758"/>
      <c r="F68" s="1592"/>
      <c r="G68" s="1760">
        <f>+G67/G66</f>
        <v>1</v>
      </c>
      <c r="H68" s="1760">
        <f t="shared" ref="H68:L68" si="19">+H67/H66</f>
        <v>1</v>
      </c>
      <c r="I68" s="1760">
        <f t="shared" si="19"/>
        <v>1</v>
      </c>
      <c r="J68" s="1760">
        <f t="shared" si="19"/>
        <v>1</v>
      </c>
      <c r="K68" s="1760">
        <f t="shared" si="19"/>
        <v>1</v>
      </c>
      <c r="L68" s="1760">
        <f t="shared" si="19"/>
        <v>1</v>
      </c>
      <c r="N68" s="462"/>
    </row>
    <row r="69" spans="1:14">
      <c r="A69" s="653">
        <f>ROW()</f>
        <v>69</v>
      </c>
      <c r="B69" s="416" t="s">
        <v>1446</v>
      </c>
      <c r="C69" s="416"/>
      <c r="D69" s="1591"/>
      <c r="E69" s="1591"/>
      <c r="F69" s="1592"/>
      <c r="G69" s="1593" t="str">
        <f t="shared" ref="G69:L69" si="20">IF(G65&lt;0,"ERROR", "-")</f>
        <v>-</v>
      </c>
      <c r="H69" s="1593" t="str">
        <f t="shared" si="20"/>
        <v>-</v>
      </c>
      <c r="I69" s="1593" t="str">
        <f t="shared" si="20"/>
        <v>-</v>
      </c>
      <c r="J69" s="1593" t="str">
        <f t="shared" si="20"/>
        <v>-</v>
      </c>
      <c r="K69" s="1593" t="str">
        <f t="shared" si="20"/>
        <v>-</v>
      </c>
      <c r="L69" s="1593" t="str">
        <f t="shared" si="20"/>
        <v>-</v>
      </c>
      <c r="N69" s="462"/>
    </row>
    <row r="70" spans="1:14" ht="14.4" thickBot="1">
      <c r="A70" s="653">
        <f>ROW()</f>
        <v>70</v>
      </c>
      <c r="B70" s="416"/>
      <c r="C70" s="416"/>
      <c r="D70" s="1591"/>
      <c r="E70" s="1591"/>
      <c r="F70" s="1592"/>
      <c r="G70" s="1594"/>
      <c r="H70" s="1594"/>
      <c r="I70" s="1594"/>
      <c r="J70" s="1594"/>
      <c r="K70" s="1594"/>
      <c r="L70" s="1594"/>
      <c r="N70" s="462"/>
    </row>
    <row r="71" spans="1:14" ht="14.4" thickBot="1">
      <c r="A71" s="653">
        <f>ROW()</f>
        <v>71</v>
      </c>
      <c r="B71" s="416" t="s">
        <v>256</v>
      </c>
      <c r="C71" s="1595" t="s">
        <v>257</v>
      </c>
      <c r="D71" s="416" t="s">
        <v>258</v>
      </c>
      <c r="E71" s="416"/>
      <c r="F71" s="416"/>
      <c r="G71" s="416"/>
      <c r="H71" s="416"/>
      <c r="I71" s="416"/>
      <c r="J71" s="416"/>
      <c r="K71" s="416"/>
      <c r="L71" s="416"/>
      <c r="N71" s="462"/>
    </row>
    <row r="72" spans="1:14">
      <c r="A72" s="653">
        <f>ROW()</f>
        <v>72</v>
      </c>
      <c r="B72" s="416"/>
      <c r="C72" s="416"/>
      <c r="D72" s="416"/>
      <c r="E72" s="416"/>
      <c r="F72" s="1557"/>
      <c r="G72" s="1558"/>
      <c r="H72" s="1558"/>
      <c r="I72" s="1558"/>
      <c r="J72" s="1558"/>
      <c r="K72" s="1558"/>
      <c r="L72" s="1558"/>
      <c r="N72" s="462"/>
    </row>
    <row r="73" spans="1:14">
      <c r="A73" s="653">
        <f>ROW()</f>
        <v>73</v>
      </c>
      <c r="C73" s="416"/>
      <c r="D73" s="416"/>
      <c r="E73" s="416"/>
      <c r="F73" s="1557"/>
      <c r="G73" s="1558"/>
      <c r="H73" s="1558"/>
      <c r="I73" s="1558"/>
      <c r="J73" s="1558"/>
      <c r="K73" s="1558"/>
      <c r="L73" s="1558"/>
      <c r="N73" s="1201"/>
    </row>
    <row r="74" spans="1:14">
      <c r="A74" s="653">
        <f>ROW()</f>
        <v>74</v>
      </c>
      <c r="B74" s="1770" t="s">
        <v>1235</v>
      </c>
      <c r="C74" s="1813" t="s">
        <v>252</v>
      </c>
      <c r="D74" s="1772"/>
      <c r="E74" s="1772"/>
      <c r="F74" s="1774"/>
      <c r="G74" s="1775"/>
      <c r="H74" s="1775"/>
      <c r="I74" s="1775"/>
      <c r="J74" s="1775"/>
      <c r="K74" s="1775"/>
      <c r="L74" s="1775"/>
      <c r="N74" s="462"/>
    </row>
    <row r="75" spans="1:14">
      <c r="A75" s="653">
        <f>ROW()</f>
        <v>75</v>
      </c>
      <c r="B75" s="1957" t="s">
        <v>1439</v>
      </c>
      <c r="C75" s="79"/>
      <c r="D75" s="79"/>
      <c r="E75" s="1957"/>
      <c r="F75" s="1557"/>
      <c r="G75" s="1557"/>
      <c r="H75" s="1557"/>
      <c r="I75" s="1557"/>
      <c r="J75" s="1557"/>
      <c r="K75" s="1557"/>
      <c r="L75" s="1557"/>
      <c r="N75" s="462"/>
    </row>
    <row r="76" spans="1:14">
      <c r="A76" s="653">
        <f>ROW()</f>
        <v>76</v>
      </c>
      <c r="B76" s="416"/>
      <c r="C76" s="1567" t="s">
        <v>1292</v>
      </c>
      <c r="D76" s="1567" t="s">
        <v>1293</v>
      </c>
      <c r="E76" s="416"/>
      <c r="F76" s="1557"/>
      <c r="G76" s="1557"/>
      <c r="H76" s="1557"/>
      <c r="I76" s="1557"/>
      <c r="J76" s="1557"/>
      <c r="K76" s="1557"/>
      <c r="L76" s="1557"/>
      <c r="N76" s="462"/>
    </row>
    <row r="77" spans="1:14">
      <c r="A77" s="653">
        <f>ROW()</f>
        <v>77</v>
      </c>
      <c r="B77" s="79" t="str">
        <f>+B44</f>
        <v>State Special Education (SPED)</v>
      </c>
      <c r="C77" s="1983">
        <f>+D77/C82</f>
        <v>0.52219394967486565</v>
      </c>
      <c r="D77" s="226">
        <v>3694</v>
      </c>
      <c r="F77" s="1562"/>
      <c r="G77" s="1563">
        <f t="shared" ref="G77:L80" si="21">+F61*$D77</f>
        <v>0</v>
      </c>
      <c r="H77" s="1563">
        <f t="shared" si="21"/>
        <v>81268</v>
      </c>
      <c r="I77" s="1563">
        <f t="shared" si="21"/>
        <v>121902</v>
      </c>
      <c r="J77" s="1563">
        <f t="shared" si="21"/>
        <v>162536</v>
      </c>
      <c r="K77" s="1563">
        <f t="shared" si="21"/>
        <v>182853</v>
      </c>
      <c r="L77" s="1563">
        <f t="shared" si="21"/>
        <v>203170</v>
      </c>
      <c r="N77" s="462"/>
    </row>
    <row r="78" spans="1:14">
      <c r="A78" s="653">
        <f>ROW()</f>
        <v>78</v>
      </c>
      <c r="B78" s="79" t="str">
        <f>+B45</f>
        <v>English Language Learners (EL)</v>
      </c>
      <c r="C78" s="1814">
        <v>0.23</v>
      </c>
      <c r="D78" s="200">
        <f>+$C$82*C78</f>
        <v>1627.02</v>
      </c>
      <c r="F78" s="1557"/>
      <c r="G78" s="1564">
        <f t="shared" si="21"/>
        <v>0</v>
      </c>
      <c r="H78" s="1564">
        <f t="shared" si="21"/>
        <v>83749.227479999987</v>
      </c>
      <c r="I78" s="1564">
        <f t="shared" si="21"/>
        <v>125623.84122</v>
      </c>
      <c r="J78" s="1564">
        <f t="shared" si="21"/>
        <v>167498.45495999997</v>
      </c>
      <c r="K78" s="1564">
        <f t="shared" si="21"/>
        <v>188435.76182999997</v>
      </c>
      <c r="L78" s="1564">
        <f t="shared" si="21"/>
        <v>209373.0687</v>
      </c>
      <c r="N78" s="462"/>
    </row>
    <row r="79" spans="1:14">
      <c r="A79" s="653">
        <f>ROW()</f>
        <v>79</v>
      </c>
      <c r="B79" s="75" t="str">
        <f>+B46</f>
        <v>Gifted &amp; Talented (GATE)</v>
      </c>
      <c r="C79" s="1814">
        <v>0.12</v>
      </c>
      <c r="D79" s="200">
        <f>+$C$82*C79</f>
        <v>848.88</v>
      </c>
      <c r="F79" s="1557"/>
      <c r="G79" s="1564">
        <f t="shared" si="21"/>
        <v>0</v>
      </c>
      <c r="H79" s="1564">
        <f t="shared" si="21"/>
        <v>0</v>
      </c>
      <c r="I79" s="1564">
        <f t="shared" si="21"/>
        <v>0</v>
      </c>
      <c r="J79" s="1564">
        <f t="shared" si="21"/>
        <v>0</v>
      </c>
      <c r="K79" s="1564">
        <f t="shared" si="21"/>
        <v>0</v>
      </c>
      <c r="L79" s="1564">
        <f t="shared" si="21"/>
        <v>0</v>
      </c>
      <c r="N79" s="462"/>
    </row>
    <row r="80" spans="1:14">
      <c r="A80" s="653">
        <f>ROW()</f>
        <v>80</v>
      </c>
      <c r="B80" s="75" t="str">
        <f>+B47</f>
        <v>Free &amp; Reduced Lunch (FRL)</v>
      </c>
      <c r="C80" s="1814">
        <v>0.03</v>
      </c>
      <c r="D80" s="200">
        <f>+$C$82*C80</f>
        <v>212.22</v>
      </c>
      <c r="F80" s="1557"/>
      <c r="G80" s="1564">
        <f t="shared" si="21"/>
        <v>0</v>
      </c>
      <c r="H80" s="1564">
        <f t="shared" si="21"/>
        <v>26851.347720000002</v>
      </c>
      <c r="I80" s="1564">
        <f t="shared" si="21"/>
        <v>40277.021580000001</v>
      </c>
      <c r="J80" s="1564">
        <f t="shared" si="21"/>
        <v>53702.695440000003</v>
      </c>
      <c r="K80" s="1564">
        <f t="shared" si="21"/>
        <v>60415.532370000008</v>
      </c>
      <c r="L80" s="1564">
        <f t="shared" si="21"/>
        <v>67128.369300000006</v>
      </c>
      <c r="N80" s="462"/>
    </row>
    <row r="81" spans="1:14">
      <c r="A81" s="653">
        <f>ROW()</f>
        <v>81</v>
      </c>
      <c r="B81" s="75" t="s">
        <v>259</v>
      </c>
      <c r="C81" s="1555">
        <f>_xlfn.XLOOKUP(C71,'PCFP Rates'!B107:B115,'PCFP Rates'!D107:D115)</f>
        <v>7293</v>
      </c>
      <c r="D81" s="200">
        <f>+C81</f>
        <v>7293</v>
      </c>
      <c r="G81" s="1564">
        <f t="shared" ref="G81:L81" si="22">+G35*$D81</f>
        <v>1458600</v>
      </c>
      <c r="H81" s="1564">
        <f t="shared" si="22"/>
        <v>2187900</v>
      </c>
      <c r="I81" s="1564">
        <f t="shared" si="22"/>
        <v>2917200</v>
      </c>
      <c r="J81" s="1564">
        <f t="shared" si="22"/>
        <v>3281850</v>
      </c>
      <c r="K81" s="1564">
        <f t="shared" si="22"/>
        <v>3646500</v>
      </c>
      <c r="L81" s="1564">
        <f t="shared" si="22"/>
        <v>4011150</v>
      </c>
      <c r="N81" s="462"/>
    </row>
    <row r="82" spans="1:14">
      <c r="A82" s="653">
        <f>ROW()</f>
        <v>82</v>
      </c>
      <c r="B82" s="951" t="s">
        <v>260</v>
      </c>
      <c r="C82" s="1981">
        <f>+'PCFP Rates'!D115</f>
        <v>7074</v>
      </c>
      <c r="D82" s="1561"/>
      <c r="E82" s="1561"/>
      <c r="G82" s="1561"/>
      <c r="H82" s="1581"/>
      <c r="I82" s="1581"/>
      <c r="J82" s="1581"/>
      <c r="K82" s="1581"/>
      <c r="L82" s="1581"/>
      <c r="N82" s="462"/>
    </row>
    <row r="83" spans="1:14">
      <c r="A83" s="653">
        <f>ROW()</f>
        <v>83</v>
      </c>
      <c r="C83" s="1543"/>
      <c r="D83" s="1543"/>
      <c r="E83" s="1543"/>
      <c r="F83" s="1082"/>
      <c r="G83" s="110"/>
      <c r="H83" s="110"/>
      <c r="I83" s="110"/>
      <c r="J83" s="110"/>
      <c r="K83" s="110"/>
      <c r="L83" s="110"/>
      <c r="N83" s="462"/>
    </row>
    <row r="84" spans="1:14">
      <c r="A84" s="653">
        <f>ROW()</f>
        <v>84</v>
      </c>
      <c r="B84" s="597" t="s">
        <v>1236</v>
      </c>
      <c r="C84" s="1780"/>
      <c r="D84" s="1780"/>
      <c r="E84" s="1780"/>
      <c r="F84" s="1781"/>
      <c r="G84" s="1782"/>
      <c r="H84" s="1782"/>
      <c r="I84" s="1782"/>
      <c r="J84" s="1782"/>
      <c r="K84" s="1782"/>
      <c r="L84" s="1782"/>
      <c r="N84" s="462"/>
    </row>
    <row r="85" spans="1:14">
      <c r="A85" s="653">
        <f>ROW()</f>
        <v>85</v>
      </c>
      <c r="B85" s="1777" t="s">
        <v>261</v>
      </c>
      <c r="C85" s="551"/>
      <c r="D85" s="551"/>
      <c r="E85" s="551"/>
      <c r="F85" s="1778"/>
      <c r="G85" s="1779">
        <f>+D47</f>
        <v>0.95</v>
      </c>
      <c r="H85" s="1779">
        <f>+G85</f>
        <v>0.95</v>
      </c>
      <c r="I85" s="1779">
        <f t="shared" ref="I85:L85" si="23">+H85</f>
        <v>0.95</v>
      </c>
      <c r="J85" s="1779">
        <f t="shared" si="23"/>
        <v>0.95</v>
      </c>
      <c r="K85" s="1779">
        <f t="shared" si="23"/>
        <v>0.95</v>
      </c>
      <c r="L85" s="1779">
        <f t="shared" si="23"/>
        <v>0.95</v>
      </c>
      <c r="N85" s="462"/>
    </row>
    <row r="86" spans="1:14">
      <c r="A86" s="653">
        <f>ROW()</f>
        <v>86</v>
      </c>
      <c r="B86" s="106" t="s">
        <v>262</v>
      </c>
      <c r="C86" s="222"/>
      <c r="D86" s="222"/>
      <c r="E86" s="222"/>
      <c r="F86" s="1576"/>
      <c r="G86" s="1577">
        <f>+D45</f>
        <v>0.3</v>
      </c>
      <c r="H86" s="1577">
        <f t="shared" ref="H86:L86" si="24">+G86</f>
        <v>0.3</v>
      </c>
      <c r="I86" s="1577">
        <f t="shared" si="24"/>
        <v>0.3</v>
      </c>
      <c r="J86" s="1577">
        <f t="shared" si="24"/>
        <v>0.3</v>
      </c>
      <c r="K86" s="1577">
        <f t="shared" si="24"/>
        <v>0.3</v>
      </c>
      <c r="L86" s="1577">
        <f t="shared" si="24"/>
        <v>0.3</v>
      </c>
      <c r="N86" s="462"/>
    </row>
    <row r="87" spans="1:14">
      <c r="A87" s="653">
        <f>ROW()</f>
        <v>87</v>
      </c>
      <c r="B87" s="1762" t="s">
        <v>263</v>
      </c>
      <c r="C87" s="1763"/>
      <c r="D87" s="1763"/>
      <c r="E87" s="1763"/>
      <c r="F87" s="1764"/>
      <c r="G87" s="1765">
        <f>+D44</f>
        <v>0.11</v>
      </c>
      <c r="H87" s="1765">
        <f t="shared" ref="H87:L87" si="25">+G87</f>
        <v>0.11</v>
      </c>
      <c r="I87" s="1765">
        <f t="shared" si="25"/>
        <v>0.11</v>
      </c>
      <c r="J87" s="1765">
        <f t="shared" si="25"/>
        <v>0.11</v>
      </c>
      <c r="K87" s="1765">
        <f t="shared" si="25"/>
        <v>0.11</v>
      </c>
      <c r="L87" s="1765">
        <f t="shared" si="25"/>
        <v>0.11</v>
      </c>
      <c r="N87" s="462"/>
    </row>
    <row r="88" spans="1:14">
      <c r="A88" s="653">
        <f>ROW()</f>
        <v>88</v>
      </c>
      <c r="B88" s="878" t="s">
        <v>264</v>
      </c>
      <c r="C88" s="879"/>
      <c r="D88" s="879"/>
      <c r="E88" s="879"/>
      <c r="F88" s="1766"/>
      <c r="G88" s="1767">
        <f t="shared" ref="G88:L88" si="26">+G$35*G87</f>
        <v>22</v>
      </c>
      <c r="H88" s="1767">
        <f t="shared" si="26"/>
        <v>33</v>
      </c>
      <c r="I88" s="1767">
        <f t="shared" si="26"/>
        <v>44</v>
      </c>
      <c r="J88" s="1767">
        <f t="shared" si="26"/>
        <v>49.5</v>
      </c>
      <c r="K88" s="1767">
        <f t="shared" si="26"/>
        <v>55</v>
      </c>
      <c r="L88" s="1767">
        <f t="shared" si="26"/>
        <v>60.5</v>
      </c>
      <c r="N88" s="462"/>
    </row>
    <row r="89" spans="1:14" hidden="1" outlineLevel="1">
      <c r="A89" s="653">
        <f>ROW()</f>
        <v>89</v>
      </c>
      <c r="B89" s="102"/>
      <c r="C89" s="102"/>
      <c r="D89" s="102"/>
      <c r="E89" s="102"/>
      <c r="F89" s="102"/>
      <c r="G89" s="102"/>
      <c r="H89" s="100"/>
      <c r="I89" s="100"/>
      <c r="J89" s="113"/>
      <c r="K89" s="195"/>
      <c r="L89" s="113"/>
      <c r="M89" s="113"/>
      <c r="N89" s="462"/>
    </row>
    <row r="90" spans="1:14" ht="27.6" hidden="1" outlineLevel="1">
      <c r="A90" s="653">
        <f>ROW()</f>
        <v>90</v>
      </c>
      <c r="B90" s="1306" t="s">
        <v>265</v>
      </c>
      <c r="C90" s="1307">
        <f>IFERROR(VLOOKUP(C104,'PCFP Rates'!O15:AB44,4,FALSE),0)</f>
        <v>7242.9499619081098</v>
      </c>
      <c r="D90" s="1308" t="s">
        <v>266</v>
      </c>
      <c r="E90" s="1308"/>
      <c r="F90" s="94"/>
      <c r="G90" s="105"/>
      <c r="H90" s="105"/>
      <c r="I90" s="105"/>
      <c r="J90" s="1309"/>
      <c r="K90" s="1309"/>
      <c r="L90" s="1309"/>
      <c r="M90" s="145"/>
      <c r="N90" s="462"/>
    </row>
    <row r="91" spans="1:14" collapsed="1">
      <c r="A91" s="653">
        <f>ROW()</f>
        <v>91</v>
      </c>
      <c r="B91" s="102" t="s">
        <v>267</v>
      </c>
      <c r="C91" s="1305">
        <v>0.01</v>
      </c>
      <c r="D91" s="49" t="s">
        <v>268</v>
      </c>
      <c r="E91" s="49"/>
      <c r="H91" s="100"/>
      <c r="I91" s="100"/>
      <c r="J91" s="102"/>
      <c r="K91" s="102"/>
      <c r="L91" s="102"/>
      <c r="M91" s="102"/>
      <c r="N91" s="462"/>
    </row>
    <row r="92" spans="1:14">
      <c r="A92" s="653">
        <f>ROW()</f>
        <v>92</v>
      </c>
      <c r="B92" s="1575" t="s">
        <v>269</v>
      </c>
      <c r="C92" s="1596">
        <v>0</v>
      </c>
      <c r="D92" s="393" t="s">
        <v>270</v>
      </c>
      <c r="E92" s="393"/>
      <c r="H92" s="146"/>
      <c r="I92" s="146"/>
      <c r="J92" s="102"/>
      <c r="K92" s="102"/>
      <c r="L92" s="102"/>
      <c r="M92" s="102"/>
      <c r="N92" s="462"/>
    </row>
    <row r="93" spans="1:14">
      <c r="A93" s="653">
        <f>ROW()</f>
        <v>93</v>
      </c>
      <c r="B93" s="102" t="s">
        <v>271</v>
      </c>
      <c r="C93" s="1050">
        <v>1.2500000000000001E-2</v>
      </c>
      <c r="D93" s="1875" t="s">
        <v>1367</v>
      </c>
      <c r="E93" s="356"/>
      <c r="H93" s="82"/>
      <c r="I93" s="82"/>
      <c r="J93" s="147"/>
      <c r="K93" s="147"/>
      <c r="L93" s="147"/>
      <c r="M93" s="147"/>
      <c r="N93" s="462"/>
    </row>
    <row r="94" spans="1:14">
      <c r="A94" s="653">
        <f>ROW()</f>
        <v>94</v>
      </c>
      <c r="B94" s="102" t="s">
        <v>272</v>
      </c>
      <c r="C94" s="1301">
        <v>450</v>
      </c>
      <c r="D94" s="393" t="s">
        <v>1312</v>
      </c>
      <c r="E94" s="393"/>
      <c r="H94" s="146"/>
      <c r="I94" s="146"/>
      <c r="J94" s="113"/>
      <c r="K94" s="113"/>
      <c r="L94" s="113"/>
      <c r="M94" s="113"/>
      <c r="N94" s="462"/>
    </row>
    <row r="95" spans="1:14">
      <c r="A95" s="653">
        <f>ROW()</f>
        <v>95</v>
      </c>
      <c r="B95" s="102" t="s">
        <v>1329</v>
      </c>
      <c r="C95" s="1301">
        <v>65</v>
      </c>
      <c r="D95" s="393" t="s">
        <v>1312</v>
      </c>
      <c r="E95" s="393"/>
      <c r="H95" s="146"/>
      <c r="I95" s="146"/>
      <c r="J95" s="113"/>
      <c r="K95" s="113"/>
      <c r="L95" s="113"/>
      <c r="M95" s="113"/>
      <c r="N95" s="462"/>
    </row>
    <row r="96" spans="1:14">
      <c r="A96" s="653">
        <f>ROW()</f>
        <v>96</v>
      </c>
      <c r="B96" s="100" t="s">
        <v>1328</v>
      </c>
      <c r="C96" s="1837">
        <v>4</v>
      </c>
      <c r="D96" s="393" t="s">
        <v>1312</v>
      </c>
      <c r="E96" s="393"/>
      <c r="H96" s="146"/>
      <c r="I96" s="146"/>
      <c r="J96" s="113"/>
      <c r="K96" s="113"/>
      <c r="L96" s="113"/>
      <c r="M96" s="113"/>
      <c r="N96" s="462"/>
    </row>
    <row r="97" spans="1:14">
      <c r="A97" s="653">
        <f>ROW()</f>
        <v>97</v>
      </c>
      <c r="B97" s="102" t="s">
        <v>129</v>
      </c>
      <c r="C97" s="1301">
        <v>100</v>
      </c>
      <c r="D97" s="393" t="s">
        <v>273</v>
      </c>
      <c r="E97" s="393"/>
      <c r="H97" s="146"/>
      <c r="I97" s="146"/>
      <c r="J97" s="113"/>
      <c r="K97" s="113"/>
      <c r="L97" s="113"/>
      <c r="M97" s="113"/>
      <c r="N97" s="462"/>
    </row>
    <row r="98" spans="1:14">
      <c r="A98" s="653">
        <f>ROW()</f>
        <v>98</v>
      </c>
      <c r="B98" s="1699" t="s">
        <v>1333</v>
      </c>
      <c r="C98" s="1839" t="s">
        <v>1332</v>
      </c>
      <c r="D98" s="393"/>
      <c r="E98" s="393"/>
      <c r="H98" s="146"/>
      <c r="I98" s="146"/>
      <c r="J98" s="113"/>
      <c r="K98" s="113"/>
      <c r="L98" s="113"/>
      <c r="M98" s="113"/>
      <c r="N98" s="462"/>
    </row>
    <row r="99" spans="1:14">
      <c r="A99" s="653">
        <f>ROW()</f>
        <v>99</v>
      </c>
      <c r="B99" s="102" t="s">
        <v>274</v>
      </c>
      <c r="C99" s="1301">
        <v>1060</v>
      </c>
      <c r="D99" s="49" t="s">
        <v>275</v>
      </c>
      <c r="E99" s="49"/>
      <c r="H99" s="100"/>
      <c r="I99" s="100"/>
      <c r="J99" s="102"/>
      <c r="K99" s="102"/>
      <c r="L99" s="102"/>
      <c r="M99" s="102"/>
      <c r="N99" s="462" t="s">
        <v>1476</v>
      </c>
    </row>
    <row r="100" spans="1:14">
      <c r="A100" s="653">
        <f>ROW()</f>
        <v>100</v>
      </c>
      <c r="B100" s="102" t="s">
        <v>276</v>
      </c>
      <c r="C100" s="1300" t="s">
        <v>277</v>
      </c>
      <c r="D100" s="49" t="s">
        <v>278</v>
      </c>
      <c r="E100" s="49"/>
      <c r="G100" s="226"/>
      <c r="H100" s="100"/>
      <c r="I100" s="100"/>
      <c r="J100" s="102"/>
      <c r="K100" s="102"/>
      <c r="L100" s="102"/>
      <c r="M100" s="102"/>
      <c r="N100" s="462"/>
    </row>
    <row r="101" spans="1:14">
      <c r="A101" s="653">
        <f>ROW()</f>
        <v>101</v>
      </c>
      <c r="B101" s="102" t="s">
        <v>279</v>
      </c>
      <c r="C101" s="1051">
        <v>1.8</v>
      </c>
      <c r="D101" s="49" t="s">
        <v>280</v>
      </c>
      <c r="E101" s="49"/>
      <c r="G101" s="226"/>
      <c r="H101" s="100"/>
      <c r="I101" s="100"/>
      <c r="J101" s="102"/>
      <c r="K101" s="102"/>
      <c r="L101" s="102"/>
      <c r="M101" s="102"/>
      <c r="N101" s="462"/>
    </row>
    <row r="102" spans="1:14">
      <c r="A102" s="653">
        <f>ROW()</f>
        <v>102</v>
      </c>
      <c r="B102" s="102" t="s">
        <v>281</v>
      </c>
      <c r="C102" s="1051">
        <v>2.5</v>
      </c>
      <c r="D102" s="49" t="s">
        <v>280</v>
      </c>
      <c r="E102" s="49"/>
      <c r="H102" s="1042"/>
      <c r="I102" s="100"/>
      <c r="J102" s="102"/>
      <c r="K102" s="102"/>
      <c r="L102" s="102"/>
      <c r="M102" s="102"/>
      <c r="N102" s="462"/>
    </row>
    <row r="103" spans="1:14">
      <c r="A103" s="653">
        <f>ROW()</f>
        <v>103</v>
      </c>
      <c r="B103" s="102" t="s">
        <v>141</v>
      </c>
      <c r="C103" s="1051">
        <v>0</v>
      </c>
      <c r="D103" s="49" t="s">
        <v>282</v>
      </c>
      <c r="E103" s="49"/>
      <c r="G103" s="225"/>
      <c r="H103" s="197"/>
      <c r="I103" s="100"/>
      <c r="J103" s="102"/>
      <c r="K103" s="102"/>
      <c r="L103" s="102"/>
      <c r="M103" s="102"/>
      <c r="N103" s="462"/>
    </row>
    <row r="104" spans="1:14">
      <c r="A104" s="653">
        <f>ROW()</f>
        <v>104</v>
      </c>
      <c r="B104" s="109" t="s">
        <v>283</v>
      </c>
      <c r="C104" s="1302" t="str">
        <f>+C71</f>
        <v>Clark</v>
      </c>
      <c r="D104" s="258"/>
      <c r="E104" s="258"/>
      <c r="F104" s="102"/>
      <c r="G104" s="224"/>
      <c r="H104" s="1043"/>
      <c r="I104" s="100"/>
      <c r="J104" s="102"/>
      <c r="K104" s="102"/>
      <c r="L104" s="102"/>
      <c r="M104" s="102"/>
      <c r="N104" s="462"/>
    </row>
    <row r="105" spans="1:14">
      <c r="A105" s="653">
        <f>ROW()</f>
        <v>105</v>
      </c>
      <c r="B105" s="196"/>
      <c r="C105" s="196"/>
      <c r="D105" s="1303"/>
      <c r="E105" s="1303"/>
      <c r="F105" s="193"/>
      <c r="G105" s="1304"/>
      <c r="H105" s="1304"/>
      <c r="I105" s="1304"/>
      <c r="J105" s="1304"/>
      <c r="K105" s="1304"/>
      <c r="L105" s="1304"/>
      <c r="M105" s="148"/>
      <c r="N105" s="462"/>
    </row>
    <row r="106" spans="1:14">
      <c r="A106" s="653">
        <f>ROW()</f>
        <v>106</v>
      </c>
      <c r="B106" s="139" t="s">
        <v>284</v>
      </c>
      <c r="C106" s="139"/>
      <c r="D106" s="178"/>
      <c r="E106" s="178"/>
      <c r="F106" s="1557"/>
      <c r="G106" s="159">
        <f t="shared" ref="G106:L106" si="27">+G35</f>
        <v>200</v>
      </c>
      <c r="H106" s="159">
        <f t="shared" si="27"/>
        <v>300</v>
      </c>
      <c r="I106" s="159">
        <f t="shared" si="27"/>
        <v>400</v>
      </c>
      <c r="J106" s="159">
        <f t="shared" si="27"/>
        <v>450</v>
      </c>
      <c r="K106" s="159">
        <f t="shared" si="27"/>
        <v>500</v>
      </c>
      <c r="L106" s="159">
        <f t="shared" si="27"/>
        <v>550</v>
      </c>
      <c r="M106" s="148"/>
      <c r="N106" s="462"/>
    </row>
    <row r="107" spans="1:14">
      <c r="A107" s="653"/>
      <c r="B107" s="139"/>
      <c r="C107" s="139"/>
      <c r="D107" s="178"/>
      <c r="E107" s="178"/>
      <c r="F107" s="1557"/>
      <c r="G107" s="159"/>
      <c r="H107" s="159"/>
      <c r="I107" s="159"/>
      <c r="J107" s="159"/>
      <c r="K107" s="159"/>
      <c r="L107" s="159"/>
      <c r="M107" s="148"/>
      <c r="N107" s="462"/>
    </row>
    <row r="108" spans="1:14">
      <c r="A108" s="653">
        <f>ROW()</f>
        <v>108</v>
      </c>
      <c r="B108" s="1776" t="s">
        <v>1363</v>
      </c>
      <c r="C108" s="1776"/>
      <c r="D108" s="1783"/>
      <c r="E108" s="1783"/>
      <c r="F108" s="1784"/>
      <c r="G108" s="1785"/>
      <c r="H108" s="1785"/>
      <c r="I108" s="1785"/>
      <c r="J108" s="1785"/>
      <c r="K108" s="1785"/>
      <c r="L108" s="1785"/>
      <c r="M108" s="148"/>
      <c r="N108" s="462"/>
    </row>
    <row r="109" spans="1:14">
      <c r="A109" s="653">
        <f>ROW()</f>
        <v>109</v>
      </c>
      <c r="B109" s="193" t="s">
        <v>1371</v>
      </c>
      <c r="C109" s="193"/>
      <c r="D109" s="193"/>
      <c r="E109" s="193"/>
      <c r="F109" s="1579"/>
      <c r="G109" s="1573">
        <f t="shared" ref="G109:L109" si="28">SUM(G75:G81)</f>
        <v>1458600</v>
      </c>
      <c r="H109" s="1573">
        <f t="shared" si="28"/>
        <v>2379768.5751999998</v>
      </c>
      <c r="I109" s="1573">
        <f t="shared" si="28"/>
        <v>3205002.8628000002</v>
      </c>
      <c r="J109" s="1573">
        <f t="shared" si="28"/>
        <v>3665587.1504000002</v>
      </c>
      <c r="K109" s="1573">
        <f t="shared" si="28"/>
        <v>4078204.2941999999</v>
      </c>
      <c r="L109" s="1573">
        <f t="shared" si="28"/>
        <v>4490821.4380000001</v>
      </c>
      <c r="M109" s="148"/>
      <c r="N109" s="462"/>
    </row>
    <row r="110" spans="1:14">
      <c r="A110" s="653">
        <f>ROW()</f>
        <v>110</v>
      </c>
      <c r="B110" s="144" t="s">
        <v>1237</v>
      </c>
      <c r="C110" s="144"/>
      <c r="D110" s="144"/>
      <c r="E110" s="144"/>
      <c r="F110" s="1559"/>
      <c r="G110" s="1563">
        <f t="shared" ref="G110:L110" si="29">SUM(G78:G80)</f>
        <v>0</v>
      </c>
      <c r="H110" s="1563">
        <f t="shared" si="29"/>
        <v>110600.57519999999</v>
      </c>
      <c r="I110" s="1563">
        <f t="shared" si="29"/>
        <v>165900.8628</v>
      </c>
      <c r="J110" s="1563">
        <f t="shared" si="29"/>
        <v>221201.15039999998</v>
      </c>
      <c r="K110" s="1563">
        <f t="shared" si="29"/>
        <v>248851.29419999997</v>
      </c>
      <c r="L110" s="1563">
        <f t="shared" si="29"/>
        <v>276501.43800000002</v>
      </c>
      <c r="M110" s="148"/>
      <c r="N110" s="462"/>
    </row>
    <row r="111" spans="1:14">
      <c r="A111" s="653">
        <f>ROW()</f>
        <v>111</v>
      </c>
      <c r="B111" s="144" t="s">
        <v>290</v>
      </c>
      <c r="C111" s="144"/>
      <c r="D111" s="144"/>
      <c r="E111" s="144"/>
      <c r="F111" s="1559"/>
      <c r="G111" s="1564">
        <f>+G77</f>
        <v>0</v>
      </c>
      <c r="H111" s="1564">
        <f t="shared" ref="H111:L111" si="30">+H77</f>
        <v>81268</v>
      </c>
      <c r="I111" s="1564">
        <f t="shared" si="30"/>
        <v>121902</v>
      </c>
      <c r="J111" s="1564">
        <f t="shared" si="30"/>
        <v>162536</v>
      </c>
      <c r="K111" s="1564">
        <f t="shared" si="30"/>
        <v>182853</v>
      </c>
      <c r="L111" s="1564">
        <f t="shared" si="30"/>
        <v>203170</v>
      </c>
      <c r="M111" s="148"/>
      <c r="N111" s="1201" t="s">
        <v>291</v>
      </c>
    </row>
    <row r="112" spans="1:14">
      <c r="A112" s="653">
        <f>ROW()</f>
        <v>112</v>
      </c>
      <c r="B112" s="144" t="s">
        <v>1239</v>
      </c>
      <c r="C112" s="144"/>
      <c r="D112" s="144"/>
      <c r="E112" s="144"/>
      <c r="F112" s="1559"/>
      <c r="G112" s="1564">
        <f>+G75</f>
        <v>0</v>
      </c>
      <c r="H112" s="1564">
        <f t="shared" ref="H112:L112" si="31">+H75</f>
        <v>0</v>
      </c>
      <c r="I112" s="1564">
        <f t="shared" si="31"/>
        <v>0</v>
      </c>
      <c r="J112" s="1564">
        <f t="shared" si="31"/>
        <v>0</v>
      </c>
      <c r="K112" s="1564">
        <f t="shared" si="31"/>
        <v>0</v>
      </c>
      <c r="L112" s="1564">
        <f t="shared" si="31"/>
        <v>0</v>
      </c>
      <c r="M112" s="148"/>
      <c r="N112" s="462"/>
    </row>
    <row r="113" spans="1:14">
      <c r="A113" s="653">
        <f>ROW()</f>
        <v>113</v>
      </c>
      <c r="B113" s="144" t="s">
        <v>286</v>
      </c>
      <c r="C113" s="1578">
        <f>+C91</f>
        <v>0.01</v>
      </c>
      <c r="D113" s="144"/>
      <c r="E113" s="144"/>
      <c r="G113" s="1574"/>
      <c r="H113" s="1560">
        <f>+$C$91*H109</f>
        <v>23797.685751999998</v>
      </c>
      <c r="I113" s="1560">
        <f>+$C$91*I109</f>
        <v>32050.028628000004</v>
      </c>
      <c r="J113" s="1560">
        <f>+$C$91*J109</f>
        <v>36655.871504000002</v>
      </c>
      <c r="K113" s="1560">
        <f>+$C$91*K109</f>
        <v>40782.042942</v>
      </c>
      <c r="L113" s="1560">
        <f>+$C$91*L109</f>
        <v>44908.214380000005</v>
      </c>
      <c r="M113" s="148"/>
      <c r="N113" s="462"/>
    </row>
    <row r="114" spans="1:14">
      <c r="A114" s="653">
        <f>ROW()</f>
        <v>114</v>
      </c>
      <c r="B114" s="193" t="s">
        <v>1240</v>
      </c>
      <c r="C114" s="193"/>
      <c r="D114" s="193"/>
      <c r="E114" s="193"/>
      <c r="F114" s="1579"/>
      <c r="G114" s="1580">
        <f t="shared" ref="G114:L114" si="32">SUM(G109:G113)</f>
        <v>1458600</v>
      </c>
      <c r="H114" s="1580">
        <f t="shared" si="32"/>
        <v>2595434.8361519999</v>
      </c>
      <c r="I114" s="1580">
        <f t="shared" si="32"/>
        <v>3524855.7542280005</v>
      </c>
      <c r="J114" s="1580">
        <f t="shared" si="32"/>
        <v>4085980.1723040002</v>
      </c>
      <c r="K114" s="1580">
        <f t="shared" si="32"/>
        <v>4550690.6313419994</v>
      </c>
      <c r="L114" s="1580">
        <f t="shared" si="32"/>
        <v>5015401.09038</v>
      </c>
      <c r="M114" s="148"/>
      <c r="N114" s="462"/>
    </row>
    <row r="115" spans="1:14">
      <c r="A115" s="653">
        <f>ROW()</f>
        <v>115</v>
      </c>
      <c r="B115" s="144" t="s">
        <v>1366</v>
      </c>
      <c r="C115" s="139"/>
      <c r="D115" s="144"/>
      <c r="E115" s="144"/>
      <c r="F115" s="1559"/>
      <c r="G115" s="1560">
        <f t="shared" ref="G115:L115" si="33">-G109*$C$93</f>
        <v>-18232.5</v>
      </c>
      <c r="H115" s="1560">
        <f t="shared" si="33"/>
        <v>-29747.107189999999</v>
      </c>
      <c r="I115" s="1560">
        <f t="shared" si="33"/>
        <v>-40062.535785000007</v>
      </c>
      <c r="J115" s="1560">
        <f t="shared" si="33"/>
        <v>-45819.839380000005</v>
      </c>
      <c r="K115" s="1560">
        <f t="shared" si="33"/>
        <v>-50977.5536775</v>
      </c>
      <c r="L115" s="1560">
        <f t="shared" si="33"/>
        <v>-56135.267975000002</v>
      </c>
      <c r="M115" s="148"/>
      <c r="N115" s="462"/>
    </row>
    <row r="116" spans="1:14">
      <c r="A116" s="653">
        <f>ROW()</f>
        <v>116</v>
      </c>
      <c r="B116" s="196" t="s">
        <v>1364</v>
      </c>
      <c r="C116" s="196"/>
      <c r="D116" s="1303"/>
      <c r="E116" s="1303"/>
      <c r="F116" s="193"/>
      <c r="G116" s="1582">
        <f>SUM(G114:G115)</f>
        <v>1440367.5</v>
      </c>
      <c r="H116" s="1582">
        <f t="shared" ref="H116:L116" si="34">SUM(H114:H115)</f>
        <v>2565687.728962</v>
      </c>
      <c r="I116" s="1582">
        <f t="shared" si="34"/>
        <v>3484793.2184430007</v>
      </c>
      <c r="J116" s="1582">
        <f t="shared" si="34"/>
        <v>4040160.3329240005</v>
      </c>
      <c r="K116" s="1582">
        <f t="shared" si="34"/>
        <v>4499713.0776644992</v>
      </c>
      <c r="L116" s="1582">
        <f t="shared" si="34"/>
        <v>4959265.8224050002</v>
      </c>
      <c r="M116" s="148"/>
      <c r="N116" s="462"/>
    </row>
    <row r="117" spans="1:14">
      <c r="A117" s="653">
        <f>ROW()</f>
        <v>117</v>
      </c>
      <c r="B117" s="139" t="s">
        <v>1365</v>
      </c>
      <c r="C117" s="139"/>
      <c r="D117" s="178"/>
      <c r="E117" s="178"/>
      <c r="F117" s="144"/>
      <c r="G117" s="197">
        <f>+G116/G106</f>
        <v>7201.8374999999996</v>
      </c>
      <c r="H117" s="197">
        <f t="shared" ref="H117:L117" si="35">+H116/H106</f>
        <v>8552.2924298733342</v>
      </c>
      <c r="I117" s="197">
        <f t="shared" si="35"/>
        <v>8711.9830461075017</v>
      </c>
      <c r="J117" s="197">
        <f t="shared" si="35"/>
        <v>8978.134073164445</v>
      </c>
      <c r="K117" s="197">
        <f t="shared" si="35"/>
        <v>8999.426155328998</v>
      </c>
      <c r="L117" s="197">
        <f t="shared" si="35"/>
        <v>9016.8469498272734</v>
      </c>
      <c r="M117" s="148"/>
      <c r="N117" s="462"/>
    </row>
    <row r="118" spans="1:14">
      <c r="A118" s="653">
        <f>ROW()</f>
        <v>118</v>
      </c>
      <c r="B118" s="139"/>
      <c r="C118" s="139"/>
      <c r="D118" s="178"/>
      <c r="E118" s="178"/>
      <c r="F118" s="144"/>
      <c r="G118" s="197"/>
      <c r="H118" s="197"/>
      <c r="I118" s="197"/>
      <c r="J118" s="197"/>
      <c r="K118" s="197"/>
      <c r="L118" s="197"/>
      <c r="M118" s="148"/>
      <c r="N118" s="462"/>
    </row>
    <row r="119" spans="1:14" hidden="1">
      <c r="A119" s="653">
        <f>ROW()</f>
        <v>119</v>
      </c>
      <c r="B119" s="488" t="s">
        <v>287</v>
      </c>
      <c r="C119" s="1505">
        <f t="shared" ref="C119:C129" si="36">SUM(F119:L119)</f>
        <v>0</v>
      </c>
      <c r="D119" s="1506"/>
      <c r="E119" s="1506"/>
      <c r="F119" s="1507"/>
      <c r="G119" s="1508">
        <f t="shared" ref="G119:L119" si="37">IF($G$116&gt;0,0,($C$90*G35))</f>
        <v>0</v>
      </c>
      <c r="H119" s="1509">
        <f t="shared" si="37"/>
        <v>0</v>
      </c>
      <c r="I119" s="1508">
        <f t="shared" si="37"/>
        <v>0</v>
      </c>
      <c r="J119" s="1508">
        <f t="shared" si="37"/>
        <v>0</v>
      </c>
      <c r="K119" s="1508">
        <f t="shared" si="37"/>
        <v>0</v>
      </c>
      <c r="L119" s="1508">
        <f t="shared" si="37"/>
        <v>0</v>
      </c>
      <c r="N119" s="462"/>
    </row>
    <row r="120" spans="1:14" hidden="1">
      <c r="A120" s="653">
        <f>ROW()</f>
        <v>120</v>
      </c>
      <c r="B120" s="488" t="s">
        <v>288</v>
      </c>
      <c r="C120" s="1510">
        <f>IFERROR(SUM(F120:L120),0)</f>
        <v>0</v>
      </c>
      <c r="D120" s="1511"/>
      <c r="E120" s="1511"/>
      <c r="F120" s="1512"/>
      <c r="G120" s="1513">
        <f>-$C$93*G119</f>
        <v>0</v>
      </c>
      <c r="H120" s="1514">
        <f t="shared" ref="H120:L120" si="38">-$C$93*H119</f>
        <v>0</v>
      </c>
      <c r="I120" s="1514">
        <f t="shared" si="38"/>
        <v>0</v>
      </c>
      <c r="J120" s="1514">
        <f t="shared" si="38"/>
        <v>0</v>
      </c>
      <c r="K120" s="1514">
        <f t="shared" si="38"/>
        <v>0</v>
      </c>
      <c r="L120" s="1514">
        <f t="shared" si="38"/>
        <v>0</v>
      </c>
      <c r="N120" s="462"/>
    </row>
    <row r="121" spans="1:14">
      <c r="A121" s="653">
        <f>ROW()</f>
        <v>121</v>
      </c>
      <c r="B121" s="597" t="s">
        <v>1362</v>
      </c>
      <c r="C121" s="1780"/>
      <c r="D121" s="1780"/>
      <c r="E121" s="1780"/>
      <c r="F121" s="1781"/>
      <c r="G121" s="1782"/>
      <c r="H121" s="1782"/>
      <c r="I121" s="1782"/>
      <c r="J121" s="1782"/>
      <c r="K121" s="1782"/>
      <c r="L121" s="1782"/>
      <c r="N121" s="462"/>
    </row>
    <row r="122" spans="1:14">
      <c r="A122" s="653">
        <f>ROW()</f>
        <v>122</v>
      </c>
      <c r="B122" s="75" t="s">
        <v>127</v>
      </c>
      <c r="C122" s="159">
        <f t="shared" si="36"/>
        <v>1026000</v>
      </c>
      <c r="D122" s="159"/>
      <c r="E122" s="159"/>
      <c r="F122" s="1048"/>
      <c r="G122" s="1049">
        <f t="shared" ref="G122:L122" si="39">(G35*G85)*($C$94)</f>
        <v>85500</v>
      </c>
      <c r="H122" s="1049">
        <f t="shared" si="39"/>
        <v>128250</v>
      </c>
      <c r="I122" s="1049">
        <f t="shared" si="39"/>
        <v>171000</v>
      </c>
      <c r="J122" s="1049">
        <f t="shared" si="39"/>
        <v>192375</v>
      </c>
      <c r="K122" s="1049">
        <f t="shared" si="39"/>
        <v>213750</v>
      </c>
      <c r="L122" s="1049">
        <f t="shared" si="39"/>
        <v>235125</v>
      </c>
      <c r="N122" s="462"/>
    </row>
    <row r="123" spans="1:14">
      <c r="A123" s="653">
        <f>ROW()</f>
        <v>123</v>
      </c>
      <c r="B123" s="100" t="s">
        <v>1330</v>
      </c>
      <c r="C123" s="159">
        <f t="shared" si="36"/>
        <v>156600</v>
      </c>
      <c r="D123" s="159"/>
      <c r="E123" s="159"/>
      <c r="F123" s="1048"/>
      <c r="G123" s="1049">
        <f t="shared" ref="G123:L123" si="40">($C$95*G35*G85)+(G35*3.5)</f>
        <v>13050</v>
      </c>
      <c r="H123" s="1049">
        <f t="shared" si="40"/>
        <v>19575</v>
      </c>
      <c r="I123" s="1049">
        <f t="shared" si="40"/>
        <v>26100</v>
      </c>
      <c r="J123" s="1049">
        <f t="shared" si="40"/>
        <v>29362.5</v>
      </c>
      <c r="K123" s="1049">
        <f t="shared" si="40"/>
        <v>32625</v>
      </c>
      <c r="L123" s="1049">
        <f t="shared" si="40"/>
        <v>35887.5</v>
      </c>
      <c r="N123" s="462"/>
    </row>
    <row r="124" spans="1:14">
      <c r="A124" s="653">
        <f>ROW()</f>
        <v>124</v>
      </c>
      <c r="B124" s="100" t="s">
        <v>1331</v>
      </c>
      <c r="C124" s="159">
        <f t="shared" ref="C124" si="41">SUM(F124:L124)</f>
        <v>9600</v>
      </c>
      <c r="D124" s="159"/>
      <c r="E124" s="159"/>
      <c r="F124" s="1977"/>
      <c r="G124" s="1978">
        <f t="shared" ref="G124:L124" si="42">+$C$96*G35</f>
        <v>800</v>
      </c>
      <c r="H124" s="1978">
        <f t="shared" si="42"/>
        <v>1200</v>
      </c>
      <c r="I124" s="1978">
        <f t="shared" si="42"/>
        <v>1600</v>
      </c>
      <c r="J124" s="1978">
        <f t="shared" si="42"/>
        <v>1800</v>
      </c>
      <c r="K124" s="1978">
        <f t="shared" si="42"/>
        <v>2000</v>
      </c>
      <c r="L124" s="1978">
        <f t="shared" si="42"/>
        <v>2200</v>
      </c>
      <c r="N124" s="462"/>
    </row>
    <row r="125" spans="1:14">
      <c r="A125" s="653">
        <f>ROW()</f>
        <v>125</v>
      </c>
      <c r="B125" s="100" t="s">
        <v>129</v>
      </c>
      <c r="C125" s="159">
        <f t="shared" si="36"/>
        <v>72000</v>
      </c>
      <c r="D125" s="159"/>
      <c r="E125" s="159"/>
      <c r="F125" s="1048"/>
      <c r="G125" s="1049">
        <f t="shared" ref="G125:L125" si="43">$C$97*G35*G86</f>
        <v>6000</v>
      </c>
      <c r="H125" s="1049">
        <f t="shared" si="43"/>
        <v>9000</v>
      </c>
      <c r="I125" s="1049">
        <f t="shared" si="43"/>
        <v>12000</v>
      </c>
      <c r="J125" s="1049">
        <f t="shared" si="43"/>
        <v>13500</v>
      </c>
      <c r="K125" s="1049">
        <f t="shared" si="43"/>
        <v>15000</v>
      </c>
      <c r="L125" s="1049">
        <f t="shared" si="43"/>
        <v>16500</v>
      </c>
      <c r="N125" s="462"/>
    </row>
    <row r="126" spans="1:14">
      <c r="A126" s="653">
        <f>ROW()</f>
        <v>126</v>
      </c>
      <c r="B126" s="1699" t="s">
        <v>130</v>
      </c>
      <c r="C126" s="1700"/>
      <c r="D126" s="159"/>
      <c r="E126" s="159"/>
      <c r="F126" s="1048"/>
      <c r="G126" s="1838"/>
      <c r="H126" s="1838"/>
      <c r="I126" s="1838"/>
      <c r="J126" s="1838"/>
      <c r="K126" s="1838"/>
      <c r="L126" s="1838"/>
      <c r="N126" s="462"/>
    </row>
    <row r="127" spans="1:14">
      <c r="A127" s="653">
        <f>ROW()</f>
        <v>127</v>
      </c>
      <c r="B127" s="75" t="s">
        <v>131</v>
      </c>
      <c r="C127" s="159">
        <f t="shared" si="36"/>
        <v>738720</v>
      </c>
      <c r="D127" s="159"/>
      <c r="E127" s="159"/>
      <c r="F127" s="1048"/>
      <c r="G127" s="1049">
        <f>IF($C$100="yes",$C$101*Staff!$C$70*(G35*G85),0)</f>
        <v>61560</v>
      </c>
      <c r="H127" s="1049">
        <f>IF($C$100="yes",$C$101*Staff!$C$70*(H35*H85),0)</f>
        <v>92340</v>
      </c>
      <c r="I127" s="1049">
        <f>IF($C$100="yes",$C$101*Staff!$C$70*(I35*I85),0)</f>
        <v>123120</v>
      </c>
      <c r="J127" s="1049">
        <f>IF($C$100="yes",$C$101*Staff!$C$70*(J35*J85),0)</f>
        <v>138510</v>
      </c>
      <c r="K127" s="1049">
        <f>IF($C$100="yes",$C$101*Staff!$C$70*(K35*K85),0)</f>
        <v>153900</v>
      </c>
      <c r="L127" s="1049">
        <f>IF($C$100="yes",$C$101*Staff!$C$70*(L35*L85),0)</f>
        <v>169290</v>
      </c>
      <c r="N127" s="462" t="s">
        <v>1491</v>
      </c>
    </row>
    <row r="128" spans="1:14">
      <c r="A128" s="653">
        <f>ROW()</f>
        <v>128</v>
      </c>
      <c r="B128" s="75" t="s">
        <v>289</v>
      </c>
      <c r="C128" s="159">
        <f t="shared" si="36"/>
        <v>1026000</v>
      </c>
      <c r="D128" s="159"/>
      <c r="E128" s="159"/>
      <c r="F128" s="1048"/>
      <c r="G128" s="1049">
        <f>(G35*G85)*Staff!$C$70*$C$102</f>
        <v>85500</v>
      </c>
      <c r="H128" s="1049">
        <f>(H35*H85)*Staff!$C$70*$C$102</f>
        <v>128250</v>
      </c>
      <c r="I128" s="1049">
        <f>(I35*I85)*Staff!$C$70*$C$102</f>
        <v>171000</v>
      </c>
      <c r="J128" s="1049">
        <f>(J35*J85)*Staff!$C$70*$C$102</f>
        <v>192375</v>
      </c>
      <c r="K128" s="1049">
        <f>(K35*K85)*Staff!$C$70*$C$102</f>
        <v>213750</v>
      </c>
      <c r="L128" s="1049">
        <f>(L35*L85)*Staff!$C$70*$C$102</f>
        <v>235125</v>
      </c>
      <c r="N128" s="462" t="s">
        <v>1491</v>
      </c>
    </row>
    <row r="129" spans="1:14">
      <c r="A129" s="653">
        <f>ROW()</f>
        <v>129</v>
      </c>
      <c r="B129" s="75" t="s">
        <v>133</v>
      </c>
      <c r="C129" s="159">
        <f t="shared" si="36"/>
        <v>279840</v>
      </c>
      <c r="D129" s="159"/>
      <c r="E129" s="159"/>
      <c r="F129" s="1048"/>
      <c r="G129" s="1049">
        <f t="shared" ref="G129:L129" si="44">(G35*G87)*$C$99</f>
        <v>23320</v>
      </c>
      <c r="H129" s="1049">
        <f t="shared" si="44"/>
        <v>34980</v>
      </c>
      <c r="I129" s="1049">
        <f t="shared" si="44"/>
        <v>46640</v>
      </c>
      <c r="J129" s="1049">
        <f t="shared" si="44"/>
        <v>52470</v>
      </c>
      <c r="K129" s="1049">
        <f t="shared" si="44"/>
        <v>58300</v>
      </c>
      <c r="L129" s="1049">
        <f t="shared" si="44"/>
        <v>64130</v>
      </c>
      <c r="N129" s="462"/>
    </row>
    <row r="130" spans="1:14" ht="27.6">
      <c r="A130" s="1224">
        <f>ROW()</f>
        <v>130</v>
      </c>
      <c r="B130" s="169" t="s">
        <v>292</v>
      </c>
      <c r="C130" s="159">
        <f>SUM(F130:L130)</f>
        <v>0</v>
      </c>
      <c r="D130" s="159"/>
      <c r="E130" s="159"/>
      <c r="F130" s="1879">
        <v>0</v>
      </c>
      <c r="G130" s="1225">
        <v>0</v>
      </c>
      <c r="H130" s="1225">
        <v>0</v>
      </c>
      <c r="I130" s="1225">
        <v>0</v>
      </c>
      <c r="J130" s="1225">
        <v>0</v>
      </c>
      <c r="K130" s="1225">
        <v>0</v>
      </c>
      <c r="L130" s="1225">
        <v>0</v>
      </c>
      <c r="N130" s="462"/>
    </row>
    <row r="131" spans="1:14">
      <c r="A131" s="1224">
        <f>ROW()</f>
        <v>131</v>
      </c>
      <c r="B131" s="169" t="s">
        <v>1324</v>
      </c>
      <c r="C131" s="159">
        <f t="shared" ref="C131:C139" si="45">SUM(F131:L131)</f>
        <v>0</v>
      </c>
      <c r="D131" s="159"/>
      <c r="E131" s="159"/>
      <c r="F131" s="1881">
        <v>0</v>
      </c>
      <c r="G131" s="436">
        <v>0</v>
      </c>
      <c r="H131" s="436">
        <v>0</v>
      </c>
      <c r="I131" s="436">
        <v>0</v>
      </c>
      <c r="J131" s="436">
        <v>0</v>
      </c>
      <c r="K131" s="436">
        <v>0</v>
      </c>
      <c r="L131" s="436">
        <v>0</v>
      </c>
      <c r="N131" s="462" t="s">
        <v>1520</v>
      </c>
    </row>
    <row r="132" spans="1:14">
      <c r="A132" s="1224">
        <f>ROW()</f>
        <v>132</v>
      </c>
      <c r="B132" s="75" t="s">
        <v>1325</v>
      </c>
      <c r="C132" s="159">
        <f t="shared" si="45"/>
        <v>0</v>
      </c>
      <c r="D132" s="159"/>
      <c r="E132" s="159"/>
      <c r="F132" s="1880">
        <v>0</v>
      </c>
      <c r="G132" s="436">
        <v>0</v>
      </c>
      <c r="H132" s="436">
        <v>0</v>
      </c>
      <c r="I132" s="436">
        <v>0</v>
      </c>
      <c r="J132" s="436">
        <v>0</v>
      </c>
      <c r="K132" s="436">
        <v>0</v>
      </c>
      <c r="L132" s="436">
        <v>0</v>
      </c>
      <c r="N132" s="462"/>
    </row>
    <row r="133" spans="1:14">
      <c r="A133" s="1224">
        <f>ROW()</f>
        <v>133</v>
      </c>
      <c r="B133" s="75" t="s">
        <v>293</v>
      </c>
      <c r="C133" s="159">
        <f t="shared" si="45"/>
        <v>0</v>
      </c>
      <c r="D133" s="159"/>
      <c r="E133" s="159"/>
      <c r="F133" s="1880">
        <v>0</v>
      </c>
      <c r="G133" s="1976">
        <f t="shared" ref="G133:L133" si="46">$C$103*G35</f>
        <v>0</v>
      </c>
      <c r="H133" s="1976">
        <f t="shared" si="46"/>
        <v>0</v>
      </c>
      <c r="I133" s="1976">
        <f t="shared" si="46"/>
        <v>0</v>
      </c>
      <c r="J133" s="1976">
        <f t="shared" si="46"/>
        <v>0</v>
      </c>
      <c r="K133" s="1976">
        <f t="shared" si="46"/>
        <v>0</v>
      </c>
      <c r="L133" s="1976">
        <f t="shared" si="46"/>
        <v>0</v>
      </c>
      <c r="N133" s="462"/>
    </row>
    <row r="134" spans="1:14">
      <c r="A134" s="1224">
        <f>ROW()</f>
        <v>134</v>
      </c>
      <c r="B134" s="79" t="s">
        <v>1428</v>
      </c>
      <c r="C134" s="159">
        <f t="shared" si="45"/>
        <v>46080</v>
      </c>
      <c r="D134" s="159"/>
      <c r="E134" s="159"/>
      <c r="F134" s="1880">
        <v>0</v>
      </c>
      <c r="G134" s="436">
        <f>19.2*G35</f>
        <v>3840</v>
      </c>
      <c r="H134" s="436">
        <f t="shared" ref="H134:L134" si="47">19.2*H35</f>
        <v>5760</v>
      </c>
      <c r="I134" s="436">
        <f t="shared" si="47"/>
        <v>7680</v>
      </c>
      <c r="J134" s="436">
        <f t="shared" si="47"/>
        <v>8640</v>
      </c>
      <c r="K134" s="436">
        <f t="shared" si="47"/>
        <v>9600</v>
      </c>
      <c r="L134" s="436">
        <f t="shared" si="47"/>
        <v>10560</v>
      </c>
      <c r="N134" s="462" t="s">
        <v>1517</v>
      </c>
    </row>
    <row r="135" spans="1:14">
      <c r="A135" s="1224">
        <f>ROW()</f>
        <v>135</v>
      </c>
      <c r="B135" s="75" t="s">
        <v>294</v>
      </c>
      <c r="C135" s="159">
        <f t="shared" si="45"/>
        <v>0</v>
      </c>
      <c r="D135" s="159"/>
      <c r="E135" s="159"/>
      <c r="F135" s="1880">
        <v>0</v>
      </c>
      <c r="G135" s="436">
        <v>0</v>
      </c>
      <c r="H135" s="436">
        <v>0</v>
      </c>
      <c r="I135" s="436">
        <v>0</v>
      </c>
      <c r="J135" s="436">
        <v>0</v>
      </c>
      <c r="K135" s="436">
        <v>0</v>
      </c>
      <c r="L135" s="436">
        <v>0</v>
      </c>
      <c r="N135" s="462" t="s">
        <v>1475</v>
      </c>
    </row>
    <row r="136" spans="1:14">
      <c r="A136" s="1224">
        <f>ROW()</f>
        <v>136</v>
      </c>
      <c r="B136" s="75" t="s">
        <v>295</v>
      </c>
      <c r="C136" s="159">
        <f t="shared" si="45"/>
        <v>0</v>
      </c>
      <c r="D136" s="159"/>
      <c r="E136" s="159"/>
      <c r="F136" s="1880">
        <v>0</v>
      </c>
      <c r="G136" s="436">
        <v>0</v>
      </c>
      <c r="H136" s="436">
        <v>0</v>
      </c>
      <c r="I136" s="436">
        <v>0</v>
      </c>
      <c r="J136" s="436">
        <v>0</v>
      </c>
      <c r="K136" s="436">
        <v>0</v>
      </c>
      <c r="L136" s="436">
        <v>0</v>
      </c>
      <c r="N136" s="462"/>
    </row>
    <row r="137" spans="1:14">
      <c r="A137" s="1224">
        <f>ROW()</f>
        <v>137</v>
      </c>
      <c r="B137" s="75" t="s">
        <v>140</v>
      </c>
      <c r="C137" s="159">
        <f t="shared" si="45"/>
        <v>0</v>
      </c>
      <c r="D137" s="159"/>
      <c r="E137" s="159"/>
      <c r="F137" s="1880">
        <v>0</v>
      </c>
      <c r="G137" s="436">
        <v>0</v>
      </c>
      <c r="H137" s="436">
        <v>0</v>
      </c>
      <c r="I137" s="436">
        <v>0</v>
      </c>
      <c r="J137" s="436">
        <v>0</v>
      </c>
      <c r="K137" s="436">
        <v>0</v>
      </c>
      <c r="L137" s="436">
        <v>0</v>
      </c>
      <c r="N137" s="462"/>
    </row>
    <row r="138" spans="1:14">
      <c r="A138" s="1224">
        <f>ROW()</f>
        <v>138</v>
      </c>
      <c r="B138" s="75" t="s">
        <v>1326</v>
      </c>
      <c r="C138" s="159">
        <f t="shared" si="45"/>
        <v>100000</v>
      </c>
      <c r="D138" s="159"/>
      <c r="E138" s="159"/>
      <c r="F138" s="1880">
        <v>100000</v>
      </c>
      <c r="G138" s="436">
        <v>0</v>
      </c>
      <c r="H138" s="436">
        <v>0</v>
      </c>
      <c r="I138" s="436">
        <v>0</v>
      </c>
      <c r="J138" s="436">
        <v>0</v>
      </c>
      <c r="K138" s="436">
        <v>0</v>
      </c>
      <c r="L138" s="436">
        <v>0</v>
      </c>
      <c r="N138" s="462" t="s">
        <v>1518</v>
      </c>
    </row>
    <row r="139" spans="1:14">
      <c r="A139" s="1224">
        <f>ROW()</f>
        <v>139</v>
      </c>
      <c r="B139" s="75" t="s">
        <v>1327</v>
      </c>
      <c r="C139" s="159">
        <f t="shared" si="45"/>
        <v>326500</v>
      </c>
      <c r="D139" s="159"/>
      <c r="E139" s="159"/>
      <c r="F139" s="1880">
        <f>276500+25000*2-G139</f>
        <v>297500</v>
      </c>
      <c r="G139" s="437">
        <f>25000+4000</f>
        <v>29000</v>
      </c>
      <c r="H139" s="436">
        <v>0</v>
      </c>
      <c r="I139" s="436">
        <v>0</v>
      </c>
      <c r="J139" s="436">
        <v>0</v>
      </c>
      <c r="K139" s="436">
        <v>0</v>
      </c>
      <c r="L139" s="436">
        <v>0</v>
      </c>
      <c r="N139" s="462" t="s">
        <v>1539</v>
      </c>
    </row>
    <row r="140" spans="1:14" ht="15.6">
      <c r="A140" s="1224">
        <f>ROW()</f>
        <v>140</v>
      </c>
      <c r="B140" s="1614"/>
      <c r="C140" s="485"/>
      <c r="D140" s="486"/>
      <c r="E140" s="486"/>
      <c r="F140" s="487">
        <f t="shared" ref="F140:L140" si="48">SUM(F122:F139)</f>
        <v>397500</v>
      </c>
      <c r="G140" s="487">
        <f t="shared" si="48"/>
        <v>308570</v>
      </c>
      <c r="H140" s="487">
        <f t="shared" si="48"/>
        <v>419355</v>
      </c>
      <c r="I140" s="487">
        <f t="shared" si="48"/>
        <v>559140</v>
      </c>
      <c r="J140" s="487">
        <f t="shared" si="48"/>
        <v>629032.5</v>
      </c>
      <c r="K140" s="487">
        <f t="shared" si="48"/>
        <v>698925</v>
      </c>
      <c r="L140" s="487">
        <f t="shared" si="48"/>
        <v>768817.5</v>
      </c>
      <c r="N140" s="462"/>
    </row>
    <row r="141" spans="1:14" ht="15.6">
      <c r="A141" s="1224">
        <f>ROW()</f>
        <v>141</v>
      </c>
      <c r="B141" s="198" t="s">
        <v>1359</v>
      </c>
      <c r="C141" s="1872"/>
      <c r="D141" s="1873"/>
      <c r="E141" s="1873"/>
      <c r="F141" s="1874"/>
      <c r="G141" s="1979">
        <f t="shared" ref="G141:L141" si="49">+G140/G35</f>
        <v>1542.85</v>
      </c>
      <c r="H141" s="1979">
        <f t="shared" si="49"/>
        <v>1397.85</v>
      </c>
      <c r="I141" s="1979">
        <f t="shared" si="49"/>
        <v>1397.85</v>
      </c>
      <c r="J141" s="1979">
        <f t="shared" si="49"/>
        <v>1397.85</v>
      </c>
      <c r="K141" s="1979">
        <f t="shared" si="49"/>
        <v>1397.85</v>
      </c>
      <c r="L141" s="1979">
        <f t="shared" si="49"/>
        <v>1397.85</v>
      </c>
      <c r="N141" s="462"/>
    </row>
    <row r="142" spans="1:14" ht="15.6">
      <c r="A142" s="1224">
        <f>ROW()</f>
        <v>142</v>
      </c>
      <c r="B142" s="1614" t="s">
        <v>196</v>
      </c>
      <c r="C142" s="485">
        <f t="shared" ref="C142" si="50">SUM(G142:L142)</f>
        <v>24373827.680398501</v>
      </c>
      <c r="D142" s="486"/>
      <c r="E142" s="486"/>
      <c r="F142" s="487">
        <f t="shared" ref="F142:K142" si="51">+F140+F116</f>
        <v>397500</v>
      </c>
      <c r="G142" s="487">
        <f t="shared" si="51"/>
        <v>1748937.5</v>
      </c>
      <c r="H142" s="487">
        <f t="shared" si="51"/>
        <v>2985042.728962</v>
      </c>
      <c r="I142" s="487">
        <f t="shared" si="51"/>
        <v>4043933.2184430007</v>
      </c>
      <c r="J142" s="487">
        <f t="shared" si="51"/>
        <v>4669192.8329240009</v>
      </c>
      <c r="K142" s="487">
        <f t="shared" si="51"/>
        <v>5198638.0776644992</v>
      </c>
      <c r="L142" s="487">
        <f>+L140+L116</f>
        <v>5728083.3224050002</v>
      </c>
      <c r="N142" s="462"/>
    </row>
    <row r="143" spans="1:14" ht="14.4">
      <c r="A143" s="1224">
        <f>ROW()</f>
        <v>143</v>
      </c>
      <c r="B143" s="1584" t="s">
        <v>144</v>
      </c>
      <c r="C143" s="143"/>
      <c r="D143" s="143"/>
      <c r="E143" s="143"/>
      <c r="F143" s="1585"/>
      <c r="G143" s="1980">
        <f t="shared" ref="G143:L143" si="52">IFERROR(G142/G35,0)</f>
        <v>8744.6875</v>
      </c>
      <c r="H143" s="1980">
        <f t="shared" si="52"/>
        <v>9950.1424298733327</v>
      </c>
      <c r="I143" s="1980">
        <f t="shared" si="52"/>
        <v>10109.833046107502</v>
      </c>
      <c r="J143" s="1980">
        <f t="shared" si="52"/>
        <v>10375.984073164447</v>
      </c>
      <c r="K143" s="1980">
        <f t="shared" si="52"/>
        <v>10397.276155328998</v>
      </c>
      <c r="L143" s="1980">
        <f t="shared" si="52"/>
        <v>10414.696949827274</v>
      </c>
      <c r="N143" s="462"/>
    </row>
    <row r="144" spans="1:14">
      <c r="A144" s="653"/>
      <c r="B144" s="81" t="s">
        <v>1360</v>
      </c>
      <c r="C144" s="81"/>
      <c r="D144" s="81"/>
      <c r="E144" s="81"/>
      <c r="G144" s="226">
        <f>+Summary!G34</f>
        <v>1748937.5</v>
      </c>
      <c r="H144" s="226">
        <f>+Summary!H34</f>
        <v>2985042.728962</v>
      </c>
      <c r="I144" s="226">
        <f>+Summary!I34</f>
        <v>4043933.2184430007</v>
      </c>
      <c r="J144" s="226">
        <f>+Summary!J34</f>
        <v>4669192.8329240009</v>
      </c>
      <c r="K144" s="226">
        <f>+Summary!K34</f>
        <v>5198638.0776644992</v>
      </c>
      <c r="L144" s="226">
        <f>+Summary!L34</f>
        <v>5728083.3224050002</v>
      </c>
    </row>
    <row r="145" spans="1:12">
      <c r="A145" s="653"/>
      <c r="B145" s="196" t="s">
        <v>1361</v>
      </c>
      <c r="C145" s="196"/>
      <c r="D145" s="196"/>
      <c r="E145" s="196"/>
      <c r="F145" s="193"/>
      <c r="G145" s="1582">
        <f>+G142-G144</f>
        <v>0</v>
      </c>
      <c r="H145" s="1582">
        <f t="shared" ref="H145:L145" si="53">+H142-H144</f>
        <v>0</v>
      </c>
      <c r="I145" s="1582">
        <f t="shared" si="53"/>
        <v>0</v>
      </c>
      <c r="J145" s="1582">
        <f t="shared" si="53"/>
        <v>0</v>
      </c>
      <c r="K145" s="1582">
        <f t="shared" si="53"/>
        <v>0</v>
      </c>
      <c r="L145" s="1582">
        <f t="shared" si="53"/>
        <v>0</v>
      </c>
    </row>
    <row r="146" spans="1:12">
      <c r="A146" s="95"/>
      <c r="B146" s="1945" t="s">
        <v>1211</v>
      </c>
      <c r="C146" s="81"/>
      <c r="D146" s="81"/>
      <c r="E146" s="81"/>
      <c r="J146" s="79"/>
      <c r="K146" s="79"/>
      <c r="L146" s="79"/>
    </row>
  </sheetData>
  <sheetProtection algorithmName="SHA-512" hashValue="zsDgstGviwozqc6zaLz7JUD5w1alzoDmuZ15Zw7MiOoaWjcB3iWhTAzBKb9QyiJokVQBTAxZp/wCQkbICYKxrg==" saltValue="ozOErKkBzeRPR0RpLhMH+g==" spinCount="100000" sheet="1" objects="1" scenarios="1"/>
  <phoneticPr fontId="7" type="noConversion"/>
  <conditionalFormatting sqref="G88:L88">
    <cfRule type="cellIs" dxfId="78" priority="144" stopIfTrue="1" operator="equal">
      <formula>0</formula>
    </cfRule>
  </conditionalFormatting>
  <conditionalFormatting sqref="B22:E34 C13:E13 D1:E1">
    <cfRule type="expression" dxfId="77" priority="169" stopIfTrue="1">
      <formula>MOD(ROW(),2)=0</formula>
    </cfRule>
  </conditionalFormatting>
  <conditionalFormatting sqref="G16:L16">
    <cfRule type="cellIs" dxfId="76" priority="213" stopIfTrue="1" operator="equal">
      <formula>0</formula>
    </cfRule>
  </conditionalFormatting>
  <conditionalFormatting sqref="G87:H87">
    <cfRule type="cellIs" dxfId="75" priority="19" operator="greaterThan">
      <formula>0.25</formula>
    </cfRule>
  </conditionalFormatting>
  <conditionalFormatting sqref="G18:L18">
    <cfRule type="cellIs" dxfId="74" priority="12" stopIfTrue="1" operator="equal">
      <formula>0</formula>
    </cfRule>
  </conditionalFormatting>
  <conditionalFormatting sqref="C66">
    <cfRule type="top10" dxfId="73" priority="4" rank="10"/>
  </conditionalFormatting>
  <conditionalFormatting sqref="E66">
    <cfRule type="cellIs" dxfId="72" priority="3" operator="greaterThan">
      <formula>1</formula>
    </cfRule>
  </conditionalFormatting>
  <conditionalFormatting sqref="D66">
    <cfRule type="cellIs" dxfId="71" priority="2" operator="greaterThan">
      <formula>1</formula>
    </cfRule>
  </conditionalFormatting>
  <hyperlinks>
    <hyperlink ref="D1" location="HypLink1" display="HypLink1" xr:uid="{50C40886-9D9F-4AD7-81F3-10148FDA785C}"/>
  </hyperlinks>
  <pageMargins left="0.25" right="0.25" top="0.5" bottom="0.45" header="0.25" footer="0.25"/>
  <pageSetup scale="60" fitToHeight="4" orientation="landscape" r:id="rId1"/>
  <headerFooter>
    <oddHeader xml:space="preserve">&amp;L &amp;C &amp;R </oddHeader>
    <oddFooter>&amp;L&amp;7&amp;D  at &amp;T Mike 702.854.0691&amp;C&amp;7&amp;F  &amp;A&amp;R&amp;7Page &amp;P of &amp;N</oddFooter>
  </headerFooter>
  <rowBreaks count="1" manualBreakCount="1">
    <brk id="104" max="12" man="1"/>
  </rowBreaks>
  <drawing r:id="rId2"/>
  <legacyDrawing r:id="rId3"/>
  <extLst>
    <ext xmlns:x14="http://schemas.microsoft.com/office/spreadsheetml/2009/9/main" uri="{CCE6A557-97BC-4b89-ADB6-D9C93CAAB3DF}">
      <x14:dataValidations xmlns:xm="http://schemas.microsoft.com/office/excel/2006/main" disablePrompts="1" xWindow="527" yWindow="807" count="2">
        <x14:dataValidation type="list" allowBlank="1" showInputMessage="1" showErrorMessage="1" xr:uid="{072BB3B4-7B2D-4CBC-801C-1A2DCA639C70}">
          <x14:formula1>
            <xm:f>'PCFP Rates'!$B$107:$B$113</xm:f>
          </x14:formula1>
          <xm:sqref>C71</xm:sqref>
        </x14:dataValidation>
        <x14:dataValidation type="list" allowBlank="1" showInputMessage="1" showErrorMessage="1" promptTitle="County" prompt="In the Dropdown Box select the county where your school will be located." xr:uid="{00000000-0002-0000-0100-000000000000}">
          <x14:formula1>
            <xm:f>'PCFP Rates'!$O$15:$O$44</xm:f>
          </x14:formula1>
          <xm:sqref>D104:E104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F97-2CD8-473E-BEFB-7F0BC3F9228C}">
  <sheetPr codeName="Sheet5">
    <tabColor rgb="FFFFFF00"/>
    <pageSetUpPr fitToPage="1"/>
  </sheetPr>
  <dimension ref="A1:M56"/>
  <sheetViews>
    <sheetView zoomScale="175" zoomScaleNormal="175" workbookViewId="0">
      <selection activeCell="B23" sqref="B23:D23"/>
    </sheetView>
  </sheetViews>
  <sheetFormatPr defaultColWidth="8.77734375" defaultRowHeight="13.2"/>
  <cols>
    <col min="1" max="1" width="4.77734375" style="7" customWidth="1"/>
    <col min="2" max="2" width="30.21875" style="7" customWidth="1"/>
    <col min="3" max="3" width="16.77734375" style="7" customWidth="1"/>
    <col min="4" max="4" width="15.21875" style="7" bestFit="1" customWidth="1"/>
    <col min="5" max="5" width="13.77734375" style="7" customWidth="1"/>
    <col min="6" max="6" width="3.77734375" style="7" customWidth="1"/>
    <col min="7" max="7" width="35.77734375" style="7" customWidth="1"/>
    <col min="8" max="8" width="3.5546875" style="7" customWidth="1"/>
    <col min="9" max="16384" width="8.77734375" style="7"/>
  </cols>
  <sheetData>
    <row r="1" spans="1:13" ht="17.399999999999999">
      <c r="A1" s="27" t="s">
        <v>1370</v>
      </c>
      <c r="B1" s="26"/>
      <c r="C1" s="26"/>
      <c r="D1" s="26"/>
      <c r="E1" s="558" t="s">
        <v>2</v>
      </c>
    </row>
    <row r="2" spans="1:13" ht="15.6">
      <c r="A2" s="30" t="str">
        <f>SchoolName</f>
        <v>Southern Nevada Trades High School</v>
      </c>
      <c r="B2" s="29"/>
      <c r="C2" s="29"/>
      <c r="D2" s="29"/>
    </row>
    <row r="3" spans="1:13">
      <c r="A3" s="11" t="s">
        <v>799</v>
      </c>
    </row>
    <row r="4" spans="1:13">
      <c r="A4" s="10" t="s">
        <v>72</v>
      </c>
      <c r="H4" s="8"/>
      <c r="I4" s="8"/>
      <c r="J4" s="8"/>
      <c r="K4" s="8"/>
      <c r="L4" s="8"/>
      <c r="M4" s="8"/>
    </row>
    <row r="5" spans="1:13">
      <c r="A5" s="9" t="str">
        <f ca="1">CELL("filename")</f>
        <v>C:\Users\jewel\Documents\SNTHS\CHARTER APP FINAL\FINAL COMPILED\[SNTHS Budget Worksheet.xlsx]Summary</v>
      </c>
      <c r="H5" s="8"/>
      <c r="I5" s="8"/>
      <c r="J5" s="8"/>
      <c r="K5" s="8"/>
      <c r="L5" s="8"/>
      <c r="M5" s="8"/>
    </row>
    <row r="6" spans="1:13">
      <c r="A6" s="8"/>
      <c r="B6" s="1627"/>
      <c r="C6" s="491"/>
      <c r="D6" s="491"/>
      <c r="E6" s="1895" t="s">
        <v>1378</v>
      </c>
      <c r="F6" s="8"/>
      <c r="G6" s="8"/>
      <c r="H6" s="8"/>
      <c r="I6" s="8"/>
      <c r="J6" s="8"/>
      <c r="K6" s="8"/>
      <c r="L6" s="8"/>
      <c r="M6" s="8"/>
    </row>
    <row r="7" spans="1:13">
      <c r="A7" s="8"/>
      <c r="B7" s="8"/>
      <c r="C7" s="8"/>
      <c r="D7" s="8"/>
      <c r="E7" s="1893">
        <f>+Cover!E11-1</f>
        <v>2022</v>
      </c>
      <c r="F7" s="8"/>
      <c r="G7" s="1726" t="s">
        <v>1382</v>
      </c>
      <c r="H7" s="1726"/>
      <c r="I7" s="1726"/>
      <c r="J7" s="1726"/>
      <c r="K7" s="8"/>
      <c r="L7" s="8"/>
      <c r="M7" s="8"/>
    </row>
    <row r="8" spans="1:13">
      <c r="A8" s="8"/>
      <c r="B8" s="8"/>
      <c r="C8" s="8"/>
      <c r="D8" s="8"/>
      <c r="E8" s="1894">
        <f>+E7+1</f>
        <v>2023</v>
      </c>
      <c r="F8" s="8"/>
      <c r="G8" s="1726"/>
      <c r="H8" s="1726"/>
      <c r="I8" s="1726"/>
      <c r="J8" s="1726"/>
      <c r="K8" s="8"/>
      <c r="L8" s="8"/>
      <c r="M8" s="8"/>
    </row>
    <row r="9" spans="1:13" ht="13.8">
      <c r="A9" s="8"/>
      <c r="B9" s="12"/>
      <c r="C9" s="8"/>
      <c r="D9" s="8"/>
      <c r="E9" s="8"/>
      <c r="F9" s="8"/>
      <c r="G9" s="8"/>
      <c r="H9" s="8"/>
      <c r="I9" s="8"/>
      <c r="J9" s="8"/>
      <c r="K9" s="8"/>
      <c r="L9" s="8"/>
      <c r="M9" s="8"/>
    </row>
    <row r="10" spans="1:13" ht="13.8">
      <c r="A10" s="8"/>
      <c r="B10" s="2190" t="s">
        <v>1379</v>
      </c>
      <c r="C10" s="2191"/>
      <c r="D10" s="2191"/>
      <c r="E10" s="2192"/>
      <c r="F10" s="8"/>
      <c r="G10" s="1597" t="s">
        <v>95</v>
      </c>
      <c r="H10" s="8"/>
      <c r="I10" s="8"/>
      <c r="J10" s="8"/>
      <c r="K10" s="8"/>
      <c r="L10" s="8"/>
      <c r="M10" s="8"/>
    </row>
    <row r="11" spans="1:13" ht="13.8">
      <c r="A11" s="662">
        <f>ROW()</f>
        <v>11</v>
      </c>
      <c r="B11" s="1720"/>
      <c r="C11" s="1720"/>
      <c r="D11" s="1720"/>
      <c r="E11" s="1733"/>
      <c r="F11" s="18"/>
      <c r="G11" s="628"/>
      <c r="H11" s="8"/>
      <c r="I11" s="8"/>
      <c r="J11" s="8"/>
      <c r="K11" s="8"/>
      <c r="L11" s="8"/>
      <c r="M11" s="8"/>
    </row>
    <row r="12" spans="1:13" ht="13.8">
      <c r="A12" s="662">
        <f>ROW()</f>
        <v>12</v>
      </c>
      <c r="B12" s="1718"/>
      <c r="C12" s="1718"/>
      <c r="D12" s="1718"/>
      <c r="E12" s="1734">
        <v>0</v>
      </c>
      <c r="F12" s="18"/>
      <c r="G12" s="462"/>
      <c r="H12" s="8"/>
      <c r="I12" s="8"/>
      <c r="J12" s="8"/>
      <c r="K12" s="8"/>
      <c r="L12" s="8"/>
      <c r="M12" s="8"/>
    </row>
    <row r="13" spans="1:13" ht="13.8">
      <c r="A13" s="662">
        <f>ROW()</f>
        <v>13</v>
      </c>
      <c r="B13" s="1718"/>
      <c r="C13" s="1718"/>
      <c r="D13" s="1718"/>
      <c r="E13" s="615">
        <v>0</v>
      </c>
      <c r="F13" s="18"/>
      <c r="G13" s="462"/>
      <c r="H13" s="8"/>
      <c r="I13" s="8"/>
      <c r="J13" s="8"/>
      <c r="K13" s="8"/>
      <c r="L13" s="8"/>
      <c r="M13" s="8"/>
    </row>
    <row r="14" spans="1:13" ht="13.8">
      <c r="A14" s="662">
        <f>ROW()</f>
        <v>14</v>
      </c>
      <c r="B14" s="1718"/>
      <c r="C14" s="1718"/>
      <c r="D14" s="1718"/>
      <c r="E14" s="615"/>
      <c r="F14" s="18"/>
      <c r="G14" s="462"/>
      <c r="H14" s="8"/>
      <c r="I14" s="8"/>
      <c r="J14" s="8"/>
      <c r="K14" s="8"/>
      <c r="L14" s="8"/>
      <c r="M14" s="8"/>
    </row>
    <row r="15" spans="1:13" ht="13.8">
      <c r="A15" s="662">
        <f>ROW()</f>
        <v>15</v>
      </c>
      <c r="B15" s="1718" t="s">
        <v>811</v>
      </c>
      <c r="C15" s="1718"/>
      <c r="D15" s="1718"/>
      <c r="E15" s="615">
        <v>0</v>
      </c>
      <c r="F15" s="18"/>
      <c r="G15" s="462"/>
      <c r="H15" s="8"/>
      <c r="I15" s="8"/>
      <c r="J15" s="8"/>
      <c r="K15" s="8"/>
      <c r="L15" s="8"/>
      <c r="M15" s="8"/>
    </row>
    <row r="16" spans="1:13" ht="13.8">
      <c r="A16" s="662">
        <f>ROW()</f>
        <v>16</v>
      </c>
      <c r="B16" s="1718" t="s">
        <v>805</v>
      </c>
      <c r="C16" s="1718"/>
      <c r="D16" s="1718"/>
      <c r="E16" s="615">
        <v>0</v>
      </c>
      <c r="F16" s="18"/>
      <c r="G16" s="462"/>
      <c r="H16" s="8"/>
      <c r="I16" s="8"/>
      <c r="J16" s="8"/>
      <c r="K16" s="8"/>
      <c r="L16" s="8"/>
      <c r="M16" s="8"/>
    </row>
    <row r="17" spans="1:13" ht="13.8">
      <c r="A17" s="662">
        <f>ROW()</f>
        <v>17</v>
      </c>
      <c r="B17" s="1718" t="s">
        <v>808</v>
      </c>
      <c r="C17" s="1718"/>
      <c r="D17" s="1718"/>
      <c r="E17" s="615">
        <v>0</v>
      </c>
      <c r="F17" s="18"/>
      <c r="G17" s="462"/>
      <c r="H17" s="8"/>
      <c r="I17" s="8"/>
      <c r="J17" s="8"/>
      <c r="K17" s="8"/>
      <c r="L17" s="8"/>
      <c r="M17" s="8"/>
    </row>
    <row r="18" spans="1:13" ht="13.8">
      <c r="A18" s="662">
        <f>ROW()</f>
        <v>18</v>
      </c>
      <c r="B18" s="1718" t="s">
        <v>810</v>
      </c>
      <c r="C18" s="1718"/>
      <c r="D18" s="1718"/>
      <c r="E18" s="615">
        <v>0</v>
      </c>
      <c r="F18" s="18"/>
      <c r="G18" s="462"/>
      <c r="H18" s="8"/>
      <c r="I18" s="8"/>
      <c r="J18" s="8"/>
      <c r="K18" s="8"/>
      <c r="L18" s="8"/>
      <c r="M18" s="8"/>
    </row>
    <row r="19" spans="1:13" ht="13.8">
      <c r="A19" s="662">
        <f>ROW()</f>
        <v>19</v>
      </c>
      <c r="B19" s="1719" t="s">
        <v>806</v>
      </c>
      <c r="C19" s="1718"/>
      <c r="D19" s="1718"/>
      <c r="E19" s="615">
        <v>0</v>
      </c>
      <c r="F19" s="18"/>
      <c r="G19" s="462"/>
      <c r="H19" s="8"/>
      <c r="I19" s="8"/>
      <c r="J19" s="8"/>
      <c r="K19" s="8"/>
      <c r="L19" s="8"/>
      <c r="M19" s="8"/>
    </row>
    <row r="20" spans="1:13" ht="13.8">
      <c r="A20" s="662">
        <f>ROW()</f>
        <v>20</v>
      </c>
      <c r="B20" s="1718" t="s">
        <v>804</v>
      </c>
      <c r="C20" s="1718"/>
      <c r="D20" s="1718"/>
      <c r="E20" s="615">
        <v>0</v>
      </c>
      <c r="F20" s="18"/>
      <c r="G20" s="462"/>
      <c r="H20" s="8"/>
      <c r="I20" s="1726"/>
      <c r="J20" s="8"/>
      <c r="K20" s="8"/>
      <c r="L20" s="8"/>
      <c r="M20" s="8"/>
    </row>
    <row r="21" spans="1:13" ht="13.8">
      <c r="A21" s="662">
        <f>ROW()</f>
        <v>21</v>
      </c>
      <c r="B21" s="1718" t="s">
        <v>1221</v>
      </c>
      <c r="C21" s="1718"/>
      <c r="D21" s="1718"/>
      <c r="E21" s="615">
        <v>0</v>
      </c>
      <c r="F21" s="18"/>
      <c r="G21" s="462"/>
      <c r="H21" s="8"/>
      <c r="I21" s="1726"/>
      <c r="J21" s="8"/>
      <c r="K21" s="8"/>
      <c r="L21" s="8"/>
      <c r="M21" s="8"/>
    </row>
    <row r="22" spans="1:13" ht="13.8">
      <c r="A22" s="662">
        <f>ROW()</f>
        <v>22</v>
      </c>
      <c r="B22" s="1718" t="s">
        <v>1219</v>
      </c>
      <c r="C22" s="1718"/>
      <c r="D22" s="1718"/>
      <c r="E22" s="615"/>
      <c r="F22" s="18"/>
      <c r="G22" s="462"/>
      <c r="H22" s="8"/>
      <c r="I22" s="1726"/>
      <c r="J22" s="8"/>
      <c r="K22" s="8"/>
      <c r="L22" s="8"/>
      <c r="M22" s="8"/>
    </row>
    <row r="23" spans="1:13" ht="13.8">
      <c r="A23" s="662">
        <f>ROW()</f>
        <v>23</v>
      </c>
      <c r="B23" s="1721" t="s">
        <v>1245</v>
      </c>
      <c r="C23" s="1721"/>
      <c r="D23" s="1721"/>
      <c r="E23" s="615"/>
      <c r="F23" s="18"/>
      <c r="G23" s="462"/>
      <c r="H23" s="8"/>
      <c r="I23" s="1726"/>
      <c r="J23" s="8"/>
      <c r="K23" s="8"/>
      <c r="L23" s="8"/>
      <c r="M23" s="8"/>
    </row>
    <row r="24" spans="1:13" ht="13.8">
      <c r="A24" s="662">
        <f>ROW()</f>
        <v>24</v>
      </c>
      <c r="B24" s="1718" t="s">
        <v>1222</v>
      </c>
      <c r="C24" s="1718"/>
      <c r="D24" s="1718"/>
      <c r="E24" s="615"/>
      <c r="F24" s="18"/>
      <c r="G24" s="462"/>
      <c r="H24" s="8"/>
      <c r="I24" s="1726"/>
      <c r="J24" s="8"/>
      <c r="K24" s="8"/>
      <c r="L24" s="8"/>
      <c r="M24" s="8"/>
    </row>
    <row r="25" spans="1:13" ht="13.8">
      <c r="A25" s="662">
        <f>ROW()</f>
        <v>25</v>
      </c>
      <c r="B25" s="1718" t="s">
        <v>1218</v>
      </c>
      <c r="C25" s="1718"/>
      <c r="D25" s="1718"/>
      <c r="E25" s="615">
        <v>5000</v>
      </c>
      <c r="F25" s="18"/>
      <c r="G25" s="462"/>
      <c r="H25" s="8"/>
      <c r="I25" s="1726"/>
      <c r="J25" s="8"/>
      <c r="K25" s="8"/>
      <c r="L25" s="8"/>
      <c r="M25" s="8"/>
    </row>
    <row r="26" spans="1:13" ht="13.8">
      <c r="A26" s="662">
        <f>ROW()</f>
        <v>26</v>
      </c>
      <c r="B26" s="1718" t="s">
        <v>802</v>
      </c>
      <c r="C26" s="1718"/>
      <c r="D26" s="1718"/>
      <c r="E26" s="615"/>
      <c r="F26" s="18"/>
      <c r="G26" s="462"/>
      <c r="H26" s="8"/>
      <c r="I26" s="8"/>
      <c r="J26" s="8"/>
      <c r="K26" s="8"/>
      <c r="L26" s="8"/>
      <c r="M26" s="8"/>
    </row>
    <row r="27" spans="1:13" ht="13.8">
      <c r="A27" s="662">
        <f>ROW()</f>
        <v>27</v>
      </c>
      <c r="B27" s="1718" t="s">
        <v>1246</v>
      </c>
      <c r="C27" s="1718"/>
      <c r="D27" s="1718"/>
      <c r="E27" s="615">
        <v>0</v>
      </c>
      <c r="F27" s="18"/>
      <c r="G27" s="462"/>
      <c r="H27" s="8"/>
      <c r="I27" s="8"/>
      <c r="J27" s="8"/>
      <c r="K27" s="8"/>
      <c r="L27" s="8"/>
      <c r="M27" s="8"/>
    </row>
    <row r="28" spans="1:13" ht="13.8">
      <c r="A28" s="662">
        <f>ROW()</f>
        <v>28</v>
      </c>
      <c r="B28" s="1718" t="s">
        <v>803</v>
      </c>
      <c r="C28" s="1718"/>
      <c r="D28" s="1718"/>
      <c r="E28" s="615">
        <v>0</v>
      </c>
      <c r="F28" s="18"/>
      <c r="G28" s="462"/>
      <c r="H28" s="8"/>
      <c r="I28" s="8"/>
      <c r="J28" s="8"/>
      <c r="K28" s="8"/>
      <c r="L28" s="8"/>
      <c r="M28" s="8"/>
    </row>
    <row r="29" spans="1:13" ht="13.8">
      <c r="A29" s="662">
        <f>ROW()</f>
        <v>29</v>
      </c>
      <c r="B29" s="1718" t="s">
        <v>801</v>
      </c>
      <c r="C29" s="1718"/>
      <c r="D29" s="1718"/>
      <c r="E29" s="615">
        <v>0</v>
      </c>
      <c r="F29" s="18"/>
      <c r="G29" s="462"/>
      <c r="H29" s="8"/>
      <c r="I29" s="8"/>
      <c r="J29" s="8"/>
      <c r="K29" s="8"/>
      <c r="L29" s="8"/>
      <c r="M29" s="8"/>
    </row>
    <row r="30" spans="1:13" ht="13.8">
      <c r="A30" s="662">
        <f>ROW()</f>
        <v>30</v>
      </c>
      <c r="B30" s="1718" t="s">
        <v>800</v>
      </c>
      <c r="C30" s="1718"/>
      <c r="D30" s="1718"/>
      <c r="E30" s="615">
        <v>0</v>
      </c>
      <c r="F30" s="18"/>
      <c r="G30" s="462"/>
      <c r="H30" s="8"/>
      <c r="I30" s="8"/>
      <c r="J30" s="8"/>
      <c r="K30" s="8"/>
      <c r="L30" s="8"/>
      <c r="M30" s="8"/>
    </row>
    <row r="31" spans="1:13" ht="13.8">
      <c r="A31" s="662">
        <f>ROW()</f>
        <v>31</v>
      </c>
      <c r="B31" s="1718" t="s">
        <v>1217</v>
      </c>
      <c r="C31" s="1718"/>
      <c r="D31" s="1718"/>
      <c r="E31" s="615">
        <v>0</v>
      </c>
      <c r="F31" s="18"/>
      <c r="G31" s="462"/>
      <c r="H31" s="8"/>
      <c r="I31" s="8"/>
      <c r="J31" s="8"/>
      <c r="K31" s="8"/>
      <c r="L31" s="8"/>
      <c r="M31" s="8"/>
    </row>
    <row r="32" spans="1:13" ht="13.8">
      <c r="A32" s="662">
        <f>ROW()</f>
        <v>32</v>
      </c>
      <c r="B32" s="1718" t="s">
        <v>807</v>
      </c>
      <c r="C32" s="1718"/>
      <c r="D32" s="1718"/>
      <c r="E32" s="615"/>
      <c r="F32" s="18"/>
      <c r="G32" s="462"/>
      <c r="H32" s="8"/>
      <c r="I32" s="8"/>
      <c r="J32" s="8"/>
      <c r="K32" s="8"/>
      <c r="L32" s="8"/>
      <c r="M32" s="8"/>
    </row>
    <row r="33" spans="1:13" ht="13.8">
      <c r="A33" s="662">
        <f>ROW()</f>
        <v>33</v>
      </c>
      <c r="B33" s="1730" t="s">
        <v>809</v>
      </c>
      <c r="C33" s="1730"/>
      <c r="D33" s="1730"/>
      <c r="E33" s="615">
        <v>98000</v>
      </c>
      <c r="F33" s="18"/>
      <c r="G33" s="462"/>
      <c r="H33" s="8"/>
      <c r="I33" s="8"/>
      <c r="J33" s="8"/>
      <c r="K33" s="8"/>
      <c r="L33" s="8"/>
      <c r="M33" s="8"/>
    </row>
    <row r="34" spans="1:13" ht="13.8">
      <c r="A34" s="662">
        <f>ROW()</f>
        <v>34</v>
      </c>
      <c r="B34" s="1730"/>
      <c r="C34" s="1730"/>
      <c r="D34" s="1730"/>
      <c r="E34" s="615"/>
      <c r="F34" s="18"/>
      <c r="G34" s="462"/>
      <c r="H34" s="8"/>
      <c r="I34" s="8"/>
      <c r="J34" s="8"/>
      <c r="K34" s="8"/>
      <c r="L34" s="8"/>
      <c r="M34" s="8"/>
    </row>
    <row r="35" spans="1:13" ht="13.8">
      <c r="A35" s="662">
        <f>ROW()</f>
        <v>35</v>
      </c>
      <c r="B35" s="1730"/>
      <c r="C35" s="1730"/>
      <c r="D35" s="1730"/>
      <c r="E35" s="615"/>
      <c r="F35" s="18"/>
      <c r="G35" s="462"/>
      <c r="H35" s="8"/>
      <c r="I35" s="8"/>
      <c r="J35" s="8"/>
      <c r="K35" s="8"/>
      <c r="L35" s="8"/>
      <c r="M35" s="8"/>
    </row>
    <row r="36" spans="1:13" ht="13.8">
      <c r="A36" s="662">
        <f>ROW()</f>
        <v>36</v>
      </c>
      <c r="B36" s="1730"/>
      <c r="C36" s="1730"/>
      <c r="D36" s="1730"/>
      <c r="E36" s="615"/>
      <c r="F36" s="18"/>
      <c r="G36" s="462"/>
      <c r="H36" s="8"/>
      <c r="I36" s="8"/>
      <c r="J36" s="8"/>
      <c r="K36" s="8"/>
      <c r="L36" s="8"/>
      <c r="M36" s="8"/>
    </row>
    <row r="37" spans="1:13" ht="13.8">
      <c r="A37" s="662">
        <f>ROW()</f>
        <v>37</v>
      </c>
      <c r="B37" s="2193"/>
      <c r="C37" s="2193"/>
      <c r="D37" s="2193"/>
      <c r="E37" s="615">
        <v>0</v>
      </c>
      <c r="F37" s="18"/>
      <c r="G37" s="462"/>
      <c r="H37" s="8"/>
      <c r="I37" s="8"/>
      <c r="J37" s="8"/>
      <c r="K37" s="8"/>
      <c r="L37" s="8"/>
      <c r="M37" s="8"/>
    </row>
    <row r="38" spans="1:13" ht="13.8">
      <c r="A38" s="662">
        <f>ROW()</f>
        <v>38</v>
      </c>
      <c r="B38" s="1628" t="s">
        <v>812</v>
      </c>
      <c r="C38" s="1628"/>
      <c r="D38" s="1629"/>
      <c r="E38" s="1630" t="s">
        <v>1398</v>
      </c>
      <c r="F38" s="19"/>
      <c r="G38" s="8"/>
      <c r="H38" s="8"/>
      <c r="I38" s="8"/>
      <c r="J38" s="8"/>
      <c r="K38" s="8"/>
      <c r="L38" s="8"/>
      <c r="M38" s="8"/>
    </row>
    <row r="39" spans="1:13" ht="13.8">
      <c r="A39" s="662">
        <f>ROW()</f>
        <v>39</v>
      </c>
      <c r="B39" s="1882" t="s">
        <v>1372</v>
      </c>
      <c r="C39" s="1882"/>
      <c r="D39" s="1883"/>
      <c r="E39" s="1884" t="e">
        <f>+#REF!-E38</f>
        <v>#REF!</v>
      </c>
      <c r="F39" s="19"/>
      <c r="G39" s="8"/>
      <c r="H39" s="8"/>
      <c r="I39" s="8"/>
      <c r="J39" s="8"/>
      <c r="K39" s="8"/>
      <c r="L39" s="8"/>
      <c r="M39" s="8"/>
    </row>
    <row r="40" spans="1:13" ht="13.8">
      <c r="A40" s="662">
        <f>ROW()</f>
        <v>40</v>
      </c>
      <c r="B40" s="12" t="s">
        <v>813</v>
      </c>
      <c r="C40" s="21"/>
      <c r="D40" s="21"/>
      <c r="E40" s="21"/>
      <c r="F40" s="21"/>
      <c r="G40" s="8"/>
      <c r="H40" s="8"/>
      <c r="I40" s="8"/>
      <c r="J40" s="8"/>
      <c r="K40" s="8"/>
      <c r="L40" s="8"/>
      <c r="M40" s="8"/>
    </row>
    <row r="41" spans="1:13">
      <c r="A41" s="8"/>
      <c r="C41" s="8"/>
      <c r="D41" s="8"/>
      <c r="E41" s="8"/>
      <c r="F41" s="8"/>
      <c r="G41" s="8"/>
      <c r="H41" s="8"/>
      <c r="I41" s="8"/>
      <c r="J41" s="8"/>
      <c r="K41" s="8"/>
      <c r="L41" s="8"/>
      <c r="M41" s="8"/>
    </row>
    <row r="42" spans="1:13">
      <c r="A42" s="8"/>
      <c r="B42" s="8"/>
      <c r="C42" s="8"/>
      <c r="D42" s="8"/>
      <c r="E42" s="8"/>
      <c r="F42" s="8"/>
      <c r="G42" s="8"/>
      <c r="H42" s="8"/>
      <c r="I42" s="8"/>
      <c r="J42" s="8"/>
      <c r="K42" s="8"/>
      <c r="L42" s="8"/>
      <c r="M42" s="8"/>
    </row>
    <row r="43" spans="1:13">
      <c r="A43" s="8"/>
      <c r="B43" s="8"/>
      <c r="C43" s="8"/>
      <c r="D43" s="8"/>
      <c r="E43" s="8"/>
      <c r="F43" s="8"/>
      <c r="G43" s="8"/>
      <c r="H43" s="8"/>
      <c r="I43" s="8"/>
      <c r="J43" s="8"/>
      <c r="K43" s="8"/>
      <c r="L43" s="8"/>
      <c r="M43" s="8"/>
    </row>
    <row r="44" spans="1:13">
      <c r="A44" s="8"/>
      <c r="B44" s="8"/>
      <c r="C44" s="8"/>
      <c r="D44" s="8"/>
      <c r="E44" s="8"/>
      <c r="F44" s="8"/>
      <c r="G44" s="8"/>
      <c r="H44" s="8"/>
      <c r="I44" s="8"/>
      <c r="J44" s="8"/>
      <c r="K44" s="8"/>
      <c r="L44" s="8"/>
      <c r="M44" s="8"/>
    </row>
    <row r="45" spans="1:13">
      <c r="A45" s="8"/>
      <c r="B45" s="8"/>
      <c r="C45" s="8"/>
      <c r="D45" s="8"/>
      <c r="E45" s="8"/>
      <c r="F45" s="8"/>
      <c r="G45" s="8"/>
      <c r="H45" s="8"/>
      <c r="I45" s="8"/>
      <c r="J45" s="8"/>
      <c r="K45" s="8"/>
      <c r="L45" s="8"/>
      <c r="M45" s="8"/>
    </row>
    <row r="46" spans="1:13">
      <c r="A46" s="8"/>
      <c r="B46" s="8"/>
      <c r="C46" s="8"/>
      <c r="D46" s="8"/>
      <c r="E46" s="8"/>
      <c r="F46" s="8"/>
      <c r="G46" s="8"/>
      <c r="H46" s="8"/>
      <c r="I46" s="8"/>
      <c r="J46" s="8"/>
      <c r="K46" s="8"/>
      <c r="L46" s="8"/>
      <c r="M46" s="8"/>
    </row>
    <row r="47" spans="1:13">
      <c r="A47" s="8"/>
      <c r="B47" s="8"/>
      <c r="C47" s="8"/>
      <c r="D47" s="8"/>
      <c r="E47" s="8"/>
      <c r="F47" s="8"/>
      <c r="G47" s="8"/>
      <c r="H47" s="8"/>
      <c r="I47" s="8"/>
      <c r="J47" s="8"/>
      <c r="K47" s="8"/>
      <c r="L47" s="8"/>
      <c r="M47" s="8"/>
    </row>
    <row r="48" spans="1:13">
      <c r="A48" s="8"/>
      <c r="B48" s="8"/>
      <c r="C48" s="8"/>
      <c r="D48" s="8"/>
      <c r="E48" s="8"/>
      <c r="F48" s="8"/>
      <c r="G48" s="8"/>
      <c r="H48" s="8"/>
      <c r="I48" s="8"/>
      <c r="J48" s="8"/>
      <c r="K48" s="8"/>
      <c r="L48" s="8"/>
      <c r="M48" s="8"/>
    </row>
    <row r="49" spans="1:13">
      <c r="A49" s="8"/>
      <c r="B49" s="8"/>
      <c r="C49" s="8"/>
      <c r="D49" s="8"/>
      <c r="E49" s="8"/>
      <c r="F49" s="8"/>
      <c r="G49" s="8"/>
      <c r="H49" s="8"/>
      <c r="I49" s="8"/>
      <c r="J49" s="8"/>
      <c r="K49" s="8"/>
      <c r="L49" s="8"/>
      <c r="M49" s="8"/>
    </row>
    <row r="50" spans="1:13">
      <c r="A50" s="8"/>
      <c r="B50" s="8"/>
      <c r="C50" s="8"/>
      <c r="D50" s="8"/>
      <c r="E50" s="8"/>
      <c r="F50" s="8"/>
      <c r="G50" s="8"/>
      <c r="H50" s="8"/>
      <c r="I50" s="8"/>
      <c r="J50" s="8"/>
      <c r="K50" s="8"/>
      <c r="L50" s="8"/>
      <c r="M50" s="8"/>
    </row>
    <row r="51" spans="1:13">
      <c r="A51" s="8"/>
      <c r="B51" s="8"/>
      <c r="C51" s="8"/>
      <c r="D51" s="8"/>
      <c r="E51" s="8"/>
      <c r="F51" s="8"/>
      <c r="G51" s="8"/>
      <c r="H51" s="8"/>
      <c r="I51" s="8"/>
      <c r="J51" s="8"/>
      <c r="K51" s="8"/>
      <c r="L51" s="8"/>
      <c r="M51" s="8"/>
    </row>
    <row r="52" spans="1:13">
      <c r="A52" s="8"/>
      <c r="B52" s="8"/>
      <c r="C52" s="8"/>
      <c r="D52" s="8"/>
      <c r="E52" s="8"/>
      <c r="F52" s="8"/>
      <c r="G52" s="8"/>
      <c r="H52" s="8"/>
      <c r="I52" s="8"/>
      <c r="J52" s="8"/>
      <c r="K52" s="8"/>
      <c r="L52" s="8"/>
      <c r="M52" s="8"/>
    </row>
    <row r="53" spans="1:13">
      <c r="A53" s="8"/>
      <c r="B53" s="8"/>
      <c r="C53" s="8"/>
      <c r="D53" s="8"/>
      <c r="E53" s="8"/>
      <c r="F53" s="8"/>
      <c r="G53" s="8"/>
      <c r="H53" s="8"/>
      <c r="I53" s="8"/>
      <c r="J53" s="8"/>
      <c r="K53" s="8"/>
      <c r="L53" s="8"/>
      <c r="M53" s="8"/>
    </row>
    <row r="54" spans="1:13">
      <c r="A54" s="8"/>
      <c r="B54" s="8"/>
      <c r="C54" s="8"/>
      <c r="D54" s="8"/>
      <c r="E54" s="8"/>
      <c r="F54" s="8"/>
      <c r="G54" s="8"/>
      <c r="H54" s="8"/>
      <c r="I54" s="8"/>
      <c r="J54" s="8"/>
      <c r="K54" s="8"/>
      <c r="L54" s="8"/>
      <c r="M54" s="8"/>
    </row>
    <row r="55" spans="1:13">
      <c r="A55" s="8"/>
      <c r="B55" s="8"/>
      <c r="C55" s="8"/>
      <c r="D55" s="8"/>
      <c r="E55" s="8"/>
      <c r="F55" s="8"/>
      <c r="G55" s="8"/>
      <c r="H55" s="8"/>
      <c r="I55" s="8"/>
      <c r="J55" s="8"/>
      <c r="K55" s="8"/>
      <c r="L55" s="8"/>
      <c r="M55" s="8"/>
    </row>
    <row r="56" spans="1:13">
      <c r="A56" s="8"/>
      <c r="B56" s="8"/>
      <c r="C56" s="8"/>
      <c r="D56" s="8"/>
      <c r="E56" s="8"/>
      <c r="F56" s="8"/>
      <c r="G56" s="8"/>
      <c r="H56" s="8"/>
      <c r="I56" s="8"/>
      <c r="J56" s="8"/>
      <c r="K56" s="8"/>
      <c r="L56" s="8"/>
      <c r="M56" s="8"/>
    </row>
  </sheetData>
  <sheetProtection algorithmName="SHA-512" hashValue="OEKXeD65WJoQJhLIQoWDXIdo6QPvlvoohZxyZe9zXhEPOAhNR6uF03/mheQYje8MEYimBKqBytzpp6WAHOZXXQ==" saltValue="SPBHKzh7UQDMiig+AZdcPA==" spinCount="100000" sheet="1" objects="1" scenarios="1"/>
  <sortState xmlns:xlrd2="http://schemas.microsoft.com/office/spreadsheetml/2017/richdata2" ref="B11:E33">
    <sortCondition ref="B11:B33"/>
  </sortState>
  <mergeCells count="2">
    <mergeCell ref="B10:E10"/>
    <mergeCell ref="B37:D37"/>
  </mergeCells>
  <conditionalFormatting sqref="E1">
    <cfRule type="expression" dxfId="70" priority="1" stopIfTrue="1">
      <formula>MOD(ROW(),2)=0</formula>
    </cfRule>
  </conditionalFormatting>
  <dataValidations count="1">
    <dataValidation allowBlank="1" showInputMessage="1" showErrorMessage="1" prompt="You may change any of the job titles." sqref="B11:B37" xr:uid="{CA297FA6-D014-4B8C-86C0-9D870A4C04CF}"/>
  </dataValidations>
  <hyperlinks>
    <hyperlink ref="E1" location="HypLink1" display="HypLink1" xr:uid="{3B9F8843-EC44-42CC-8E63-A7EE7555C4BF}"/>
  </hyperlinks>
  <pageMargins left="0.25" right="0.25" top="0.5" bottom="0.45" header="0.25" footer="0.25"/>
  <pageSetup orientation="landscape" r:id="rId1"/>
  <headerFooter alignWithMargins="0">
    <oddHeader xml:space="preserve">&amp;L &amp;C &amp;R </oddHeader>
    <oddFooter>&amp;L&amp;7&amp;D  at &amp;T Mike 702.486.8879&amp;C&amp;7&amp;F  &amp;A&amp;R&amp;7Page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sheetPr>
  <dimension ref="A1:T145"/>
  <sheetViews>
    <sheetView zoomScaleNormal="100" workbookViewId="0">
      <selection activeCell="F52" sqref="F52"/>
    </sheetView>
  </sheetViews>
  <sheetFormatPr defaultColWidth="9.21875" defaultRowHeight="13.8"/>
  <cols>
    <col min="1" max="1" width="4.77734375" style="40" customWidth="1"/>
    <col min="2" max="2" width="28.77734375" style="40" customWidth="1"/>
    <col min="3" max="3" width="12.21875" style="40" customWidth="1"/>
    <col min="4" max="4" width="11.5546875" style="40" customWidth="1"/>
    <col min="5" max="6" width="13.77734375" style="40" customWidth="1"/>
    <col min="7" max="7" width="14.21875" style="40" customWidth="1"/>
    <col min="8" max="8" width="14" style="40" customWidth="1"/>
    <col min="9" max="15" width="12.77734375" style="40" customWidth="1"/>
    <col min="16" max="17" width="11.77734375" style="40" customWidth="1"/>
    <col min="18" max="18" width="2.44140625" style="75" customWidth="1"/>
    <col min="19" max="19" width="3.77734375" style="40" customWidth="1"/>
    <col min="20" max="20" width="58.77734375" style="416" customWidth="1"/>
    <col min="21" max="16384" width="9.21875" style="40"/>
  </cols>
  <sheetData>
    <row r="1" spans="1:20" ht="15.6">
      <c r="A1" s="173" t="s">
        <v>296</v>
      </c>
      <c r="B1" s="173"/>
      <c r="C1" s="42"/>
      <c r="D1" s="558" t="s">
        <v>2</v>
      </c>
      <c r="F1" s="117"/>
      <c r="G1" s="117"/>
      <c r="H1" s="117"/>
      <c r="I1" s="117"/>
      <c r="J1" s="117"/>
      <c r="K1" s="117"/>
      <c r="L1" s="117"/>
      <c r="P1" s="44"/>
    </row>
    <row r="2" spans="1:20" ht="15.6">
      <c r="A2" s="175" t="str">
        <f>SchoolName</f>
        <v>Southern Nevada Trades High School</v>
      </c>
      <c r="B2" s="175"/>
      <c r="C2" s="45"/>
      <c r="F2" s="117"/>
      <c r="G2" s="117"/>
      <c r="H2" s="117"/>
      <c r="I2" s="117"/>
      <c r="J2" s="117"/>
      <c r="K2" s="117"/>
      <c r="L2" s="117"/>
    </row>
    <row r="3" spans="1:20">
      <c r="A3" s="47" t="s">
        <v>72</v>
      </c>
      <c r="B3" s="47"/>
      <c r="C3" s="47"/>
      <c r="D3" s="47"/>
      <c r="L3" s="117"/>
    </row>
    <row r="4" spans="1:20">
      <c r="A4" s="48" t="s">
        <v>73</v>
      </c>
      <c r="B4" s="48"/>
      <c r="C4" s="48"/>
      <c r="D4" s="48"/>
      <c r="L4" s="117"/>
    </row>
    <row r="5" spans="1:20">
      <c r="A5" s="36" t="str">
        <f ca="1">CELL("filename")</f>
        <v>C:\Users\jewel\Documents\SNTHS\CHARTER APP FINAL\FINAL COMPILED\[SNTHS Budget Worksheet.xlsx]Summary</v>
      </c>
      <c r="B5" s="36"/>
      <c r="C5" s="36"/>
      <c r="D5" s="36"/>
      <c r="L5" s="117"/>
    </row>
    <row r="6" spans="1:20">
      <c r="J6" s="68"/>
    </row>
    <row r="7" spans="1:20" ht="17.399999999999999">
      <c r="B7" s="114" t="s">
        <v>297</v>
      </c>
      <c r="C7" s="114"/>
      <c r="D7" s="114"/>
      <c r="E7" s="312">
        <f>' Enrol &amp; Rev'!G10</f>
        <v>2023</v>
      </c>
      <c r="F7" s="115" t="s">
        <v>298</v>
      </c>
      <c r="M7" s="13"/>
      <c r="N7" s="13"/>
      <c r="O7" s="13"/>
      <c r="P7" s="13"/>
      <c r="Q7" s="13"/>
    </row>
    <row r="8" spans="1:20" ht="14.4">
      <c r="B8" s="116" t="s">
        <v>299</v>
      </c>
      <c r="C8" s="116"/>
      <c r="D8" s="116"/>
      <c r="E8" s="312">
        <f>' Enrol &amp; Rev'!G11</f>
        <v>2024</v>
      </c>
      <c r="F8" s="273" t="s">
        <v>300</v>
      </c>
      <c r="G8" s="118"/>
      <c r="L8" s="118"/>
      <c r="M8" s="118"/>
      <c r="N8" s="118"/>
      <c r="O8" s="118"/>
      <c r="P8" s="118"/>
      <c r="Q8" s="118"/>
    </row>
    <row r="9" spans="1:20">
      <c r="B9" s="116" t="s">
        <v>301</v>
      </c>
      <c r="C9" s="116"/>
      <c r="D9" s="116"/>
      <c r="E9" s="339">
        <v>1.2500000000000001E-2</v>
      </c>
      <c r="F9" s="483" t="s">
        <v>302</v>
      </c>
      <c r="G9" s="118"/>
      <c r="L9" s="118"/>
      <c r="M9" s="118"/>
      <c r="N9" s="118"/>
      <c r="O9" s="118"/>
      <c r="P9" s="118"/>
      <c r="Q9" s="118"/>
    </row>
    <row r="10" spans="1:20">
      <c r="B10" s="117" t="s">
        <v>303</v>
      </c>
      <c r="C10" s="117"/>
      <c r="D10" s="117"/>
      <c r="E10" s="13"/>
      <c r="F10" s="119"/>
      <c r="G10" s="119"/>
      <c r="H10" s="13"/>
      <c r="I10" s="119"/>
      <c r="J10" s="13"/>
      <c r="K10" s="13"/>
      <c r="L10" s="13"/>
      <c r="M10" s="13"/>
      <c r="N10" s="13"/>
      <c r="O10" s="13"/>
      <c r="P10" s="13"/>
      <c r="Q10" s="13"/>
    </row>
    <row r="11" spans="1:20" ht="15" customHeight="1">
      <c r="C11" s="719" t="s">
        <v>304</v>
      </c>
      <c r="D11" s="720"/>
      <c r="E11" s="1014" t="s">
        <v>305</v>
      </c>
      <c r="F11" s="1015" t="s">
        <v>306</v>
      </c>
      <c r="G11" s="1015" t="s">
        <v>306</v>
      </c>
      <c r="H11" s="721" t="s">
        <v>306</v>
      </c>
      <c r="I11" s="1015" t="s">
        <v>306</v>
      </c>
      <c r="J11" s="1015" t="s">
        <v>306</v>
      </c>
      <c r="K11" s="721" t="s">
        <v>306</v>
      </c>
      <c r="L11" s="1015" t="s">
        <v>306</v>
      </c>
      <c r="M11" s="1015" t="s">
        <v>306</v>
      </c>
      <c r="N11" s="721" t="s">
        <v>306</v>
      </c>
      <c r="O11" s="1015" t="s">
        <v>306</v>
      </c>
      <c r="P11" s="1015" t="s">
        <v>306</v>
      </c>
      <c r="Q11" s="722" t="s">
        <v>306</v>
      </c>
    </row>
    <row r="12" spans="1:20">
      <c r="B12" s="16"/>
      <c r="C12" s="1094" t="s">
        <v>307</v>
      </c>
      <c r="D12" s="1095" t="s">
        <v>308</v>
      </c>
      <c r="E12" s="1096">
        <f>+E8</f>
        <v>2024</v>
      </c>
      <c r="F12" s="1097" t="s">
        <v>309</v>
      </c>
      <c r="G12" s="1097" t="s">
        <v>310</v>
      </c>
      <c r="H12" s="1098" t="s">
        <v>311</v>
      </c>
      <c r="I12" s="1097" t="s">
        <v>312</v>
      </c>
      <c r="J12" s="1097" t="s">
        <v>313</v>
      </c>
      <c r="K12" s="1098" t="s">
        <v>314</v>
      </c>
      <c r="L12" s="1097" t="s">
        <v>315</v>
      </c>
      <c r="M12" s="1097" t="s">
        <v>316</v>
      </c>
      <c r="N12" s="1098" t="s">
        <v>317</v>
      </c>
      <c r="O12" s="1097" t="s">
        <v>318</v>
      </c>
      <c r="P12" s="1097" t="s">
        <v>319</v>
      </c>
      <c r="Q12" s="1099" t="s">
        <v>320</v>
      </c>
      <c r="T12" s="1936" t="s">
        <v>321</v>
      </c>
    </row>
    <row r="13" spans="1:20">
      <c r="B13" s="16"/>
      <c r="C13" s="1681"/>
      <c r="D13" s="1682"/>
      <c r="E13" s="1683" t="s">
        <v>322</v>
      </c>
      <c r="F13" s="1684">
        <v>7</v>
      </c>
      <c r="G13" s="1684">
        <f>+F13+1</f>
        <v>8</v>
      </c>
      <c r="H13" s="1684">
        <f>+G13+1</f>
        <v>9</v>
      </c>
      <c r="I13" s="1684">
        <f>+H13+1</f>
        <v>10</v>
      </c>
      <c r="J13" s="1684">
        <f>+I13+1</f>
        <v>11</v>
      </c>
      <c r="K13" s="1684">
        <f>+J13+1</f>
        <v>12</v>
      </c>
      <c r="L13" s="1684">
        <v>1</v>
      </c>
      <c r="M13" s="1684">
        <f>+L13+1</f>
        <v>2</v>
      </c>
      <c r="N13" s="1684">
        <f>+M13+1</f>
        <v>3</v>
      </c>
      <c r="O13" s="1684">
        <f>+N13+1</f>
        <v>4</v>
      </c>
      <c r="P13" s="1684">
        <f>+O13+1</f>
        <v>5</v>
      </c>
      <c r="Q13" s="1684">
        <f>+P13+1</f>
        <v>6</v>
      </c>
      <c r="T13" s="1975"/>
    </row>
    <row r="14" spans="1:20">
      <c r="B14" s="16"/>
      <c r="C14" s="1681"/>
      <c r="D14" s="1682"/>
      <c r="E14" s="1683" t="s">
        <v>323</v>
      </c>
      <c r="F14" s="1685">
        <f t="shared" ref="F14:K14" si="0">DATE($E$12-1,F13,1)</f>
        <v>45108</v>
      </c>
      <c r="G14" s="1685">
        <f t="shared" si="0"/>
        <v>45139</v>
      </c>
      <c r="H14" s="1685">
        <f t="shared" si="0"/>
        <v>45170</v>
      </c>
      <c r="I14" s="1685">
        <f t="shared" si="0"/>
        <v>45200</v>
      </c>
      <c r="J14" s="1685">
        <f t="shared" si="0"/>
        <v>45231</v>
      </c>
      <c r="K14" s="1685">
        <f t="shared" si="0"/>
        <v>45261</v>
      </c>
      <c r="L14" s="1685">
        <f t="shared" ref="L14:Q14" si="1">DATE($E$12,L13,1)</f>
        <v>45292</v>
      </c>
      <c r="M14" s="1685">
        <f t="shared" si="1"/>
        <v>45323</v>
      </c>
      <c r="N14" s="1685">
        <f t="shared" si="1"/>
        <v>45352</v>
      </c>
      <c r="O14" s="1685">
        <f t="shared" si="1"/>
        <v>45383</v>
      </c>
      <c r="P14" s="1685">
        <f t="shared" si="1"/>
        <v>45413</v>
      </c>
      <c r="Q14" s="1685">
        <f t="shared" si="1"/>
        <v>45444</v>
      </c>
      <c r="T14" s="1975"/>
    </row>
    <row r="15" spans="1:20">
      <c r="B15" s="16"/>
      <c r="C15" s="1681"/>
      <c r="D15" s="1682"/>
      <c r="E15" s="1686" t="s">
        <v>324</v>
      </c>
      <c r="F15" s="1687">
        <f t="shared" ref="F15:P15" si="2">+G14-F14</f>
        <v>31</v>
      </c>
      <c r="G15" s="1687">
        <f t="shared" si="2"/>
        <v>31</v>
      </c>
      <c r="H15" s="1687">
        <f t="shared" si="2"/>
        <v>30</v>
      </c>
      <c r="I15" s="1687">
        <f t="shared" si="2"/>
        <v>31</v>
      </c>
      <c r="J15" s="1687">
        <f t="shared" si="2"/>
        <v>30</v>
      </c>
      <c r="K15" s="1687">
        <f t="shared" si="2"/>
        <v>31</v>
      </c>
      <c r="L15" s="1687">
        <f t="shared" si="2"/>
        <v>31</v>
      </c>
      <c r="M15" s="1687">
        <f t="shared" si="2"/>
        <v>29</v>
      </c>
      <c r="N15" s="1687">
        <f t="shared" si="2"/>
        <v>31</v>
      </c>
      <c r="O15" s="1687">
        <f t="shared" si="2"/>
        <v>30</v>
      </c>
      <c r="P15" s="1687">
        <f t="shared" si="2"/>
        <v>31</v>
      </c>
      <c r="Q15" s="1687">
        <f>DATE($E$12,7,1)-Q14</f>
        <v>30</v>
      </c>
      <c r="T15" s="1975"/>
    </row>
    <row r="16" spans="1:20">
      <c r="A16" s="467">
        <f>ROW()</f>
        <v>16</v>
      </c>
      <c r="B16" s="1104" t="s">
        <v>325</v>
      </c>
      <c r="C16" s="1104"/>
      <c r="D16" s="1104"/>
      <c r="E16" s="1105"/>
      <c r="F16" s="1106"/>
      <c r="G16" s="1106"/>
      <c r="H16" s="1106"/>
      <c r="I16" s="1106"/>
      <c r="J16" s="1106"/>
      <c r="K16" s="1106"/>
      <c r="L16" s="1106"/>
      <c r="M16" s="1106"/>
      <c r="N16" s="1106"/>
      <c r="O16" s="1106"/>
      <c r="P16" s="1106"/>
      <c r="Q16" s="1106"/>
    </row>
    <row r="17" spans="1:20">
      <c r="A17" s="467">
        <f>ROW()</f>
        <v>17</v>
      </c>
      <c r="B17" s="1144" t="s">
        <v>126</v>
      </c>
      <c r="C17" s="1100">
        <f>' Enrol &amp; Rev'!G114</f>
        <v>1458600</v>
      </c>
      <c r="D17" s="1100">
        <f>+C17-E17</f>
        <v>0</v>
      </c>
      <c r="E17" s="1101">
        <f>SUM(F17:Q17)</f>
        <v>1458600</v>
      </c>
      <c r="F17" s="1102">
        <f>(C17/12)*0.75</f>
        <v>91162.5</v>
      </c>
      <c r="G17" s="1103">
        <f>+F17</f>
        <v>91162.5</v>
      </c>
      <c r="H17" s="1103">
        <f>+G17</f>
        <v>91162.5</v>
      </c>
      <c r="I17" s="1102">
        <f>+(+C17-F17-G17-H17)/9</f>
        <v>131679.16666666666</v>
      </c>
      <c r="J17" s="1103">
        <f t="shared" ref="J17:Q17" si="3">+I17</f>
        <v>131679.16666666666</v>
      </c>
      <c r="K17" s="1103">
        <f t="shared" si="3"/>
        <v>131679.16666666666</v>
      </c>
      <c r="L17" s="1103">
        <f t="shared" si="3"/>
        <v>131679.16666666666</v>
      </c>
      <c r="M17" s="1103">
        <f t="shared" si="3"/>
        <v>131679.16666666666</v>
      </c>
      <c r="N17" s="1103">
        <f t="shared" si="3"/>
        <v>131679.16666666666</v>
      </c>
      <c r="O17" s="1103">
        <f t="shared" si="3"/>
        <v>131679.16666666666</v>
      </c>
      <c r="P17" s="1103">
        <f t="shared" si="3"/>
        <v>131679.16666666666</v>
      </c>
      <c r="Q17" s="1103">
        <f t="shared" si="3"/>
        <v>131679.16666666666</v>
      </c>
      <c r="R17" s="144"/>
      <c r="T17" s="462" t="s">
        <v>326</v>
      </c>
    </row>
    <row r="18" spans="1:20">
      <c r="A18" s="467">
        <f>ROW()</f>
        <v>18</v>
      </c>
      <c r="B18" s="1145" t="s">
        <v>327</v>
      </c>
      <c r="C18" s="739">
        <f>' Enrol &amp; Rev'!G115</f>
        <v>-18232.5</v>
      </c>
      <c r="D18" s="739">
        <f t="shared" ref="D18:D34" si="4">+C18-E18</f>
        <v>0</v>
      </c>
      <c r="E18" s="714">
        <f>SUM(F18:Q18)</f>
        <v>-18232.5</v>
      </c>
      <c r="F18" s="715">
        <f>-0.0125*F17</f>
        <v>-1139.53125</v>
      </c>
      <c r="G18" s="715">
        <f t="shared" ref="G18:Q18" si="5">-0.0125*G17</f>
        <v>-1139.53125</v>
      </c>
      <c r="H18" s="715">
        <f t="shared" si="5"/>
        <v>-1139.53125</v>
      </c>
      <c r="I18" s="715">
        <f t="shared" si="5"/>
        <v>-1645.9895833333333</v>
      </c>
      <c r="J18" s="715">
        <f t="shared" si="5"/>
        <v>-1645.9895833333333</v>
      </c>
      <c r="K18" s="715">
        <f t="shared" si="5"/>
        <v>-1645.9895833333333</v>
      </c>
      <c r="L18" s="715">
        <f t="shared" si="5"/>
        <v>-1645.9895833333333</v>
      </c>
      <c r="M18" s="715">
        <f t="shared" si="5"/>
        <v>-1645.9895833333333</v>
      </c>
      <c r="N18" s="715">
        <f t="shared" si="5"/>
        <v>-1645.9895833333333</v>
      </c>
      <c r="O18" s="715">
        <f t="shared" si="5"/>
        <v>-1645.9895833333333</v>
      </c>
      <c r="P18" s="715">
        <f t="shared" si="5"/>
        <v>-1645.9895833333333</v>
      </c>
      <c r="Q18" s="715">
        <f t="shared" si="5"/>
        <v>-1645.9895833333333</v>
      </c>
      <c r="R18" s="144"/>
      <c r="T18" s="462" t="s">
        <v>328</v>
      </c>
    </row>
    <row r="19" spans="1:20">
      <c r="A19" s="467">
        <f>ROW()</f>
        <v>19</v>
      </c>
      <c r="B19" s="1145" t="s">
        <v>127</v>
      </c>
      <c r="C19" s="739">
        <f>' Enrol &amp; Rev'!G122</f>
        <v>85500</v>
      </c>
      <c r="D19" s="739">
        <f t="shared" si="4"/>
        <v>0</v>
      </c>
      <c r="E19" s="714">
        <f>SUM(F19:Q19)</f>
        <v>85500</v>
      </c>
      <c r="F19" s="715"/>
      <c r="G19" s="715"/>
      <c r="H19" s="715"/>
      <c r="I19" s="715">
        <f>C19/9</f>
        <v>9500</v>
      </c>
      <c r="J19" s="715">
        <f>+I19</f>
        <v>9500</v>
      </c>
      <c r="K19" s="715">
        <f t="shared" ref="K19:P19" si="6">+J19</f>
        <v>9500</v>
      </c>
      <c r="L19" s="715">
        <f t="shared" si="6"/>
        <v>9500</v>
      </c>
      <c r="M19" s="715">
        <f t="shared" si="6"/>
        <v>9500</v>
      </c>
      <c r="N19" s="715">
        <f t="shared" si="6"/>
        <v>9500</v>
      </c>
      <c r="O19" s="715">
        <f t="shared" si="6"/>
        <v>9500</v>
      </c>
      <c r="P19" s="715">
        <f t="shared" si="6"/>
        <v>9500</v>
      </c>
      <c r="Q19" s="715">
        <f>+P19</f>
        <v>9500</v>
      </c>
      <c r="R19" s="144"/>
      <c r="T19" s="462"/>
    </row>
    <row r="20" spans="1:20">
      <c r="A20" s="467">
        <f>ROW()</f>
        <v>20</v>
      </c>
      <c r="B20" s="1145" t="s">
        <v>128</v>
      </c>
      <c r="C20" s="739">
        <f>' Enrol &amp; Rev'!G123</f>
        <v>13050</v>
      </c>
      <c r="D20" s="739">
        <f t="shared" si="4"/>
        <v>0</v>
      </c>
      <c r="E20" s="714">
        <f>SUM(F20:Q20)</f>
        <v>13050</v>
      </c>
      <c r="F20" s="715"/>
      <c r="G20" s="715"/>
      <c r="H20" s="715"/>
      <c r="I20" s="715">
        <f t="shared" ref="I20:I21" si="7">C20/9</f>
        <v>1450</v>
      </c>
      <c r="J20" s="715">
        <f t="shared" ref="J20:Q23" si="8">+I20</f>
        <v>1450</v>
      </c>
      <c r="K20" s="715">
        <f t="shared" si="8"/>
        <v>1450</v>
      </c>
      <c r="L20" s="715">
        <f t="shared" si="8"/>
        <v>1450</v>
      </c>
      <c r="M20" s="715">
        <f t="shared" si="8"/>
        <v>1450</v>
      </c>
      <c r="N20" s="715">
        <f t="shared" si="8"/>
        <v>1450</v>
      </c>
      <c r="O20" s="715">
        <f t="shared" si="8"/>
        <v>1450</v>
      </c>
      <c r="P20" s="715">
        <f t="shared" si="8"/>
        <v>1450</v>
      </c>
      <c r="Q20" s="715">
        <f t="shared" si="8"/>
        <v>1450</v>
      </c>
      <c r="R20" s="144"/>
      <c r="T20" s="462"/>
    </row>
    <row r="21" spans="1:20">
      <c r="A21" s="467">
        <f>ROW()</f>
        <v>21</v>
      </c>
      <c r="B21" s="1145" t="s">
        <v>128</v>
      </c>
      <c r="C21" s="739">
        <f>' Enrol &amp; Rev'!G124</f>
        <v>800</v>
      </c>
      <c r="D21" s="739">
        <f t="shared" ref="D21" si="9">+C21-E21</f>
        <v>0</v>
      </c>
      <c r="E21" s="714">
        <f>SUM(F21:Q21)</f>
        <v>800.00000000000011</v>
      </c>
      <c r="F21" s="715"/>
      <c r="G21" s="715"/>
      <c r="H21" s="715"/>
      <c r="I21" s="715">
        <f t="shared" si="7"/>
        <v>88.888888888888886</v>
      </c>
      <c r="J21" s="715">
        <f t="shared" si="8"/>
        <v>88.888888888888886</v>
      </c>
      <c r="K21" s="715">
        <f t="shared" si="8"/>
        <v>88.888888888888886</v>
      </c>
      <c r="L21" s="715">
        <f t="shared" si="8"/>
        <v>88.888888888888886</v>
      </c>
      <c r="M21" s="715">
        <f t="shared" si="8"/>
        <v>88.888888888888886</v>
      </c>
      <c r="N21" s="715">
        <f t="shared" si="8"/>
        <v>88.888888888888886</v>
      </c>
      <c r="O21" s="715">
        <f t="shared" si="8"/>
        <v>88.888888888888886</v>
      </c>
      <c r="P21" s="715">
        <f t="shared" si="8"/>
        <v>88.888888888888886</v>
      </c>
      <c r="Q21" s="715">
        <f t="shared" si="8"/>
        <v>88.888888888888886</v>
      </c>
      <c r="R21" s="144"/>
      <c r="T21" s="462"/>
    </row>
    <row r="22" spans="1:20">
      <c r="A22" s="467">
        <f>ROW()</f>
        <v>22</v>
      </c>
      <c r="B22" s="1145" t="s">
        <v>129</v>
      </c>
      <c r="C22" s="739">
        <f>' Enrol &amp; Rev'!G125</f>
        <v>6000</v>
      </c>
      <c r="D22" s="739">
        <f t="shared" si="4"/>
        <v>0</v>
      </c>
      <c r="E22" s="714">
        <f t="shared" ref="E22:E33" si="10">SUM(F22:Q22)</f>
        <v>6000</v>
      </c>
      <c r="F22" s="715"/>
      <c r="G22" s="715">
        <v>0</v>
      </c>
      <c r="H22" s="715">
        <v>0</v>
      </c>
      <c r="I22" s="715">
        <f>+C22/10</f>
        <v>600</v>
      </c>
      <c r="J22" s="715">
        <f>+C22/10</f>
        <v>600</v>
      </c>
      <c r="K22" s="715">
        <f>+J22</f>
        <v>600</v>
      </c>
      <c r="L22" s="715">
        <f t="shared" si="8"/>
        <v>600</v>
      </c>
      <c r="M22" s="715">
        <f t="shared" si="8"/>
        <v>600</v>
      </c>
      <c r="N22" s="715">
        <f t="shared" si="8"/>
        <v>600</v>
      </c>
      <c r="O22" s="715">
        <f t="shared" si="8"/>
        <v>600</v>
      </c>
      <c r="P22" s="715">
        <f t="shared" si="8"/>
        <v>600</v>
      </c>
      <c r="Q22" s="715">
        <f>+P22*2</f>
        <v>1200</v>
      </c>
      <c r="R22" s="144"/>
      <c r="T22" s="462"/>
    </row>
    <row r="23" spans="1:20">
      <c r="A23" s="467">
        <f>ROW()</f>
        <v>23</v>
      </c>
      <c r="B23" s="1145" t="s">
        <v>131</v>
      </c>
      <c r="C23" s="739">
        <f>' Enrol &amp; Rev'!G127</f>
        <v>61560</v>
      </c>
      <c r="D23" s="739">
        <f t="shared" si="4"/>
        <v>0</v>
      </c>
      <c r="E23" s="714">
        <f t="shared" si="10"/>
        <v>61560</v>
      </c>
      <c r="F23" s="716"/>
      <c r="G23" s="715">
        <v>0</v>
      </c>
      <c r="H23" s="715">
        <v>0</v>
      </c>
      <c r="I23" s="715">
        <f>+C23/10</f>
        <v>6156</v>
      </c>
      <c r="J23" s="715">
        <f>+C23/10</f>
        <v>6156</v>
      </c>
      <c r="K23" s="715">
        <f>+J23</f>
        <v>6156</v>
      </c>
      <c r="L23" s="715">
        <f t="shared" si="8"/>
        <v>6156</v>
      </c>
      <c r="M23" s="715">
        <f t="shared" si="8"/>
        <v>6156</v>
      </c>
      <c r="N23" s="715">
        <f t="shared" si="8"/>
        <v>6156</v>
      </c>
      <c r="O23" s="715">
        <f t="shared" si="8"/>
        <v>6156</v>
      </c>
      <c r="P23" s="715">
        <f t="shared" si="8"/>
        <v>6156</v>
      </c>
      <c r="Q23" s="715">
        <f>+P23*2</f>
        <v>12312</v>
      </c>
      <c r="R23" s="144"/>
      <c r="T23" s="462"/>
    </row>
    <row r="24" spans="1:20">
      <c r="A24" s="467">
        <f>ROW()</f>
        <v>24</v>
      </c>
      <c r="B24" s="1145" t="s">
        <v>132</v>
      </c>
      <c r="C24" s="739">
        <f>' Enrol &amp; Rev'!G128</f>
        <v>85500</v>
      </c>
      <c r="D24" s="739">
        <f t="shared" si="4"/>
        <v>0</v>
      </c>
      <c r="E24" s="714">
        <f t="shared" si="10"/>
        <v>85500</v>
      </c>
      <c r="F24" s="716"/>
      <c r="G24" s="715">
        <v>0</v>
      </c>
      <c r="H24" s="715">
        <v>0</v>
      </c>
      <c r="I24" s="715">
        <f t="shared" ref="I24:I25" si="11">+C24/10</f>
        <v>8550</v>
      </c>
      <c r="J24" s="715">
        <f t="shared" ref="J24:J25" si="12">+C24/10</f>
        <v>8550</v>
      </c>
      <c r="K24" s="715">
        <f t="shared" ref="K24:K25" si="13">+J24</f>
        <v>8550</v>
      </c>
      <c r="L24" s="715">
        <f t="shared" ref="L24:L25" si="14">+K24</f>
        <v>8550</v>
      </c>
      <c r="M24" s="715">
        <f t="shared" ref="M24:M25" si="15">+L24</f>
        <v>8550</v>
      </c>
      <c r="N24" s="715">
        <f t="shared" ref="N24:N25" si="16">+M24</f>
        <v>8550</v>
      </c>
      <c r="O24" s="715">
        <f t="shared" ref="O24:O25" si="17">+N24</f>
        <v>8550</v>
      </c>
      <c r="P24" s="715">
        <f t="shared" ref="P24:P25" si="18">+O24</f>
        <v>8550</v>
      </c>
      <c r="Q24" s="715">
        <f>+P24*2</f>
        <v>17100</v>
      </c>
      <c r="R24" s="144"/>
      <c r="T24" s="462"/>
    </row>
    <row r="25" spans="1:20">
      <c r="A25" s="467">
        <f>ROW()</f>
        <v>25</v>
      </c>
      <c r="B25" s="1145" t="s">
        <v>133</v>
      </c>
      <c r="C25" s="739">
        <f>' Enrol &amp; Rev'!G129</f>
        <v>23320</v>
      </c>
      <c r="D25" s="739">
        <f t="shared" si="4"/>
        <v>0</v>
      </c>
      <c r="E25" s="714">
        <f t="shared" si="10"/>
        <v>23320</v>
      </c>
      <c r="F25" s="716"/>
      <c r="G25" s="715"/>
      <c r="H25" s="715"/>
      <c r="I25" s="715">
        <f t="shared" si="11"/>
        <v>2332</v>
      </c>
      <c r="J25" s="715">
        <f t="shared" si="12"/>
        <v>2332</v>
      </c>
      <c r="K25" s="715">
        <f t="shared" si="13"/>
        <v>2332</v>
      </c>
      <c r="L25" s="715">
        <f t="shared" si="14"/>
        <v>2332</v>
      </c>
      <c r="M25" s="715">
        <f t="shared" si="15"/>
        <v>2332</v>
      </c>
      <c r="N25" s="715">
        <f t="shared" si="16"/>
        <v>2332</v>
      </c>
      <c r="O25" s="715">
        <f t="shared" si="17"/>
        <v>2332</v>
      </c>
      <c r="P25" s="715">
        <f t="shared" si="18"/>
        <v>2332</v>
      </c>
      <c r="Q25" s="715">
        <f>+P25*2</f>
        <v>4664</v>
      </c>
      <c r="R25" s="144"/>
      <c r="T25" s="462"/>
    </row>
    <row r="26" spans="1:20">
      <c r="A26" s="467">
        <f>ROW()</f>
        <v>26</v>
      </c>
      <c r="B26" s="1145" t="s">
        <v>1356</v>
      </c>
      <c r="C26" s="739">
        <f>+' Enrol &amp; Rev'!G110</f>
        <v>0</v>
      </c>
      <c r="D26" s="739">
        <f t="shared" si="4"/>
        <v>0</v>
      </c>
      <c r="E26" s="714">
        <f t="shared" si="10"/>
        <v>0</v>
      </c>
      <c r="F26" s="716"/>
      <c r="G26" s="715"/>
      <c r="H26" s="715"/>
      <c r="I26" s="715"/>
      <c r="J26" s="716"/>
      <c r="K26" s="715"/>
      <c r="L26" s="715"/>
      <c r="M26" s="715"/>
      <c r="N26" s="716"/>
      <c r="O26" s="715"/>
      <c r="P26" s="715"/>
      <c r="Q26" s="715">
        <v>0</v>
      </c>
      <c r="R26" s="144"/>
      <c r="T26" s="462"/>
    </row>
    <row r="27" spans="1:20">
      <c r="A27" s="467">
        <f>ROW()</f>
        <v>27</v>
      </c>
      <c r="B27" s="1145" t="s">
        <v>329</v>
      </c>
      <c r="C27" s="739">
        <f>' Enrol &amp; Rev'!G130</f>
        <v>0</v>
      </c>
      <c r="D27" s="739">
        <f t="shared" si="4"/>
        <v>0</v>
      </c>
      <c r="E27" s="714">
        <f t="shared" si="10"/>
        <v>0</v>
      </c>
      <c r="F27" s="716"/>
      <c r="G27" s="715"/>
      <c r="H27" s="715"/>
      <c r="I27" s="715"/>
      <c r="J27" s="716"/>
      <c r="K27" s="715"/>
      <c r="L27" s="715"/>
      <c r="M27" s="715"/>
      <c r="N27" s="716"/>
      <c r="O27" s="715"/>
      <c r="P27" s="715"/>
      <c r="Q27" s="715"/>
      <c r="R27" s="144"/>
      <c r="T27" s="462"/>
    </row>
    <row r="28" spans="1:20">
      <c r="A28" s="467">
        <f>ROW()</f>
        <v>28</v>
      </c>
      <c r="B28" s="1145" t="s">
        <v>330</v>
      </c>
      <c r="C28" s="739">
        <f>' Enrol &amp; Rev'!G132</f>
        <v>0</v>
      </c>
      <c r="D28" s="739">
        <f t="shared" si="4"/>
        <v>0</v>
      </c>
      <c r="E28" s="714">
        <f t="shared" si="10"/>
        <v>0</v>
      </c>
      <c r="F28" s="716"/>
      <c r="G28" s="715"/>
      <c r="H28" s="715"/>
      <c r="I28" s="715"/>
      <c r="J28" s="716"/>
      <c r="K28" s="715"/>
      <c r="L28" s="715"/>
      <c r="M28" s="715"/>
      <c r="N28" s="716"/>
      <c r="O28" s="715"/>
      <c r="P28" s="715"/>
      <c r="Q28" s="715"/>
      <c r="R28" s="144"/>
      <c r="T28" s="462"/>
    </row>
    <row r="29" spans="1:20">
      <c r="A29" s="467">
        <f>ROW()</f>
        <v>29</v>
      </c>
      <c r="B29" s="1145" t="s">
        <v>141</v>
      </c>
      <c r="C29" s="739">
        <f>' Enrol &amp; Rev'!G133</f>
        <v>0</v>
      </c>
      <c r="D29" s="739">
        <f t="shared" si="4"/>
        <v>0</v>
      </c>
      <c r="E29" s="714">
        <f t="shared" si="10"/>
        <v>0</v>
      </c>
      <c r="F29" s="716"/>
      <c r="G29" s="715"/>
      <c r="H29" s="715"/>
      <c r="I29" s="715"/>
      <c r="J29" s="716"/>
      <c r="K29" s="715"/>
      <c r="L29" s="715"/>
      <c r="M29" s="715"/>
      <c r="N29" s="716"/>
      <c r="O29" s="715"/>
      <c r="P29" s="715"/>
      <c r="Q29" s="715"/>
      <c r="R29" s="144"/>
      <c r="T29" s="462"/>
    </row>
    <row r="30" spans="1:20">
      <c r="A30" s="467">
        <f>ROW()</f>
        <v>30</v>
      </c>
      <c r="B30" s="1145" t="s">
        <v>331</v>
      </c>
      <c r="C30" s="739">
        <f>' Enrol &amp; Rev'!G134</f>
        <v>3840</v>
      </c>
      <c r="D30" s="739">
        <f t="shared" si="4"/>
        <v>0</v>
      </c>
      <c r="E30" s="714">
        <f t="shared" si="10"/>
        <v>3840</v>
      </c>
      <c r="F30" s="716"/>
      <c r="G30" s="715">
        <f>+C30/10</f>
        <v>384</v>
      </c>
      <c r="H30" s="715">
        <f>+G30</f>
        <v>384</v>
      </c>
      <c r="I30" s="715">
        <f t="shared" ref="I30:P30" si="19">+H30</f>
        <v>384</v>
      </c>
      <c r="J30" s="715">
        <f t="shared" si="19"/>
        <v>384</v>
      </c>
      <c r="K30" s="715">
        <f t="shared" si="19"/>
        <v>384</v>
      </c>
      <c r="L30" s="715">
        <f t="shared" si="19"/>
        <v>384</v>
      </c>
      <c r="M30" s="715">
        <f t="shared" si="19"/>
        <v>384</v>
      </c>
      <c r="N30" s="715">
        <f t="shared" si="19"/>
        <v>384</v>
      </c>
      <c r="O30" s="715">
        <f t="shared" si="19"/>
        <v>384</v>
      </c>
      <c r="P30" s="715">
        <f t="shared" si="19"/>
        <v>384</v>
      </c>
      <c r="Q30" s="715">
        <v>0</v>
      </c>
      <c r="R30" s="144"/>
      <c r="T30" s="462"/>
    </row>
    <row r="31" spans="1:20">
      <c r="A31" s="467">
        <f>ROW()</f>
        <v>31</v>
      </c>
      <c r="B31" s="1145" t="s">
        <v>140</v>
      </c>
      <c r="C31" s="739">
        <f>' Enrol &amp; Rev'!G137</f>
        <v>0</v>
      </c>
      <c r="D31" s="739">
        <f t="shared" si="4"/>
        <v>0</v>
      </c>
      <c r="E31" s="714">
        <f t="shared" si="10"/>
        <v>0</v>
      </c>
      <c r="F31" s="716"/>
      <c r="G31" s="715"/>
      <c r="H31" s="715"/>
      <c r="I31" s="715"/>
      <c r="J31" s="716"/>
      <c r="K31" s="715"/>
      <c r="L31" s="715"/>
      <c r="M31" s="715"/>
      <c r="N31" s="716"/>
      <c r="O31" s="715"/>
      <c r="P31" s="715"/>
      <c r="Q31" s="715"/>
      <c r="R31" s="144"/>
      <c r="T31" s="462"/>
    </row>
    <row r="32" spans="1:20">
      <c r="A32" s="467">
        <f>ROW()</f>
        <v>32</v>
      </c>
      <c r="B32" s="1145" t="s">
        <v>332</v>
      </c>
      <c r="C32" s="714">
        <f>' Enrol &amp; Rev'!G138</f>
        <v>0</v>
      </c>
      <c r="D32" s="714">
        <f t="shared" si="4"/>
        <v>0</v>
      </c>
      <c r="E32" s="714">
        <f t="shared" si="10"/>
        <v>0</v>
      </c>
      <c r="F32" s="716"/>
      <c r="G32" s="715">
        <v>0</v>
      </c>
      <c r="H32" s="715">
        <v>0</v>
      </c>
      <c r="I32" s="715"/>
      <c r="J32" s="716"/>
      <c r="K32" s="715"/>
      <c r="L32" s="715"/>
      <c r="M32" s="715"/>
      <c r="N32" s="716"/>
      <c r="O32" s="715"/>
      <c r="P32" s="715"/>
      <c r="Q32" s="715"/>
      <c r="R32" s="144"/>
      <c r="T32" s="462"/>
    </row>
    <row r="33" spans="1:20">
      <c r="A33" s="467">
        <f>ROW()</f>
        <v>33</v>
      </c>
      <c r="B33" s="1146" t="s">
        <v>333</v>
      </c>
      <c r="C33" s="717">
        <f>+' Enrol &amp; Rev'!G139</f>
        <v>29000</v>
      </c>
      <c r="D33" s="736">
        <f t="shared" si="4"/>
        <v>0</v>
      </c>
      <c r="E33" s="736">
        <f t="shared" si="10"/>
        <v>29000.000000000004</v>
      </c>
      <c r="F33" s="1093">
        <v>25000</v>
      </c>
      <c r="G33" s="737">
        <v>363.63636363636363</v>
      </c>
      <c r="H33" s="737">
        <f>+G33</f>
        <v>363.63636363636363</v>
      </c>
      <c r="I33" s="737">
        <f t="shared" ref="I33:Q33" si="20">+H33</f>
        <v>363.63636363636363</v>
      </c>
      <c r="J33" s="737">
        <f t="shared" si="20"/>
        <v>363.63636363636363</v>
      </c>
      <c r="K33" s="737">
        <f t="shared" si="20"/>
        <v>363.63636363636363</v>
      </c>
      <c r="L33" s="737">
        <f t="shared" si="20"/>
        <v>363.63636363636363</v>
      </c>
      <c r="M33" s="737">
        <f t="shared" si="20"/>
        <v>363.63636363636363</v>
      </c>
      <c r="N33" s="737">
        <f t="shared" si="20"/>
        <v>363.63636363636363</v>
      </c>
      <c r="O33" s="737">
        <f t="shared" si="20"/>
        <v>363.63636363636363</v>
      </c>
      <c r="P33" s="737">
        <f t="shared" si="20"/>
        <v>363.63636363636363</v>
      </c>
      <c r="Q33" s="737">
        <f t="shared" si="20"/>
        <v>363.63636363636363</v>
      </c>
      <c r="R33" s="144"/>
      <c r="T33" s="462"/>
    </row>
    <row r="34" spans="1:20">
      <c r="A34" s="467">
        <f>ROW()</f>
        <v>34</v>
      </c>
      <c r="B34" s="1147" t="s">
        <v>334</v>
      </c>
      <c r="C34" s="733">
        <f>+' Enrol &amp; Rev'!G142</f>
        <v>1748937.5</v>
      </c>
      <c r="D34" s="733">
        <f t="shared" si="4"/>
        <v>0</v>
      </c>
      <c r="E34" s="734">
        <f t="shared" ref="E34:Q34" si="21">SUM(E17:E33)</f>
        <v>1748937.5</v>
      </c>
      <c r="F34" s="733">
        <f t="shared" si="21"/>
        <v>115022.96875</v>
      </c>
      <c r="G34" s="733">
        <f t="shared" si="21"/>
        <v>90770.605113636368</v>
      </c>
      <c r="H34" s="733">
        <f t="shared" si="21"/>
        <v>90770.605113636368</v>
      </c>
      <c r="I34" s="733">
        <f t="shared" si="21"/>
        <v>159457.70233585854</v>
      </c>
      <c r="J34" s="733">
        <f t="shared" si="21"/>
        <v>159457.70233585854</v>
      </c>
      <c r="K34" s="733">
        <f t="shared" si="21"/>
        <v>159457.70233585854</v>
      </c>
      <c r="L34" s="733">
        <f t="shared" si="21"/>
        <v>159457.70233585854</v>
      </c>
      <c r="M34" s="733">
        <f t="shared" si="21"/>
        <v>159457.70233585854</v>
      </c>
      <c r="N34" s="733">
        <f t="shared" si="21"/>
        <v>159457.70233585854</v>
      </c>
      <c r="O34" s="733">
        <f t="shared" si="21"/>
        <v>159457.70233585854</v>
      </c>
      <c r="P34" s="733">
        <f t="shared" si="21"/>
        <v>159457.70233585854</v>
      </c>
      <c r="Q34" s="735">
        <f t="shared" si="21"/>
        <v>176711.70233585854</v>
      </c>
      <c r="T34" s="462"/>
    </row>
    <row r="35" spans="1:20" ht="14.4">
      <c r="A35" s="467">
        <f>ROW()</f>
        <v>35</v>
      </c>
      <c r="B35" s="16" t="s">
        <v>335</v>
      </c>
      <c r="C35" s="1869"/>
      <c r="D35" s="723">
        <f>IF(ABS(D34)&gt;(0.0025*E34),"*** Out of Balance *** sb 0",0)</f>
        <v>0</v>
      </c>
      <c r="E35" s="724"/>
      <c r="F35" s="724">
        <f>F34</f>
        <v>115022.96875</v>
      </c>
      <c r="G35" s="725">
        <f t="shared" ref="G35:Q35" si="22">F35+G34</f>
        <v>205793.57386363635</v>
      </c>
      <c r="H35" s="725">
        <f t="shared" si="22"/>
        <v>296564.17897727271</v>
      </c>
      <c r="I35" s="725">
        <f t="shared" si="22"/>
        <v>456021.88131313125</v>
      </c>
      <c r="J35" s="725">
        <f t="shared" si="22"/>
        <v>615479.58364898979</v>
      </c>
      <c r="K35" s="725">
        <f t="shared" si="22"/>
        <v>774937.28598484839</v>
      </c>
      <c r="L35" s="725">
        <f t="shared" si="22"/>
        <v>934394.98832070688</v>
      </c>
      <c r="M35" s="725">
        <f t="shared" si="22"/>
        <v>1093852.6906565654</v>
      </c>
      <c r="N35" s="725">
        <f t="shared" si="22"/>
        <v>1253310.3929924238</v>
      </c>
      <c r="O35" s="725">
        <f t="shared" si="22"/>
        <v>1412768.0953282823</v>
      </c>
      <c r="P35" s="725">
        <f t="shared" si="22"/>
        <v>1572225.7976641408</v>
      </c>
      <c r="Q35" s="725">
        <f t="shared" si="22"/>
        <v>1748937.4999999993</v>
      </c>
      <c r="T35" s="462"/>
    </row>
    <row r="36" spans="1:20">
      <c r="A36" s="467">
        <f>ROW()</f>
        <v>36</v>
      </c>
      <c r="B36" s="17" t="s">
        <v>336</v>
      </c>
      <c r="C36" s="1870"/>
      <c r="D36" s="726"/>
      <c r="E36" s="727"/>
      <c r="F36" s="728">
        <f>IFERROR(F35/$E34,0)</f>
        <v>6.5767340885537651E-2</v>
      </c>
      <c r="G36" s="728">
        <f t="shared" ref="G36:Q36" si="23">IFERROR(G35/$E34,0)</f>
        <v>0.11766776906758324</v>
      </c>
      <c r="H36" s="728">
        <f t="shared" si="23"/>
        <v>0.16956819724962882</v>
      </c>
      <c r="I36" s="728">
        <f t="shared" si="23"/>
        <v>0.2607422399674838</v>
      </c>
      <c r="J36" s="728">
        <f t="shared" si="23"/>
        <v>0.35191628268533881</v>
      </c>
      <c r="K36" s="728">
        <f t="shared" si="23"/>
        <v>0.44309032540319387</v>
      </c>
      <c r="L36" s="728">
        <f t="shared" si="23"/>
        <v>0.53426436812104883</v>
      </c>
      <c r="M36" s="728">
        <f t="shared" si="23"/>
        <v>0.62543841083890384</v>
      </c>
      <c r="N36" s="728">
        <f t="shared" si="23"/>
        <v>0.71661245355675884</v>
      </c>
      <c r="O36" s="728">
        <f t="shared" si="23"/>
        <v>0.80778649627461374</v>
      </c>
      <c r="P36" s="728">
        <f t="shared" si="23"/>
        <v>0.89896053899246875</v>
      </c>
      <c r="Q36" s="728">
        <f t="shared" si="23"/>
        <v>0.99999999999999956</v>
      </c>
      <c r="T36" s="462"/>
    </row>
    <row r="37" spans="1:20">
      <c r="A37" s="467">
        <f>ROW()</f>
        <v>37</v>
      </c>
      <c r="B37" s="13"/>
      <c r="C37" s="13"/>
      <c r="D37" s="727"/>
      <c r="E37" s="727"/>
      <c r="F37" s="729"/>
      <c r="G37" s="730"/>
      <c r="H37" s="730"/>
      <c r="I37" s="730"/>
      <c r="J37" s="729"/>
      <c r="K37" s="730"/>
      <c r="L37" s="730"/>
      <c r="M37" s="730"/>
      <c r="N37" s="729"/>
      <c r="O37" s="730"/>
      <c r="P37" s="730"/>
      <c r="Q37" s="730"/>
      <c r="T37" s="462"/>
    </row>
    <row r="38" spans="1:20" ht="14.25" customHeight="1">
      <c r="A38" s="467">
        <f>ROW()</f>
        <v>38</v>
      </c>
      <c r="B38" s="1107" t="s">
        <v>337</v>
      </c>
      <c r="C38" s="1107"/>
      <c r="D38" s="1107"/>
      <c r="E38" s="1108"/>
      <c r="F38" s="1109"/>
      <c r="G38" s="1109"/>
      <c r="H38" s="1109"/>
      <c r="I38" s="1109"/>
      <c r="J38" s="1109"/>
      <c r="K38" s="1109"/>
      <c r="L38" s="1109"/>
      <c r="M38" s="1109"/>
      <c r="N38" s="1109"/>
      <c r="O38" s="1109"/>
      <c r="P38" s="1109"/>
      <c r="Q38" s="1109"/>
      <c r="T38" s="462"/>
    </row>
    <row r="39" spans="1:20">
      <c r="A39" s="467">
        <f>ROW()</f>
        <v>39</v>
      </c>
      <c r="B39" s="1089" t="s">
        <v>338</v>
      </c>
      <c r="C39" s="1090">
        <f>+Staff!H457</f>
        <v>908420.65500000003</v>
      </c>
      <c r="D39" s="1091">
        <f t="shared" ref="D39:D50" si="24">+C39-E39</f>
        <v>37850.860625000205</v>
      </c>
      <c r="E39" s="1090">
        <f t="shared" ref="E39:E49" si="25">SUM(F39:Q39)</f>
        <v>870569.79437499982</v>
      </c>
      <c r="F39" s="1092">
        <f>+$C39/24</f>
        <v>37850.860625000001</v>
      </c>
      <c r="G39" s="1092">
        <f>+$C39/12</f>
        <v>75701.721250000002</v>
      </c>
      <c r="H39" s="1092">
        <f t="shared" ref="H39:Q50" si="26">+$C39/12</f>
        <v>75701.721250000002</v>
      </c>
      <c r="I39" s="1092">
        <f t="shared" si="26"/>
        <v>75701.721250000002</v>
      </c>
      <c r="J39" s="1092">
        <f t="shared" si="26"/>
        <v>75701.721250000002</v>
      </c>
      <c r="K39" s="1092">
        <f t="shared" si="26"/>
        <v>75701.721250000002</v>
      </c>
      <c r="L39" s="1092">
        <f t="shared" si="26"/>
        <v>75701.721250000002</v>
      </c>
      <c r="M39" s="1092">
        <f t="shared" si="26"/>
        <v>75701.721250000002</v>
      </c>
      <c r="N39" s="1092">
        <f t="shared" si="26"/>
        <v>75701.721250000002</v>
      </c>
      <c r="O39" s="1092">
        <f t="shared" si="26"/>
        <v>75701.721250000002</v>
      </c>
      <c r="P39" s="1092">
        <f t="shared" si="26"/>
        <v>75701.721250000002</v>
      </c>
      <c r="Q39" s="1092">
        <f t="shared" si="26"/>
        <v>75701.721250000002</v>
      </c>
      <c r="T39" s="462"/>
    </row>
    <row r="40" spans="1:20">
      <c r="A40" s="467">
        <f>ROW()</f>
        <v>40</v>
      </c>
      <c r="B40" s="1086" t="s">
        <v>339</v>
      </c>
      <c r="C40" s="739">
        <f>'Gen Optg'!G105</f>
        <v>117725</v>
      </c>
      <c r="D40" s="739">
        <f t="shared" si="24"/>
        <v>0</v>
      </c>
      <c r="E40" s="714">
        <f>SUM(F40:Q40)</f>
        <v>117725.00000000001</v>
      </c>
      <c r="F40" s="715">
        <f>+$C40/12</f>
        <v>9810.4166666666661</v>
      </c>
      <c r="G40" s="715">
        <f t="shared" ref="G40:G50" si="27">+$C40/12</f>
        <v>9810.4166666666661</v>
      </c>
      <c r="H40" s="715">
        <f t="shared" si="26"/>
        <v>9810.4166666666661</v>
      </c>
      <c r="I40" s="715">
        <f t="shared" si="26"/>
        <v>9810.4166666666661</v>
      </c>
      <c r="J40" s="715">
        <f t="shared" si="26"/>
        <v>9810.4166666666661</v>
      </c>
      <c r="K40" s="715">
        <f t="shared" si="26"/>
        <v>9810.4166666666661</v>
      </c>
      <c r="L40" s="715">
        <f t="shared" si="26"/>
        <v>9810.4166666666661</v>
      </c>
      <c r="M40" s="715">
        <f t="shared" si="26"/>
        <v>9810.4166666666661</v>
      </c>
      <c r="N40" s="715">
        <f t="shared" si="26"/>
        <v>9810.4166666666661</v>
      </c>
      <c r="O40" s="715">
        <f t="shared" si="26"/>
        <v>9810.4166666666661</v>
      </c>
      <c r="P40" s="715">
        <f t="shared" si="26"/>
        <v>9810.4166666666661</v>
      </c>
      <c r="Q40" s="715">
        <f t="shared" si="26"/>
        <v>9810.4166666666661</v>
      </c>
      <c r="T40" s="462"/>
    </row>
    <row r="41" spans="1:20">
      <c r="A41" s="467">
        <f>ROW()</f>
        <v>41</v>
      </c>
      <c r="B41" s="1086" t="s">
        <v>340</v>
      </c>
      <c r="C41" s="739">
        <f>+'Gen Optg'!G143</f>
        <v>19000</v>
      </c>
      <c r="D41" s="739">
        <f t="shared" si="24"/>
        <v>1583.3333333333321</v>
      </c>
      <c r="E41" s="714">
        <f t="shared" si="25"/>
        <v>17416.666666666668</v>
      </c>
      <c r="F41" s="715"/>
      <c r="G41" s="715">
        <f t="shared" si="27"/>
        <v>1583.3333333333333</v>
      </c>
      <c r="H41" s="715">
        <f t="shared" si="26"/>
        <v>1583.3333333333333</v>
      </c>
      <c r="I41" s="715">
        <f t="shared" si="26"/>
        <v>1583.3333333333333</v>
      </c>
      <c r="J41" s="715">
        <f t="shared" si="26"/>
        <v>1583.3333333333333</v>
      </c>
      <c r="K41" s="715">
        <f t="shared" si="26"/>
        <v>1583.3333333333333</v>
      </c>
      <c r="L41" s="715">
        <f t="shared" si="26"/>
        <v>1583.3333333333333</v>
      </c>
      <c r="M41" s="715">
        <f t="shared" si="26"/>
        <v>1583.3333333333333</v>
      </c>
      <c r="N41" s="715">
        <f t="shared" si="26"/>
        <v>1583.3333333333333</v>
      </c>
      <c r="O41" s="715">
        <f t="shared" si="26"/>
        <v>1583.3333333333333</v>
      </c>
      <c r="P41" s="715">
        <f t="shared" si="26"/>
        <v>1583.3333333333333</v>
      </c>
      <c r="Q41" s="715">
        <f t="shared" si="26"/>
        <v>1583.3333333333333</v>
      </c>
      <c r="T41" s="462"/>
    </row>
    <row r="42" spans="1:20">
      <c r="A42" s="467">
        <f>ROW()</f>
        <v>42</v>
      </c>
      <c r="B42" s="1086" t="s">
        <v>341</v>
      </c>
      <c r="C42" s="739">
        <f>'Gen Optg'!G179+'Gen Optg'!G151</f>
        <v>154800</v>
      </c>
      <c r="D42" s="739">
        <f t="shared" si="24"/>
        <v>25800</v>
      </c>
      <c r="E42" s="714">
        <f t="shared" si="25"/>
        <v>129000</v>
      </c>
      <c r="F42" s="715"/>
      <c r="G42" s="715"/>
      <c r="H42" s="715">
        <f t="shared" si="26"/>
        <v>12900</v>
      </c>
      <c r="I42" s="715">
        <f t="shared" si="26"/>
        <v>12900</v>
      </c>
      <c r="J42" s="715">
        <f t="shared" si="26"/>
        <v>12900</v>
      </c>
      <c r="K42" s="715">
        <f t="shared" si="26"/>
        <v>12900</v>
      </c>
      <c r="L42" s="715">
        <f t="shared" si="26"/>
        <v>12900</v>
      </c>
      <c r="M42" s="715">
        <f t="shared" si="26"/>
        <v>12900</v>
      </c>
      <c r="N42" s="715">
        <f t="shared" si="26"/>
        <v>12900</v>
      </c>
      <c r="O42" s="715">
        <f t="shared" si="26"/>
        <v>12900</v>
      </c>
      <c r="P42" s="715">
        <f t="shared" si="26"/>
        <v>12900</v>
      </c>
      <c r="Q42" s="715">
        <f t="shared" si="26"/>
        <v>12900</v>
      </c>
      <c r="T42" s="462"/>
    </row>
    <row r="43" spans="1:20">
      <c r="A43" s="467">
        <f>ROW()</f>
        <v>43</v>
      </c>
      <c r="B43" s="1087" t="s">
        <v>342</v>
      </c>
      <c r="C43" s="739">
        <f>'Gen Optg'!G192</f>
        <v>0</v>
      </c>
      <c r="D43" s="739">
        <f t="shared" si="24"/>
        <v>0</v>
      </c>
      <c r="E43" s="714">
        <f t="shared" si="25"/>
        <v>0</v>
      </c>
      <c r="F43" s="715">
        <f t="shared" ref="F43:F50" si="28">+$C43/12</f>
        <v>0</v>
      </c>
      <c r="G43" s="715">
        <f t="shared" si="27"/>
        <v>0</v>
      </c>
      <c r="H43" s="715">
        <f t="shared" si="26"/>
        <v>0</v>
      </c>
      <c r="I43" s="715">
        <f t="shared" si="26"/>
        <v>0</v>
      </c>
      <c r="J43" s="715">
        <f t="shared" si="26"/>
        <v>0</v>
      </c>
      <c r="K43" s="715">
        <f t="shared" si="26"/>
        <v>0</v>
      </c>
      <c r="L43" s="715">
        <f t="shared" si="26"/>
        <v>0</v>
      </c>
      <c r="M43" s="715">
        <f t="shared" si="26"/>
        <v>0</v>
      </c>
      <c r="N43" s="715">
        <f t="shared" si="26"/>
        <v>0</v>
      </c>
      <c r="O43" s="715">
        <f t="shared" si="26"/>
        <v>0</v>
      </c>
      <c r="P43" s="715">
        <f t="shared" si="26"/>
        <v>0</v>
      </c>
      <c r="Q43" s="715">
        <f t="shared" si="26"/>
        <v>0</v>
      </c>
      <c r="T43" s="462"/>
    </row>
    <row r="44" spans="1:20">
      <c r="A44" s="467">
        <f>ROW()</f>
        <v>44</v>
      </c>
      <c r="B44" s="1087" t="s">
        <v>343</v>
      </c>
      <c r="C44" s="739">
        <f>+'Gen Optg'!G194</f>
        <v>8745.7500000000073</v>
      </c>
      <c r="D44" s="739">
        <f t="shared" si="24"/>
        <v>0</v>
      </c>
      <c r="E44" s="714">
        <f t="shared" si="25"/>
        <v>8745.7500000000091</v>
      </c>
      <c r="F44" s="715">
        <f t="shared" si="28"/>
        <v>728.81250000000057</v>
      </c>
      <c r="G44" s="715">
        <f t="shared" si="27"/>
        <v>728.81250000000057</v>
      </c>
      <c r="H44" s="715">
        <f t="shared" si="26"/>
        <v>728.81250000000057</v>
      </c>
      <c r="I44" s="715">
        <f t="shared" si="26"/>
        <v>728.81250000000057</v>
      </c>
      <c r="J44" s="715">
        <f t="shared" si="26"/>
        <v>728.81250000000057</v>
      </c>
      <c r="K44" s="715">
        <f t="shared" si="26"/>
        <v>728.81250000000057</v>
      </c>
      <c r="L44" s="715">
        <f t="shared" si="26"/>
        <v>728.81250000000057</v>
      </c>
      <c r="M44" s="715">
        <f t="shared" si="26"/>
        <v>728.81250000000057</v>
      </c>
      <c r="N44" s="715">
        <f t="shared" si="26"/>
        <v>728.81250000000057</v>
      </c>
      <c r="O44" s="715">
        <f t="shared" si="26"/>
        <v>728.81250000000057</v>
      </c>
      <c r="P44" s="715">
        <f t="shared" si="26"/>
        <v>728.81250000000057</v>
      </c>
      <c r="Q44" s="715">
        <f t="shared" si="26"/>
        <v>728.81250000000057</v>
      </c>
      <c r="T44" s="462"/>
    </row>
    <row r="45" spans="1:20">
      <c r="A45" s="467">
        <f>ROW()</f>
        <v>45</v>
      </c>
      <c r="B45" s="1088" t="s">
        <v>110</v>
      </c>
      <c r="C45" s="739">
        <f>Marketing!I44</f>
        <v>4000</v>
      </c>
      <c r="D45" s="739">
        <f t="shared" si="24"/>
        <v>0</v>
      </c>
      <c r="E45" s="714">
        <f t="shared" si="25"/>
        <v>4000.0000000000005</v>
      </c>
      <c r="F45" s="715">
        <f t="shared" si="28"/>
        <v>333.33333333333331</v>
      </c>
      <c r="G45" s="715">
        <f t="shared" si="27"/>
        <v>333.33333333333331</v>
      </c>
      <c r="H45" s="715">
        <f t="shared" si="26"/>
        <v>333.33333333333331</v>
      </c>
      <c r="I45" s="715">
        <f t="shared" si="26"/>
        <v>333.33333333333331</v>
      </c>
      <c r="J45" s="715">
        <f t="shared" si="26"/>
        <v>333.33333333333331</v>
      </c>
      <c r="K45" s="715">
        <f t="shared" si="26"/>
        <v>333.33333333333331</v>
      </c>
      <c r="L45" s="715">
        <f t="shared" si="26"/>
        <v>333.33333333333331</v>
      </c>
      <c r="M45" s="715">
        <f t="shared" si="26"/>
        <v>333.33333333333331</v>
      </c>
      <c r="N45" s="715">
        <f t="shared" si="26"/>
        <v>333.33333333333331</v>
      </c>
      <c r="O45" s="715">
        <f t="shared" si="26"/>
        <v>333.33333333333331</v>
      </c>
      <c r="P45" s="715">
        <f t="shared" si="26"/>
        <v>333.33333333333331</v>
      </c>
      <c r="Q45" s="715">
        <f t="shared" si="26"/>
        <v>333.33333333333331</v>
      </c>
      <c r="T45" s="462"/>
    </row>
    <row r="46" spans="1:20">
      <c r="A46" s="467">
        <f>ROW()</f>
        <v>46</v>
      </c>
      <c r="B46" s="1086" t="s">
        <v>344</v>
      </c>
      <c r="C46" s="739">
        <f>Facilities!G74</f>
        <v>367500</v>
      </c>
      <c r="D46" s="739">
        <f t="shared" si="24"/>
        <v>0</v>
      </c>
      <c r="E46" s="714">
        <f t="shared" si="25"/>
        <v>367500</v>
      </c>
      <c r="F46" s="715">
        <f t="shared" si="28"/>
        <v>30625</v>
      </c>
      <c r="G46" s="715">
        <f t="shared" si="27"/>
        <v>30625</v>
      </c>
      <c r="H46" s="715">
        <f t="shared" si="26"/>
        <v>30625</v>
      </c>
      <c r="I46" s="715">
        <f t="shared" si="26"/>
        <v>30625</v>
      </c>
      <c r="J46" s="715">
        <f t="shared" si="26"/>
        <v>30625</v>
      </c>
      <c r="K46" s="715">
        <f t="shared" si="26"/>
        <v>30625</v>
      </c>
      <c r="L46" s="715">
        <f t="shared" si="26"/>
        <v>30625</v>
      </c>
      <c r="M46" s="715">
        <f t="shared" si="26"/>
        <v>30625</v>
      </c>
      <c r="N46" s="715">
        <f t="shared" si="26"/>
        <v>30625</v>
      </c>
      <c r="O46" s="715">
        <f t="shared" si="26"/>
        <v>30625</v>
      </c>
      <c r="P46" s="715">
        <f t="shared" si="26"/>
        <v>30625</v>
      </c>
      <c r="Q46" s="715">
        <f t="shared" si="26"/>
        <v>30625</v>
      </c>
      <c r="T46" s="462"/>
    </row>
    <row r="47" spans="1:20">
      <c r="A47" s="467">
        <f>ROW()</f>
        <v>47</v>
      </c>
      <c r="B47" s="1087" t="s">
        <v>345</v>
      </c>
      <c r="C47" s="739">
        <f>Facilities!G100</f>
        <v>0</v>
      </c>
      <c r="D47" s="739"/>
      <c r="E47" s="714">
        <f>SUM(F47:Q47)</f>
        <v>0</v>
      </c>
      <c r="F47" s="715"/>
      <c r="G47" s="715"/>
      <c r="H47" s="715"/>
      <c r="I47" s="715"/>
      <c r="J47" s="715"/>
      <c r="K47" s="715"/>
      <c r="L47" s="715"/>
      <c r="M47" s="715"/>
      <c r="N47" s="715"/>
      <c r="O47" s="715"/>
      <c r="P47" s="715"/>
      <c r="Q47" s="715"/>
      <c r="T47" s="462"/>
    </row>
    <row r="48" spans="1:20">
      <c r="A48" s="467">
        <f>ROW()</f>
        <v>48</v>
      </c>
      <c r="B48" s="1087" t="s">
        <v>107</v>
      </c>
      <c r="C48" s="739">
        <f>+'FFE&amp;T'!G42</f>
        <v>110966.63793103449</v>
      </c>
      <c r="D48" s="739">
        <f t="shared" si="24"/>
        <v>0</v>
      </c>
      <c r="E48" s="714">
        <f t="shared" si="25"/>
        <v>110966.63793103448</v>
      </c>
      <c r="F48" s="715">
        <f t="shared" si="28"/>
        <v>9247.2198275862083</v>
      </c>
      <c r="G48" s="715">
        <f t="shared" si="27"/>
        <v>9247.2198275862083</v>
      </c>
      <c r="H48" s="715">
        <f t="shared" si="26"/>
        <v>9247.2198275862083</v>
      </c>
      <c r="I48" s="715">
        <f t="shared" si="26"/>
        <v>9247.2198275862083</v>
      </c>
      <c r="J48" s="715">
        <f t="shared" si="26"/>
        <v>9247.2198275862083</v>
      </c>
      <c r="K48" s="715">
        <f t="shared" si="26"/>
        <v>9247.2198275862083</v>
      </c>
      <c r="L48" s="715">
        <f t="shared" si="26"/>
        <v>9247.2198275862083</v>
      </c>
      <c r="M48" s="715">
        <f t="shared" si="26"/>
        <v>9247.2198275862083</v>
      </c>
      <c r="N48" s="715">
        <f t="shared" si="26"/>
        <v>9247.2198275862083</v>
      </c>
      <c r="O48" s="715">
        <f t="shared" si="26"/>
        <v>9247.2198275862083</v>
      </c>
      <c r="P48" s="715">
        <f t="shared" si="26"/>
        <v>9247.2198275862083</v>
      </c>
      <c r="Q48" s="715">
        <f t="shared" si="26"/>
        <v>9247.2198275862083</v>
      </c>
      <c r="T48" s="462"/>
    </row>
    <row r="49" spans="1:20">
      <c r="A49" s="467"/>
      <c r="B49" s="1087" t="s">
        <v>112</v>
      </c>
      <c r="C49" s="739">
        <f>'EMO-CMO'!F39</f>
        <v>0</v>
      </c>
      <c r="D49" s="739">
        <f t="shared" si="24"/>
        <v>0</v>
      </c>
      <c r="E49" s="714">
        <f t="shared" si="25"/>
        <v>0</v>
      </c>
      <c r="F49" s="715">
        <f t="shared" si="28"/>
        <v>0</v>
      </c>
      <c r="G49" s="715">
        <f t="shared" si="27"/>
        <v>0</v>
      </c>
      <c r="H49" s="715">
        <f t="shared" si="26"/>
        <v>0</v>
      </c>
      <c r="I49" s="715">
        <f t="shared" si="26"/>
        <v>0</v>
      </c>
      <c r="J49" s="715">
        <f t="shared" si="26"/>
        <v>0</v>
      </c>
      <c r="K49" s="715">
        <f t="shared" si="26"/>
        <v>0</v>
      </c>
      <c r="L49" s="715">
        <f t="shared" si="26"/>
        <v>0</v>
      </c>
      <c r="M49" s="715">
        <f t="shared" si="26"/>
        <v>0</v>
      </c>
      <c r="N49" s="715">
        <f t="shared" si="26"/>
        <v>0</v>
      </c>
      <c r="O49" s="715">
        <f t="shared" si="26"/>
        <v>0</v>
      </c>
      <c r="P49" s="715">
        <f t="shared" si="26"/>
        <v>0</v>
      </c>
      <c r="Q49" s="715">
        <f t="shared" si="26"/>
        <v>0</v>
      </c>
      <c r="T49" s="462"/>
    </row>
    <row r="50" spans="1:20">
      <c r="A50" s="467">
        <f t="shared" ref="A50:A79" si="29">ROW()-12</f>
        <v>38</v>
      </c>
      <c r="B50" s="1085" t="s">
        <v>149</v>
      </c>
      <c r="C50" s="1084">
        <f>+Ins!G50</f>
        <v>24021</v>
      </c>
      <c r="D50" s="717">
        <f t="shared" si="24"/>
        <v>0</v>
      </c>
      <c r="E50" s="717">
        <f>SUM(F50:Q50)</f>
        <v>24021</v>
      </c>
      <c r="F50" s="718">
        <f t="shared" si="28"/>
        <v>2001.75</v>
      </c>
      <c r="G50" s="718">
        <f t="shared" si="27"/>
        <v>2001.75</v>
      </c>
      <c r="H50" s="718">
        <f t="shared" si="26"/>
        <v>2001.75</v>
      </c>
      <c r="I50" s="718">
        <f t="shared" si="26"/>
        <v>2001.75</v>
      </c>
      <c r="J50" s="718">
        <f t="shared" si="26"/>
        <v>2001.75</v>
      </c>
      <c r="K50" s="718">
        <f t="shared" si="26"/>
        <v>2001.75</v>
      </c>
      <c r="L50" s="718">
        <f t="shared" si="26"/>
        <v>2001.75</v>
      </c>
      <c r="M50" s="718">
        <f t="shared" si="26"/>
        <v>2001.75</v>
      </c>
      <c r="N50" s="718">
        <f t="shared" si="26"/>
        <v>2001.75</v>
      </c>
      <c r="O50" s="718">
        <f t="shared" si="26"/>
        <v>2001.75</v>
      </c>
      <c r="P50" s="718">
        <f t="shared" si="26"/>
        <v>2001.75</v>
      </c>
      <c r="Q50" s="718">
        <f t="shared" si="26"/>
        <v>2001.75</v>
      </c>
      <c r="T50" s="462"/>
    </row>
    <row r="51" spans="1:20">
      <c r="A51" s="467">
        <f t="shared" si="29"/>
        <v>39</v>
      </c>
      <c r="B51" s="1147" t="s">
        <v>346</v>
      </c>
      <c r="C51" s="1148">
        <f t="shared" ref="C51:Q51" si="30">SUM(C39:C50)</f>
        <v>1715179.0429310345</v>
      </c>
      <c r="D51" s="1149">
        <f t="shared" si="30"/>
        <v>65234.193958333533</v>
      </c>
      <c r="E51" s="1149">
        <f t="shared" si="30"/>
        <v>1649944.848972701</v>
      </c>
      <c r="F51" s="1149">
        <f t="shared" si="30"/>
        <v>90597.392952586204</v>
      </c>
      <c r="G51" s="1149">
        <f t="shared" si="30"/>
        <v>130031.58691091953</v>
      </c>
      <c r="H51" s="1149">
        <f t="shared" si="30"/>
        <v>142931.58691091952</v>
      </c>
      <c r="I51" s="1149">
        <f t="shared" si="30"/>
        <v>142931.58691091952</v>
      </c>
      <c r="J51" s="1149">
        <f t="shared" si="30"/>
        <v>142931.58691091952</v>
      </c>
      <c r="K51" s="1149">
        <f t="shared" si="30"/>
        <v>142931.58691091952</v>
      </c>
      <c r="L51" s="1149">
        <f t="shared" si="30"/>
        <v>142931.58691091952</v>
      </c>
      <c r="M51" s="1149">
        <f t="shared" si="30"/>
        <v>142931.58691091952</v>
      </c>
      <c r="N51" s="1149">
        <f t="shared" si="30"/>
        <v>142931.58691091952</v>
      </c>
      <c r="O51" s="1149">
        <f t="shared" si="30"/>
        <v>142931.58691091952</v>
      </c>
      <c r="P51" s="1149">
        <f t="shared" si="30"/>
        <v>142931.58691091952</v>
      </c>
      <c r="Q51" s="1149">
        <f t="shared" si="30"/>
        <v>142931.58691091952</v>
      </c>
      <c r="T51" s="462"/>
    </row>
    <row r="52" spans="1:20">
      <c r="A52" s="467">
        <f t="shared" si="29"/>
        <v>40</v>
      </c>
      <c r="B52" s="1150" t="s">
        <v>347</v>
      </c>
      <c r="C52" s="1295">
        <f>+Summary!G50-C51</f>
        <v>0</v>
      </c>
      <c r="D52" s="1666"/>
      <c r="E52" s="1678">
        <f>SUM(F52:Q52)</f>
        <v>98992.651027298692</v>
      </c>
      <c r="F52" s="1678">
        <f t="shared" ref="F52:Q52" si="31">F34-F51</f>
        <v>24425.575797413796</v>
      </c>
      <c r="G52" s="1678">
        <f t="shared" si="31"/>
        <v>-39260.981797283166</v>
      </c>
      <c r="H52" s="1678">
        <f t="shared" si="31"/>
        <v>-52160.981797283152</v>
      </c>
      <c r="I52" s="1678">
        <f t="shared" si="31"/>
        <v>16526.115424939024</v>
      </c>
      <c r="J52" s="1678">
        <f t="shared" si="31"/>
        <v>16526.115424939024</v>
      </c>
      <c r="K52" s="1678">
        <f t="shared" si="31"/>
        <v>16526.115424939024</v>
      </c>
      <c r="L52" s="1678">
        <f t="shared" si="31"/>
        <v>16526.115424939024</v>
      </c>
      <c r="M52" s="1678">
        <f t="shared" si="31"/>
        <v>16526.115424939024</v>
      </c>
      <c r="N52" s="1678">
        <f t="shared" si="31"/>
        <v>16526.115424939024</v>
      </c>
      <c r="O52" s="1678">
        <f t="shared" si="31"/>
        <v>16526.115424939024</v>
      </c>
      <c r="P52" s="1678">
        <f t="shared" si="31"/>
        <v>16526.115424939024</v>
      </c>
      <c r="Q52" s="1678">
        <f t="shared" si="31"/>
        <v>33780.115424939024</v>
      </c>
      <c r="T52" s="462"/>
    </row>
    <row r="53" spans="1:20">
      <c r="A53" s="467">
        <f t="shared" si="29"/>
        <v>41</v>
      </c>
      <c r="B53" s="1668" t="s">
        <v>348</v>
      </c>
      <c r="C53" s="1891">
        <f>+C34-C51</f>
        <v>33758.457068965537</v>
      </c>
      <c r="D53" s="868">
        <f>+D34-D51</f>
        <v>-65234.193958333533</v>
      </c>
      <c r="E53" s="1669">
        <f>+E34-(E51+D51)</f>
        <v>33758.457068965537</v>
      </c>
      <c r="F53" s="1669">
        <f t="shared" ref="F53:Q53" si="32">+F34-F51</f>
        <v>24425.575797413796</v>
      </c>
      <c r="G53" s="1669">
        <f t="shared" si="32"/>
        <v>-39260.981797283166</v>
      </c>
      <c r="H53" s="1669">
        <f t="shared" si="32"/>
        <v>-52160.981797283152</v>
      </c>
      <c r="I53" s="1669">
        <f t="shared" si="32"/>
        <v>16526.115424939024</v>
      </c>
      <c r="J53" s="1669">
        <f t="shared" si="32"/>
        <v>16526.115424939024</v>
      </c>
      <c r="K53" s="1669">
        <f t="shared" si="32"/>
        <v>16526.115424939024</v>
      </c>
      <c r="L53" s="1669">
        <f t="shared" si="32"/>
        <v>16526.115424939024</v>
      </c>
      <c r="M53" s="1669">
        <f t="shared" si="32"/>
        <v>16526.115424939024</v>
      </c>
      <c r="N53" s="1669">
        <f t="shared" si="32"/>
        <v>16526.115424939024</v>
      </c>
      <c r="O53" s="1669">
        <f t="shared" si="32"/>
        <v>16526.115424939024</v>
      </c>
      <c r="P53" s="1669">
        <f t="shared" si="32"/>
        <v>16526.115424939024</v>
      </c>
      <c r="Q53" s="1669">
        <f t="shared" si="32"/>
        <v>33780.115424939024</v>
      </c>
      <c r="T53" s="462"/>
    </row>
    <row r="54" spans="1:20" ht="16.2">
      <c r="A54" s="467">
        <f t="shared" si="29"/>
        <v>42</v>
      </c>
      <c r="B54" s="1671" t="s">
        <v>349</v>
      </c>
      <c r="C54" s="1672"/>
      <c r="D54" s="1673"/>
      <c r="E54" s="1674"/>
      <c r="F54" s="1674">
        <f>+F53</f>
        <v>24425.575797413796</v>
      </c>
      <c r="G54" s="1674">
        <f>+F54+G53</f>
        <v>-14835.40599986937</v>
      </c>
      <c r="H54" s="1674">
        <f t="shared" ref="H54:Q54" si="33">+G54+H53</f>
        <v>-66996.387797152522</v>
      </c>
      <c r="I54" s="1674">
        <f t="shared" si="33"/>
        <v>-50470.272372213498</v>
      </c>
      <c r="J54" s="1674">
        <f t="shared" si="33"/>
        <v>-33944.156947274474</v>
      </c>
      <c r="K54" s="1674">
        <f t="shared" si="33"/>
        <v>-17418.04152233545</v>
      </c>
      <c r="L54" s="1674">
        <f t="shared" si="33"/>
        <v>-891.92609739642648</v>
      </c>
      <c r="M54" s="1674">
        <f t="shared" si="33"/>
        <v>15634.189327542597</v>
      </c>
      <c r="N54" s="1674">
        <f t="shared" si="33"/>
        <v>32160.304752481621</v>
      </c>
      <c r="O54" s="1674">
        <f t="shared" si="33"/>
        <v>48686.420177420645</v>
      </c>
      <c r="P54" s="1674">
        <f t="shared" si="33"/>
        <v>65212.535602359669</v>
      </c>
      <c r="Q54" s="1674">
        <f t="shared" si="33"/>
        <v>98992.651027298692</v>
      </c>
      <c r="T54" s="462"/>
    </row>
    <row r="55" spans="1:20" ht="16.2">
      <c r="A55" s="467">
        <f t="shared" si="29"/>
        <v>43</v>
      </c>
      <c r="B55" s="1735"/>
      <c r="C55" s="1736"/>
      <c r="D55" s="1737"/>
      <c r="E55" s="1738"/>
      <c r="F55" s="1738"/>
      <c r="G55" s="1738"/>
      <c r="H55" s="1738"/>
      <c r="I55" s="1738"/>
      <c r="J55" s="1738"/>
      <c r="K55" s="1738"/>
      <c r="L55" s="1738"/>
      <c r="M55" s="1738"/>
      <c r="N55" s="1738"/>
      <c r="O55" s="1738"/>
      <c r="P55" s="1738"/>
      <c r="Q55" s="1738"/>
      <c r="T55" s="462"/>
    </row>
    <row r="56" spans="1:20" ht="16.2">
      <c r="A56" s="467">
        <f t="shared" si="29"/>
        <v>44</v>
      </c>
      <c r="B56" s="1735"/>
      <c r="C56" s="1736"/>
      <c r="D56" s="1737"/>
      <c r="E56" s="1738"/>
      <c r="F56" s="1738"/>
      <c r="G56" s="1738"/>
      <c r="H56" s="1738"/>
      <c r="I56" s="1738"/>
      <c r="J56" s="1738"/>
      <c r="K56" s="1738"/>
      <c r="L56" s="1738"/>
      <c r="M56" s="1738"/>
      <c r="N56" s="1738"/>
      <c r="O56" s="1738"/>
      <c r="P56" s="1738"/>
      <c r="Q56" s="1738"/>
      <c r="T56" s="462"/>
    </row>
    <row r="57" spans="1:20">
      <c r="A57" s="467">
        <f t="shared" si="29"/>
        <v>45</v>
      </c>
      <c r="B57" s="16" t="s">
        <v>350</v>
      </c>
      <c r="C57" s="16"/>
      <c r="D57" s="1667"/>
      <c r="E57" s="1667"/>
      <c r="F57" s="725">
        <f>F51</f>
        <v>90597.392952586204</v>
      </c>
      <c r="G57" s="725">
        <f t="shared" ref="G57:Q57" si="34">F57+G51</f>
        <v>220628.97986350575</v>
      </c>
      <c r="H57" s="725">
        <f t="shared" si="34"/>
        <v>363560.56677442527</v>
      </c>
      <c r="I57" s="725">
        <f t="shared" si="34"/>
        <v>506492.15368534479</v>
      </c>
      <c r="J57" s="725">
        <f t="shared" si="34"/>
        <v>649423.74059626437</v>
      </c>
      <c r="K57" s="725">
        <f t="shared" si="34"/>
        <v>792355.32750718389</v>
      </c>
      <c r="L57" s="725">
        <f t="shared" si="34"/>
        <v>935286.91441810341</v>
      </c>
      <c r="M57" s="725">
        <f t="shared" si="34"/>
        <v>1078218.5013290229</v>
      </c>
      <c r="N57" s="725">
        <f t="shared" si="34"/>
        <v>1221150.0882399424</v>
      </c>
      <c r="O57" s="725">
        <f t="shared" si="34"/>
        <v>1364081.675150862</v>
      </c>
      <c r="P57" s="725">
        <f t="shared" si="34"/>
        <v>1507013.2620617815</v>
      </c>
      <c r="Q57" s="725">
        <f t="shared" si="34"/>
        <v>1649944.848972701</v>
      </c>
      <c r="T57" s="462"/>
    </row>
    <row r="58" spans="1:20">
      <c r="A58" s="467">
        <f t="shared" si="29"/>
        <v>46</v>
      </c>
      <c r="B58" s="17" t="s">
        <v>351</v>
      </c>
      <c r="C58" s="17"/>
      <c r="D58" s="17"/>
      <c r="E58" s="740"/>
      <c r="F58" s="728">
        <f>IFERROR(F57/$E51,0)</f>
        <v>5.4909346217841479E-2</v>
      </c>
      <c r="G58" s="728">
        <f t="shared" ref="G58:Q58" si="35">IFERROR(G57/$E51,0)</f>
        <v>0.13371900279022972</v>
      </c>
      <c r="H58" s="728">
        <f t="shared" si="35"/>
        <v>0.22034710251120673</v>
      </c>
      <c r="I58" s="728">
        <f t="shared" si="35"/>
        <v>0.30697520223218377</v>
      </c>
      <c r="J58" s="728">
        <f t="shared" si="35"/>
        <v>0.39360330195316084</v>
      </c>
      <c r="K58" s="728">
        <f t="shared" si="35"/>
        <v>0.48023140167413786</v>
      </c>
      <c r="L58" s="728">
        <f t="shared" si="35"/>
        <v>0.56685950139511487</v>
      </c>
      <c r="M58" s="728">
        <f t="shared" si="35"/>
        <v>0.65348760111609194</v>
      </c>
      <c r="N58" s="728">
        <f t="shared" si="35"/>
        <v>0.7401157008370689</v>
      </c>
      <c r="O58" s="728">
        <f t="shared" si="35"/>
        <v>0.82674380055804597</v>
      </c>
      <c r="P58" s="728">
        <f t="shared" si="35"/>
        <v>0.91337190027902293</v>
      </c>
      <c r="Q58" s="728">
        <f t="shared" si="35"/>
        <v>1</v>
      </c>
      <c r="T58" s="462"/>
    </row>
    <row r="59" spans="1:20">
      <c r="A59" s="467">
        <f t="shared" si="29"/>
        <v>47</v>
      </c>
      <c r="B59" s="16" t="s">
        <v>352</v>
      </c>
      <c r="C59" s="16"/>
      <c r="D59" s="16"/>
      <c r="E59" s="34"/>
      <c r="F59" s="1670">
        <f>IFERROR((F36-F58)/F36,0)</f>
        <v>0.16509706066105925</v>
      </c>
      <c r="G59" s="1670">
        <f t="shared" ref="G59:Q59" si="36">IFERROR((G36-G58)/G36,0)</f>
        <v>-0.13641147316583654</v>
      </c>
      <c r="H59" s="1670">
        <f t="shared" si="36"/>
        <v>-0.29946007615345493</v>
      </c>
      <c r="I59" s="1670">
        <f t="shared" si="36"/>
        <v>-0.17731289824949542</v>
      </c>
      <c r="J59" s="1670">
        <f t="shared" si="36"/>
        <v>-0.11845720507651508</v>
      </c>
      <c r="K59" s="1670">
        <f t="shared" si="36"/>
        <v>-8.3822810252395241E-2</v>
      </c>
      <c r="L59" s="1670">
        <f t="shared" si="36"/>
        <v>-6.1009371425423106E-2</v>
      </c>
      <c r="M59" s="1670">
        <f t="shared" si="36"/>
        <v>-4.4847246013505281E-2</v>
      </c>
      <c r="N59" s="1670">
        <f t="shared" si="36"/>
        <v>-3.2797709785333085E-2</v>
      </c>
      <c r="O59" s="1670">
        <f t="shared" si="36"/>
        <v>-2.3468211428218203E-2</v>
      </c>
      <c r="P59" s="1670">
        <f t="shared" si="36"/>
        <v>-1.6031138922633973E-2</v>
      </c>
      <c r="Q59" s="1670">
        <f t="shared" si="36"/>
        <v>-4.4408920985006281E-16</v>
      </c>
      <c r="T59" s="462"/>
    </row>
    <row r="60" spans="1:20">
      <c r="A60" s="467">
        <f t="shared" si="29"/>
        <v>48</v>
      </c>
      <c r="B60" s="16" t="s">
        <v>353</v>
      </c>
      <c r="C60" s="16"/>
      <c r="D60" s="16"/>
      <c r="E60" s="34"/>
      <c r="F60" s="1680">
        <f>+F15</f>
        <v>31</v>
      </c>
      <c r="G60" s="1680">
        <f>+F60+G15</f>
        <v>62</v>
      </c>
      <c r="H60" s="1680">
        <f t="shared" ref="H60:Q60" si="37">+G60+H15</f>
        <v>92</v>
      </c>
      <c r="I60" s="1680">
        <f t="shared" si="37"/>
        <v>123</v>
      </c>
      <c r="J60" s="1680">
        <f t="shared" si="37"/>
        <v>153</v>
      </c>
      <c r="K60" s="1680">
        <f t="shared" si="37"/>
        <v>184</v>
      </c>
      <c r="L60" s="1680">
        <f t="shared" si="37"/>
        <v>215</v>
      </c>
      <c r="M60" s="1680">
        <f t="shared" si="37"/>
        <v>244</v>
      </c>
      <c r="N60" s="1680">
        <f t="shared" si="37"/>
        <v>275</v>
      </c>
      <c r="O60" s="1680">
        <f t="shared" si="37"/>
        <v>305</v>
      </c>
      <c r="P60" s="1680">
        <f t="shared" si="37"/>
        <v>336</v>
      </c>
      <c r="Q60" s="1680">
        <f t="shared" si="37"/>
        <v>366</v>
      </c>
      <c r="T60" s="462"/>
    </row>
    <row r="61" spans="1:20">
      <c r="A61" s="467">
        <f t="shared" si="29"/>
        <v>49</v>
      </c>
      <c r="B61" s="16"/>
      <c r="C61" s="16"/>
      <c r="D61" s="16"/>
      <c r="E61" s="34"/>
      <c r="F61" s="35"/>
      <c r="G61" s="35"/>
      <c r="H61" s="35"/>
      <c r="I61" s="35"/>
      <c r="J61" s="35"/>
      <c r="K61" s="35"/>
      <c r="L61" s="35"/>
      <c r="M61" s="35"/>
      <c r="N61" s="35"/>
      <c r="O61" s="35"/>
      <c r="P61" s="35"/>
      <c r="Q61" s="35"/>
      <c r="T61" s="462"/>
    </row>
    <row r="62" spans="1:20">
      <c r="A62" s="467">
        <f t="shared" si="29"/>
        <v>50</v>
      </c>
      <c r="B62" s="120" t="s">
        <v>354</v>
      </c>
      <c r="C62" s="120"/>
      <c r="D62" s="120"/>
      <c r="E62" s="1016"/>
      <c r="F62" s="1017"/>
      <c r="G62" s="1017"/>
      <c r="H62" s="1017"/>
      <c r="I62" s="1017"/>
      <c r="J62" s="1017"/>
      <c r="K62" s="1017"/>
      <c r="L62" s="1017"/>
      <c r="M62" s="1017"/>
      <c r="N62" s="1017"/>
      <c r="O62" s="1017"/>
      <c r="P62" s="1017"/>
      <c r="Q62" s="1017"/>
      <c r="T62" s="462"/>
    </row>
    <row r="63" spans="1:20">
      <c r="A63" s="467">
        <f t="shared" si="29"/>
        <v>51</v>
      </c>
      <c r="B63" s="37" t="s">
        <v>355</v>
      </c>
      <c r="F63" s="757">
        <v>0</v>
      </c>
      <c r="G63" s="1986">
        <f>+F68</f>
        <v>0</v>
      </c>
      <c r="H63" s="1986">
        <f t="shared" ref="H63:Q63" si="38">+G68</f>
        <v>75437.5</v>
      </c>
      <c r="I63" s="1986">
        <f t="shared" si="38"/>
        <v>75877.552083333328</v>
      </c>
      <c r="J63" s="1986">
        <f t="shared" si="38"/>
        <v>76320.171137152778</v>
      </c>
      <c r="K63" s="1986">
        <f t="shared" si="38"/>
        <v>76765.372135452839</v>
      </c>
      <c r="L63" s="1986">
        <f t="shared" si="38"/>
        <v>77213.170139576308</v>
      </c>
      <c r="M63" s="1986">
        <f t="shared" si="38"/>
        <v>77663.580298723842</v>
      </c>
      <c r="N63" s="1986">
        <f t="shared" si="38"/>
        <v>78116.617850466399</v>
      </c>
      <c r="O63" s="1986">
        <f t="shared" si="38"/>
        <v>3572.2981212607847</v>
      </c>
      <c r="P63" s="1986">
        <f t="shared" si="38"/>
        <v>3593.1365269681392</v>
      </c>
      <c r="Q63" s="1986">
        <f t="shared" si="38"/>
        <v>3614.09649004212</v>
      </c>
      <c r="T63" s="462"/>
    </row>
    <row r="64" spans="1:20">
      <c r="A64" s="467">
        <f t="shared" si="29"/>
        <v>52</v>
      </c>
      <c r="B64" s="13" t="s">
        <v>356</v>
      </c>
      <c r="C64" s="16"/>
      <c r="D64" s="16"/>
      <c r="E64" s="738">
        <f>SUM(F64:Q64)</f>
        <v>75000</v>
      </c>
      <c r="F64" s="1679"/>
      <c r="G64" s="1679">
        <v>75000</v>
      </c>
      <c r="H64" s="1679"/>
      <c r="I64" s="1679"/>
      <c r="J64" s="1679"/>
      <c r="K64" s="1679"/>
      <c r="L64" s="1679"/>
      <c r="M64" s="1679"/>
      <c r="N64" s="1679"/>
      <c r="O64" s="1679"/>
      <c r="P64" s="1679"/>
      <c r="Q64" s="1679"/>
      <c r="T64" s="462"/>
    </row>
    <row r="65" spans="1:20">
      <c r="A65" s="467">
        <f t="shared" si="29"/>
        <v>53</v>
      </c>
      <c r="B65" s="13" t="s">
        <v>357</v>
      </c>
      <c r="C65" s="16"/>
      <c r="D65" s="16"/>
      <c r="E65" s="738"/>
      <c r="F65" s="1987">
        <f>SUM(F63:F64)</f>
        <v>0</v>
      </c>
      <c r="G65" s="1987">
        <f>SUM(G63:G64)</f>
        <v>75000</v>
      </c>
      <c r="H65" s="1987">
        <f t="shared" ref="H65:Q65" si="39">SUM(H63:H64)</f>
        <v>75437.5</v>
      </c>
      <c r="I65" s="1987">
        <f t="shared" si="39"/>
        <v>75877.552083333328</v>
      </c>
      <c r="J65" s="1987">
        <f t="shared" si="39"/>
        <v>76320.171137152778</v>
      </c>
      <c r="K65" s="1987">
        <f t="shared" si="39"/>
        <v>76765.372135452839</v>
      </c>
      <c r="L65" s="1987">
        <f t="shared" si="39"/>
        <v>77213.170139576308</v>
      </c>
      <c r="M65" s="1987">
        <f t="shared" si="39"/>
        <v>77663.580298723842</v>
      </c>
      <c r="N65" s="1987">
        <f t="shared" si="39"/>
        <v>78116.617850466399</v>
      </c>
      <c r="O65" s="1987">
        <f t="shared" si="39"/>
        <v>3572.2981212607847</v>
      </c>
      <c r="P65" s="1987">
        <f t="shared" si="39"/>
        <v>3593.1365269681392</v>
      </c>
      <c r="Q65" s="1987">
        <f t="shared" si="39"/>
        <v>3614.09649004212</v>
      </c>
      <c r="T65" s="462"/>
    </row>
    <row r="66" spans="1:20">
      <c r="A66" s="467">
        <f t="shared" si="29"/>
        <v>54</v>
      </c>
      <c r="B66" s="13" t="s">
        <v>358</v>
      </c>
      <c r="C66" s="1988">
        <v>7.0000000000000007E-2</v>
      </c>
      <c r="D66" s="16"/>
      <c r="E66" s="1040">
        <f>SUM(F66:Q66)</f>
        <v>3635.1787195673637</v>
      </c>
      <c r="F66" s="1697">
        <f t="shared" ref="F66:Q66" si="40">F65*($C$66/12)</f>
        <v>0</v>
      </c>
      <c r="G66" s="1697">
        <f t="shared" si="40"/>
        <v>437.5</v>
      </c>
      <c r="H66" s="1697">
        <f t="shared" si="40"/>
        <v>440.05208333333337</v>
      </c>
      <c r="I66" s="1697">
        <f t="shared" si="40"/>
        <v>442.61905381944445</v>
      </c>
      <c r="J66" s="1697">
        <f t="shared" si="40"/>
        <v>445.2009983000579</v>
      </c>
      <c r="K66" s="1697">
        <f t="shared" si="40"/>
        <v>447.79800412347493</v>
      </c>
      <c r="L66" s="1697">
        <f t="shared" si="40"/>
        <v>450.41015914752847</v>
      </c>
      <c r="M66" s="1697">
        <f t="shared" si="40"/>
        <v>453.03755174255576</v>
      </c>
      <c r="N66" s="1697">
        <f t="shared" si="40"/>
        <v>455.68027079438735</v>
      </c>
      <c r="O66" s="1697">
        <f t="shared" si="40"/>
        <v>20.838405707354578</v>
      </c>
      <c r="P66" s="1697">
        <f t="shared" si="40"/>
        <v>20.959963073980813</v>
      </c>
      <c r="Q66" s="1697">
        <f t="shared" si="40"/>
        <v>21.082229525245701</v>
      </c>
      <c r="T66" s="462"/>
    </row>
    <row r="67" spans="1:20">
      <c r="A67" s="467">
        <f t="shared" si="29"/>
        <v>55</v>
      </c>
      <c r="B67" s="13" t="s">
        <v>359</v>
      </c>
      <c r="C67" s="16"/>
      <c r="D67" s="16"/>
      <c r="E67" s="738">
        <f>SUM(F67:Q67)</f>
        <v>75000</v>
      </c>
      <c r="F67" s="1679"/>
      <c r="G67" s="1679"/>
      <c r="H67" s="1679"/>
      <c r="I67" s="1679"/>
      <c r="J67" s="1679"/>
      <c r="K67" s="1679"/>
      <c r="L67" s="1679"/>
      <c r="M67" s="1679"/>
      <c r="N67" s="1679">
        <f>+G64</f>
        <v>75000</v>
      </c>
      <c r="O67" s="1679"/>
      <c r="P67" s="1679"/>
      <c r="Q67" s="1679"/>
      <c r="T67" s="462"/>
    </row>
    <row r="68" spans="1:20">
      <c r="A68" s="467">
        <f t="shared" si="29"/>
        <v>56</v>
      </c>
      <c r="B68" s="16" t="s">
        <v>360</v>
      </c>
      <c r="C68" s="16"/>
      <c r="D68" s="16"/>
      <c r="E68" s="738"/>
      <c r="F68" s="1698">
        <f t="shared" ref="F68:Q68" si="41">F65+F66-F67</f>
        <v>0</v>
      </c>
      <c r="G68" s="1698">
        <f t="shared" si="41"/>
        <v>75437.5</v>
      </c>
      <c r="H68" s="1698">
        <f t="shared" si="41"/>
        <v>75877.552083333328</v>
      </c>
      <c r="I68" s="1698">
        <f t="shared" si="41"/>
        <v>76320.171137152778</v>
      </c>
      <c r="J68" s="1698">
        <f t="shared" si="41"/>
        <v>76765.372135452839</v>
      </c>
      <c r="K68" s="1698">
        <f t="shared" si="41"/>
        <v>77213.170139576308</v>
      </c>
      <c r="L68" s="1698">
        <f t="shared" si="41"/>
        <v>77663.580298723842</v>
      </c>
      <c r="M68" s="1698">
        <f t="shared" si="41"/>
        <v>78116.617850466399</v>
      </c>
      <c r="N68" s="1698">
        <f t="shared" si="41"/>
        <v>3572.2981212607847</v>
      </c>
      <c r="O68" s="1698">
        <f t="shared" si="41"/>
        <v>3593.1365269681392</v>
      </c>
      <c r="P68" s="1698">
        <f t="shared" si="41"/>
        <v>3614.09649004212</v>
      </c>
      <c r="Q68" s="1698">
        <f t="shared" si="41"/>
        <v>3635.1787195673655</v>
      </c>
      <c r="T68" s="462"/>
    </row>
    <row r="69" spans="1:20">
      <c r="A69" s="467">
        <f t="shared" si="29"/>
        <v>57</v>
      </c>
      <c r="T69" s="1985"/>
    </row>
    <row r="70" spans="1:20">
      <c r="A70" s="467">
        <f t="shared" si="29"/>
        <v>58</v>
      </c>
      <c r="B70" s="13"/>
      <c r="C70" s="1675"/>
      <c r="D70" s="16"/>
      <c r="E70" s="1676"/>
      <c r="F70" s="1677"/>
      <c r="G70" s="1677"/>
      <c r="H70" s="1677"/>
      <c r="I70" s="1677"/>
      <c r="J70" s="1677"/>
      <c r="K70" s="1677"/>
      <c r="L70" s="1677"/>
      <c r="M70" s="1677"/>
      <c r="N70" s="1677"/>
      <c r="O70" s="1677"/>
      <c r="P70" s="1677"/>
      <c r="Q70" s="1677"/>
      <c r="T70" s="462"/>
    </row>
    <row r="71" spans="1:20">
      <c r="A71" s="467">
        <f t="shared" si="29"/>
        <v>59</v>
      </c>
      <c r="B71" s="16" t="s">
        <v>361</v>
      </c>
      <c r="C71" s="16"/>
      <c r="D71" s="16"/>
      <c r="E71" s="1041">
        <f>SUM(F71:Q71)</f>
        <v>-3635.1787195673655</v>
      </c>
      <c r="F71" s="1688">
        <f t="shared" ref="F71:Q71" si="42">F64-F67-F66</f>
        <v>0</v>
      </c>
      <c r="G71" s="1688">
        <f t="shared" si="42"/>
        <v>74562.5</v>
      </c>
      <c r="H71" s="1688">
        <f t="shared" si="42"/>
        <v>-440.05208333333337</v>
      </c>
      <c r="I71" s="1688">
        <f t="shared" si="42"/>
        <v>-442.61905381944445</v>
      </c>
      <c r="J71" s="1688">
        <f t="shared" si="42"/>
        <v>-445.2009983000579</v>
      </c>
      <c r="K71" s="1688">
        <f t="shared" si="42"/>
        <v>-447.79800412347493</v>
      </c>
      <c r="L71" s="1688">
        <f t="shared" si="42"/>
        <v>-450.41015914752847</v>
      </c>
      <c r="M71" s="1688">
        <f t="shared" si="42"/>
        <v>-453.03755174255576</v>
      </c>
      <c r="N71" s="1688">
        <f t="shared" si="42"/>
        <v>-75455.680270794386</v>
      </c>
      <c r="O71" s="1688">
        <f t="shared" si="42"/>
        <v>-20.838405707354578</v>
      </c>
      <c r="P71" s="1688">
        <f t="shared" si="42"/>
        <v>-20.959963073980813</v>
      </c>
      <c r="Q71" s="1688">
        <f t="shared" si="42"/>
        <v>-21.082229525245701</v>
      </c>
      <c r="T71" s="462"/>
    </row>
    <row r="72" spans="1:20">
      <c r="A72" s="467">
        <f t="shared" si="29"/>
        <v>60</v>
      </c>
      <c r="B72" s="16"/>
      <c r="C72" s="16"/>
      <c r="D72" s="16"/>
      <c r="E72" s="34"/>
      <c r="F72" s="35"/>
      <c r="G72" s="35"/>
      <c r="H72" s="35"/>
      <c r="I72" s="35"/>
      <c r="J72" s="35"/>
      <c r="K72" s="35"/>
      <c r="L72" s="35"/>
      <c r="M72" s="35"/>
      <c r="N72" s="35"/>
      <c r="O72" s="35"/>
      <c r="P72" s="35"/>
      <c r="Q72" s="35"/>
      <c r="T72" s="462"/>
    </row>
    <row r="73" spans="1:20">
      <c r="A73" s="467">
        <f t="shared" si="29"/>
        <v>61</v>
      </c>
      <c r="B73" s="1665" t="s">
        <v>362</v>
      </c>
      <c r="C73" s="122"/>
      <c r="D73" s="122"/>
      <c r="E73" s="122"/>
      <c r="F73" s="122"/>
      <c r="G73" s="122"/>
      <c r="H73" s="122"/>
      <c r="I73" s="122"/>
      <c r="J73" s="122"/>
      <c r="K73" s="122"/>
      <c r="L73" s="122"/>
      <c r="M73" s="122"/>
      <c r="N73" s="122"/>
      <c r="O73" s="122"/>
      <c r="P73" s="122"/>
      <c r="Q73" s="122"/>
      <c r="T73" s="462"/>
    </row>
    <row r="74" spans="1:20">
      <c r="A74" s="467">
        <f t="shared" si="29"/>
        <v>62</v>
      </c>
      <c r="B74" s="13"/>
      <c r="C74" s="13"/>
      <c r="D74" s="13"/>
      <c r="E74" s="123"/>
      <c r="F74" s="124"/>
      <c r="G74" s="124"/>
      <c r="H74" s="124"/>
      <c r="I74" s="124"/>
      <c r="J74" s="124"/>
      <c r="K74" s="124"/>
      <c r="L74" s="124"/>
      <c r="M74" s="124"/>
      <c r="N74" s="124"/>
      <c r="O74" s="124"/>
      <c r="P74" s="124"/>
      <c r="Q74" s="124"/>
      <c r="T74" s="462"/>
    </row>
    <row r="75" spans="1:20">
      <c r="A75" s="467">
        <f t="shared" si="29"/>
        <v>63</v>
      </c>
      <c r="B75" s="13" t="s">
        <v>363</v>
      </c>
      <c r="C75" s="13"/>
      <c r="D75" s="13"/>
      <c r="E75" s="1039">
        <f>E34-E51</f>
        <v>98992.651027298998</v>
      </c>
      <c r="F75" s="1039">
        <f t="shared" ref="F75:Q75" si="43">F52+F71</f>
        <v>24425.575797413796</v>
      </c>
      <c r="G75" s="1039">
        <f t="shared" si="43"/>
        <v>35301.518202716834</v>
      </c>
      <c r="H75" s="1039">
        <f t="shared" si="43"/>
        <v>-52601.033880616487</v>
      </c>
      <c r="I75" s="1039">
        <f t="shared" si="43"/>
        <v>16083.49637111958</v>
      </c>
      <c r="J75" s="1039">
        <f t="shared" si="43"/>
        <v>16080.914426638967</v>
      </c>
      <c r="K75" s="1039">
        <f t="shared" si="43"/>
        <v>16078.317420815549</v>
      </c>
      <c r="L75" s="1039">
        <f t="shared" si="43"/>
        <v>16075.705265791496</v>
      </c>
      <c r="M75" s="1039">
        <f t="shared" si="43"/>
        <v>16073.077873196467</v>
      </c>
      <c r="N75" s="1039">
        <f t="shared" si="43"/>
        <v>-58929.564845855362</v>
      </c>
      <c r="O75" s="1039">
        <f t="shared" si="43"/>
        <v>16505.277019231668</v>
      </c>
      <c r="P75" s="1039">
        <f t="shared" si="43"/>
        <v>16505.155461865044</v>
      </c>
      <c r="Q75" s="1039">
        <f t="shared" si="43"/>
        <v>33759.03319541378</v>
      </c>
      <c r="T75" s="462"/>
    </row>
    <row r="76" spans="1:20">
      <c r="A76" s="467">
        <f t="shared" si="29"/>
        <v>64</v>
      </c>
      <c r="B76" s="13"/>
      <c r="C76" s="13"/>
      <c r="D76" s="13"/>
      <c r="E76" s="762"/>
      <c r="F76" s="761"/>
      <c r="G76" s="761"/>
      <c r="H76" s="761"/>
      <c r="I76" s="761"/>
      <c r="J76" s="761"/>
      <c r="K76" s="761"/>
      <c r="L76" s="761"/>
      <c r="M76" s="761"/>
      <c r="N76" s="761"/>
      <c r="O76" s="761"/>
      <c r="P76" s="761"/>
      <c r="Q76" s="761"/>
      <c r="T76" s="462"/>
    </row>
    <row r="77" spans="1:20">
      <c r="A77" s="467">
        <f t="shared" si="29"/>
        <v>65</v>
      </c>
      <c r="B77" s="13" t="s">
        <v>364</v>
      </c>
      <c r="C77" s="13"/>
      <c r="D77" s="13"/>
      <c r="E77" s="1038">
        <f>+Summary!F53</f>
        <v>25000.400000000023</v>
      </c>
      <c r="F77" s="768">
        <f>+E77</f>
        <v>25000.400000000023</v>
      </c>
      <c r="G77" s="768">
        <f>F79</f>
        <v>49425.975797413819</v>
      </c>
      <c r="H77" s="768">
        <f t="shared" ref="H77:Q77" si="44">G79</f>
        <v>84727.494000130653</v>
      </c>
      <c r="I77" s="768">
        <f t="shared" si="44"/>
        <v>32126.460119514166</v>
      </c>
      <c r="J77" s="768">
        <f t="shared" si="44"/>
        <v>48209.956490633747</v>
      </c>
      <c r="K77" s="768">
        <f t="shared" si="44"/>
        <v>64290.87091727271</v>
      </c>
      <c r="L77" s="768">
        <f t="shared" si="44"/>
        <v>80369.188338088265</v>
      </c>
      <c r="M77" s="768">
        <f t="shared" si="44"/>
        <v>96444.893603879755</v>
      </c>
      <c r="N77" s="768">
        <f t="shared" si="44"/>
        <v>112517.97147707622</v>
      </c>
      <c r="O77" s="768">
        <f t="shared" si="44"/>
        <v>53588.40663122086</v>
      </c>
      <c r="P77" s="768">
        <f t="shared" si="44"/>
        <v>70093.683650452527</v>
      </c>
      <c r="Q77" s="768">
        <f t="shared" si="44"/>
        <v>86598.839112317568</v>
      </c>
      <c r="T77" s="462"/>
    </row>
    <row r="78" spans="1:20">
      <c r="A78" s="467">
        <f t="shared" si="29"/>
        <v>66</v>
      </c>
      <c r="B78" s="13"/>
      <c r="C78" s="13"/>
      <c r="D78" s="13"/>
      <c r="E78" s="759"/>
      <c r="F78" s="758"/>
      <c r="G78" s="758"/>
      <c r="H78" s="758"/>
      <c r="I78" s="758"/>
      <c r="J78" s="758"/>
      <c r="K78" s="758"/>
      <c r="L78" s="758"/>
      <c r="M78" s="758"/>
      <c r="N78" s="758"/>
      <c r="O78" s="758"/>
      <c r="P78" s="758"/>
      <c r="Q78" s="758"/>
      <c r="T78" s="462"/>
    </row>
    <row r="79" spans="1:20" ht="14.4" thickBot="1">
      <c r="A79" s="467">
        <f t="shared" si="29"/>
        <v>67</v>
      </c>
      <c r="B79" s="16" t="s">
        <v>365</v>
      </c>
      <c r="C79" s="16"/>
      <c r="D79" s="16"/>
      <c r="E79" s="1151">
        <f>SUM(E77,E75)</f>
        <v>123993.05102729902</v>
      </c>
      <c r="F79" s="1151">
        <f>SUM(F77,F75)</f>
        <v>49425.975797413819</v>
      </c>
      <c r="G79" s="1151">
        <f>SUM(G77,G75)</f>
        <v>84727.494000130653</v>
      </c>
      <c r="H79" s="1151">
        <f t="shared" ref="H79:Q79" si="45">SUM(H77,H75)</f>
        <v>32126.460119514166</v>
      </c>
      <c r="I79" s="1151">
        <f t="shared" si="45"/>
        <v>48209.956490633747</v>
      </c>
      <c r="J79" s="1151">
        <f t="shared" si="45"/>
        <v>64290.87091727271</v>
      </c>
      <c r="K79" s="1151">
        <f t="shared" si="45"/>
        <v>80369.188338088265</v>
      </c>
      <c r="L79" s="1151">
        <f t="shared" si="45"/>
        <v>96444.893603879755</v>
      </c>
      <c r="M79" s="1151">
        <f t="shared" si="45"/>
        <v>112517.97147707622</v>
      </c>
      <c r="N79" s="1151">
        <f t="shared" si="45"/>
        <v>53588.40663122086</v>
      </c>
      <c r="O79" s="1151">
        <f t="shared" si="45"/>
        <v>70093.683650452527</v>
      </c>
      <c r="P79" s="1151">
        <f t="shared" si="45"/>
        <v>86598.839112317568</v>
      </c>
      <c r="Q79" s="1151">
        <f t="shared" si="45"/>
        <v>120357.87230773135</v>
      </c>
      <c r="T79" s="462"/>
    </row>
    <row r="80" spans="1:20" ht="14.4" thickTop="1">
      <c r="A80" s="467">
        <f t="shared" ref="A80:A143" si="46">ROW()-12</f>
        <v>68</v>
      </c>
      <c r="B80" s="16"/>
      <c r="C80" s="16"/>
      <c r="D80" s="16"/>
      <c r="E80" s="125"/>
      <c r="F80" s="125"/>
      <c r="G80" s="125"/>
      <c r="H80" s="125"/>
      <c r="I80" s="125"/>
      <c r="J80" s="125"/>
      <c r="K80" s="125"/>
      <c r="L80" s="125"/>
      <c r="M80" s="125"/>
      <c r="N80" s="125"/>
      <c r="O80" s="125"/>
      <c r="P80" s="125"/>
      <c r="Q80" s="125"/>
      <c r="T80" s="462"/>
    </row>
    <row r="81" spans="1:20">
      <c r="A81" s="467">
        <f t="shared" si="46"/>
        <v>69</v>
      </c>
      <c r="B81" s="126" t="s">
        <v>366</v>
      </c>
      <c r="C81" s="126"/>
      <c r="D81" s="126"/>
      <c r="E81" s="126"/>
      <c r="F81" s="127"/>
      <c r="G81" s="128">
        <f t="shared" ref="G81:Q81" si="47">IFERROR(G77/G51,0)</f>
        <v>0.38010745674644397</v>
      </c>
      <c r="H81" s="128">
        <f t="shared" si="47"/>
        <v>0.5927835535257584</v>
      </c>
      <c r="I81" s="128">
        <f t="shared" si="47"/>
        <v>0.22476809230094547</v>
      </c>
      <c r="J81" s="128">
        <f t="shared" si="47"/>
        <v>0.33729392874284714</v>
      </c>
      <c r="K81" s="128">
        <f t="shared" si="47"/>
        <v>0.44980170098678929</v>
      </c>
      <c r="L81" s="128">
        <f t="shared" si="47"/>
        <v>0.56229130365828406</v>
      </c>
      <c r="M81" s="128">
        <f t="shared" si="47"/>
        <v>0.67476263076815857</v>
      </c>
      <c r="N81" s="128">
        <f t="shared" si="47"/>
        <v>0.78721557570897027</v>
      </c>
      <c r="O81" s="128">
        <f t="shared" si="47"/>
        <v>0.37492347065746373</v>
      </c>
      <c r="P81" s="128">
        <f t="shared" si="47"/>
        <v>0.49040023388348453</v>
      </c>
      <c r="Q81" s="128">
        <f t="shared" si="47"/>
        <v>0.60587614665111988</v>
      </c>
      <c r="T81" s="462"/>
    </row>
    <row r="82" spans="1:20">
      <c r="A82" s="467">
        <f t="shared" si="46"/>
        <v>70</v>
      </c>
      <c r="B82" s="16"/>
      <c r="C82" s="16"/>
      <c r="D82" s="16"/>
      <c r="E82" s="125"/>
      <c r="F82" s="125"/>
      <c r="G82" s="125"/>
      <c r="H82" s="125"/>
      <c r="I82" s="125"/>
      <c r="J82" s="125"/>
      <c r="K82" s="125"/>
      <c r="L82" s="125"/>
      <c r="M82" s="125"/>
      <c r="N82" s="125"/>
      <c r="O82" s="125"/>
      <c r="P82" s="125"/>
      <c r="Q82" s="125"/>
      <c r="T82" s="462"/>
    </row>
    <row r="83" spans="1:20" ht="17.399999999999999">
      <c r="A83" s="467">
        <f t="shared" si="46"/>
        <v>71</v>
      </c>
      <c r="B83" s="1057" t="s">
        <v>367</v>
      </c>
      <c r="C83" s="1057"/>
      <c r="D83" s="1057"/>
      <c r="E83" s="1058"/>
      <c r="F83" s="1058"/>
      <c r="G83" s="1058"/>
      <c r="H83" s="1058"/>
      <c r="I83" s="1058"/>
      <c r="J83" s="1058"/>
      <c r="K83" s="1058"/>
      <c r="L83" s="1058"/>
      <c r="M83" s="1058"/>
      <c r="N83" s="1058"/>
      <c r="O83" s="1058"/>
      <c r="P83" s="1058"/>
      <c r="Q83" s="1058"/>
      <c r="T83" s="462"/>
    </row>
    <row r="84" spans="1:20">
      <c r="A84" s="467">
        <f t="shared" si="46"/>
        <v>72</v>
      </c>
      <c r="T84" s="462"/>
    </row>
    <row r="85" spans="1:20">
      <c r="A85" s="467">
        <f t="shared" si="46"/>
        <v>73</v>
      </c>
      <c r="B85" s="129" t="s">
        <v>325</v>
      </c>
      <c r="C85" s="129"/>
      <c r="D85" s="129"/>
      <c r="E85" s="130"/>
      <c r="F85" s="131"/>
      <c r="G85" s="131"/>
      <c r="H85" s="131"/>
      <c r="I85" s="131"/>
      <c r="J85" s="131"/>
      <c r="K85" s="131"/>
      <c r="L85" s="131"/>
      <c r="M85" s="131"/>
      <c r="N85" s="131"/>
      <c r="O85" s="131"/>
      <c r="P85" s="131"/>
      <c r="Q85" s="131"/>
      <c r="T85" s="462"/>
    </row>
    <row r="86" spans="1:20">
      <c r="A86" s="467">
        <f t="shared" si="46"/>
        <v>74</v>
      </c>
      <c r="B86" s="14" t="s">
        <v>126</v>
      </c>
      <c r="C86" s="13"/>
      <c r="D86" s="13"/>
      <c r="E86" s="743">
        <f t="shared" ref="E86:Q86" si="48">IF(OR(E17=0,E$34=0),0,E17/E$34)</f>
        <v>0.83399206661187153</v>
      </c>
      <c r="F86" s="743">
        <f t="shared" si="48"/>
        <v>0.79255909485469611</v>
      </c>
      <c r="G86" s="743">
        <f t="shared" si="48"/>
        <v>1.0043174206657872</v>
      </c>
      <c r="H86" s="743">
        <f t="shared" si="48"/>
        <v>1.0043174206657872</v>
      </c>
      <c r="I86" s="743">
        <f t="shared" si="48"/>
        <v>0.8257937041468012</v>
      </c>
      <c r="J86" s="743">
        <f t="shared" si="48"/>
        <v>0.8257937041468012</v>
      </c>
      <c r="K86" s="743">
        <f t="shared" si="48"/>
        <v>0.8257937041468012</v>
      </c>
      <c r="L86" s="743">
        <f t="shared" si="48"/>
        <v>0.8257937041468012</v>
      </c>
      <c r="M86" s="743">
        <f t="shared" si="48"/>
        <v>0.8257937041468012</v>
      </c>
      <c r="N86" s="743">
        <f t="shared" si="48"/>
        <v>0.8257937041468012</v>
      </c>
      <c r="O86" s="743">
        <f t="shared" si="48"/>
        <v>0.8257937041468012</v>
      </c>
      <c r="P86" s="743">
        <f t="shared" si="48"/>
        <v>0.8257937041468012</v>
      </c>
      <c r="Q86" s="743">
        <f t="shared" si="48"/>
        <v>0.74516381725754088</v>
      </c>
      <c r="T86" s="462"/>
    </row>
    <row r="87" spans="1:20">
      <c r="A87" s="467">
        <f t="shared" si="46"/>
        <v>75</v>
      </c>
      <c r="B87" s="14" t="str">
        <f>+B18</f>
        <v>CS Sponsorship Fee @ 0.0125</v>
      </c>
      <c r="C87" s="13"/>
      <c r="D87" s="13"/>
      <c r="E87" s="743">
        <f t="shared" ref="E87:Q87" si="49">IF(OR(E18=0,E$34=0),0,E18/E$34)</f>
        <v>-1.0424900832648394E-2</v>
      </c>
      <c r="F87" s="743">
        <f t="shared" si="49"/>
        <v>-9.906988685683701E-3</v>
      </c>
      <c r="G87" s="743">
        <f t="shared" si="49"/>
        <v>-1.2553967758322342E-2</v>
      </c>
      <c r="H87" s="743">
        <f t="shared" si="49"/>
        <v>-1.2553967758322342E-2</v>
      </c>
      <c r="I87" s="743">
        <f t="shared" si="49"/>
        <v>-1.0322421301835015E-2</v>
      </c>
      <c r="J87" s="743">
        <f t="shared" si="49"/>
        <v>-1.0322421301835015E-2</v>
      </c>
      <c r="K87" s="743">
        <f t="shared" si="49"/>
        <v>-1.0322421301835015E-2</v>
      </c>
      <c r="L87" s="743">
        <f t="shared" si="49"/>
        <v>-1.0322421301835015E-2</v>
      </c>
      <c r="M87" s="743">
        <f t="shared" si="49"/>
        <v>-1.0322421301835015E-2</v>
      </c>
      <c r="N87" s="743">
        <f t="shared" si="49"/>
        <v>-1.0322421301835015E-2</v>
      </c>
      <c r="O87" s="743">
        <f t="shared" si="49"/>
        <v>-1.0322421301835015E-2</v>
      </c>
      <c r="P87" s="743">
        <f t="shared" si="49"/>
        <v>-1.0322421301835015E-2</v>
      </c>
      <c r="Q87" s="743">
        <f t="shared" si="49"/>
        <v>-9.314547715719261E-3</v>
      </c>
      <c r="T87" s="462"/>
    </row>
    <row r="88" spans="1:20">
      <c r="A88" s="467">
        <f t="shared" si="46"/>
        <v>76</v>
      </c>
      <c r="B88" s="14" t="s">
        <v>127</v>
      </c>
      <c r="C88" s="13"/>
      <c r="D88" s="13"/>
      <c r="E88" s="743">
        <f t="shared" ref="E88:Q88" si="50">IF(OR(E19=0,E$34=0),0,E19/E$34)</f>
        <v>4.8886824143229819E-2</v>
      </c>
      <c r="F88" s="743">
        <f t="shared" si="50"/>
        <v>0</v>
      </c>
      <c r="G88" s="743">
        <f t="shared" si="50"/>
        <v>0</v>
      </c>
      <c r="H88" s="743">
        <f t="shared" si="50"/>
        <v>0</v>
      </c>
      <c r="I88" s="743">
        <f t="shared" si="50"/>
        <v>5.957692767948318E-2</v>
      </c>
      <c r="J88" s="743">
        <f t="shared" si="50"/>
        <v>5.957692767948318E-2</v>
      </c>
      <c r="K88" s="743">
        <f t="shared" si="50"/>
        <v>5.957692767948318E-2</v>
      </c>
      <c r="L88" s="743">
        <f t="shared" si="50"/>
        <v>5.957692767948318E-2</v>
      </c>
      <c r="M88" s="743">
        <f t="shared" si="50"/>
        <v>5.957692767948318E-2</v>
      </c>
      <c r="N88" s="743">
        <f t="shared" si="50"/>
        <v>5.957692767948318E-2</v>
      </c>
      <c r="O88" s="743">
        <f t="shared" si="50"/>
        <v>5.957692767948318E-2</v>
      </c>
      <c r="P88" s="743">
        <f t="shared" si="50"/>
        <v>5.957692767948318E-2</v>
      </c>
      <c r="Q88" s="743">
        <f t="shared" si="50"/>
        <v>5.3759880497015897E-2</v>
      </c>
      <c r="T88" s="462"/>
    </row>
    <row r="89" spans="1:20">
      <c r="A89" s="467">
        <f t="shared" si="46"/>
        <v>77</v>
      </c>
      <c r="B89" s="14" t="s">
        <v>128</v>
      </c>
      <c r="C89" s="13"/>
      <c r="D89" s="13"/>
      <c r="E89" s="743">
        <f t="shared" ref="E89:Q89" si="51">IF(OR(E20=0,E$34=0),0,E20/E$34)</f>
        <v>7.4616731587034985E-3</v>
      </c>
      <c r="F89" s="743">
        <f t="shared" si="51"/>
        <v>0</v>
      </c>
      <c r="G89" s="743">
        <f t="shared" si="51"/>
        <v>0</v>
      </c>
      <c r="H89" s="743">
        <f t="shared" si="51"/>
        <v>0</v>
      </c>
      <c r="I89" s="743">
        <f t="shared" si="51"/>
        <v>9.0933205405526948E-3</v>
      </c>
      <c r="J89" s="743">
        <f t="shared" si="51"/>
        <v>9.0933205405526948E-3</v>
      </c>
      <c r="K89" s="743">
        <f t="shared" si="51"/>
        <v>9.0933205405526948E-3</v>
      </c>
      <c r="L89" s="743">
        <f t="shared" si="51"/>
        <v>9.0933205405526948E-3</v>
      </c>
      <c r="M89" s="743">
        <f t="shared" si="51"/>
        <v>9.0933205405526948E-3</v>
      </c>
      <c r="N89" s="743">
        <f t="shared" si="51"/>
        <v>9.0933205405526948E-3</v>
      </c>
      <c r="O89" s="743">
        <f t="shared" si="51"/>
        <v>9.0933205405526948E-3</v>
      </c>
      <c r="P89" s="743">
        <f t="shared" si="51"/>
        <v>9.0933205405526948E-3</v>
      </c>
      <c r="Q89" s="743">
        <f t="shared" si="51"/>
        <v>8.2054554442813742E-3</v>
      </c>
      <c r="T89" s="462"/>
    </row>
    <row r="90" spans="1:20">
      <c r="A90" s="467">
        <f t="shared" si="46"/>
        <v>78</v>
      </c>
      <c r="B90" s="14" t="s">
        <v>129</v>
      </c>
      <c r="C90" s="14"/>
      <c r="D90" s="14"/>
      <c r="E90" s="743">
        <f t="shared" ref="E90:Q90" si="52">IF(OR(E22=0,E$34=0),0,E22/E$34)</f>
        <v>3.4306543258406891E-3</v>
      </c>
      <c r="F90" s="743">
        <f t="shared" si="52"/>
        <v>0</v>
      </c>
      <c r="G90" s="743">
        <f t="shared" si="52"/>
        <v>0</v>
      </c>
      <c r="H90" s="743">
        <f t="shared" si="52"/>
        <v>0</v>
      </c>
      <c r="I90" s="743">
        <f t="shared" si="52"/>
        <v>3.7627533271252533E-3</v>
      </c>
      <c r="J90" s="743">
        <f t="shared" si="52"/>
        <v>3.7627533271252533E-3</v>
      </c>
      <c r="K90" s="743">
        <f t="shared" si="52"/>
        <v>3.7627533271252533E-3</v>
      </c>
      <c r="L90" s="743">
        <f t="shared" si="52"/>
        <v>3.7627533271252533E-3</v>
      </c>
      <c r="M90" s="743">
        <f t="shared" si="52"/>
        <v>3.7627533271252533E-3</v>
      </c>
      <c r="N90" s="743">
        <f t="shared" si="52"/>
        <v>3.7627533271252533E-3</v>
      </c>
      <c r="O90" s="743">
        <f t="shared" si="52"/>
        <v>3.7627533271252533E-3</v>
      </c>
      <c r="P90" s="743">
        <f t="shared" si="52"/>
        <v>3.7627533271252533E-3</v>
      </c>
      <c r="Q90" s="743">
        <f t="shared" si="52"/>
        <v>6.7907217469914813E-3</v>
      </c>
      <c r="T90" s="462"/>
    </row>
    <row r="91" spans="1:20">
      <c r="A91" s="467">
        <f t="shared" si="46"/>
        <v>79</v>
      </c>
      <c r="B91" s="15" t="s">
        <v>131</v>
      </c>
      <c r="C91" s="15"/>
      <c r="D91" s="15"/>
      <c r="E91" s="743">
        <f t="shared" ref="E91:Q91" si="53">IF(OR(E23=0,E$34=0),0,E23/E$34)</f>
        <v>3.519851338312547E-2</v>
      </c>
      <c r="F91" s="744">
        <f t="shared" si="53"/>
        <v>0</v>
      </c>
      <c r="G91" s="743">
        <f t="shared" si="53"/>
        <v>0</v>
      </c>
      <c r="H91" s="743">
        <f t="shared" si="53"/>
        <v>0</v>
      </c>
      <c r="I91" s="743">
        <f t="shared" si="53"/>
        <v>3.8605849136305097E-2</v>
      </c>
      <c r="J91" s="744">
        <f t="shared" si="53"/>
        <v>3.8605849136305097E-2</v>
      </c>
      <c r="K91" s="743">
        <f t="shared" si="53"/>
        <v>3.8605849136305097E-2</v>
      </c>
      <c r="L91" s="743">
        <f t="shared" si="53"/>
        <v>3.8605849136305097E-2</v>
      </c>
      <c r="M91" s="743">
        <f t="shared" si="53"/>
        <v>3.8605849136305097E-2</v>
      </c>
      <c r="N91" s="744">
        <f t="shared" si="53"/>
        <v>3.8605849136305097E-2</v>
      </c>
      <c r="O91" s="743">
        <f t="shared" si="53"/>
        <v>3.8605849136305097E-2</v>
      </c>
      <c r="P91" s="743">
        <f t="shared" si="53"/>
        <v>3.8605849136305097E-2</v>
      </c>
      <c r="Q91" s="743">
        <f t="shared" si="53"/>
        <v>6.9672805124132597E-2</v>
      </c>
      <c r="T91" s="462"/>
    </row>
    <row r="92" spans="1:20">
      <c r="A92" s="467">
        <f t="shared" si="46"/>
        <v>80</v>
      </c>
      <c r="B92" s="14" t="s">
        <v>132</v>
      </c>
      <c r="C92" s="14"/>
      <c r="D92" s="14"/>
      <c r="E92" s="743">
        <f t="shared" ref="E92:Q92" si="54">IF(OR(E24=0,E$34=0),0,E24/E$34)</f>
        <v>4.8886824143229819E-2</v>
      </c>
      <c r="F92" s="744">
        <f t="shared" si="54"/>
        <v>0</v>
      </c>
      <c r="G92" s="743">
        <f t="shared" si="54"/>
        <v>0</v>
      </c>
      <c r="H92" s="743">
        <f t="shared" si="54"/>
        <v>0</v>
      </c>
      <c r="I92" s="743">
        <f t="shared" si="54"/>
        <v>5.3619234911534856E-2</v>
      </c>
      <c r="J92" s="744">
        <f t="shared" si="54"/>
        <v>5.3619234911534856E-2</v>
      </c>
      <c r="K92" s="743">
        <f t="shared" si="54"/>
        <v>5.3619234911534856E-2</v>
      </c>
      <c r="L92" s="743">
        <f t="shared" si="54"/>
        <v>5.3619234911534856E-2</v>
      </c>
      <c r="M92" s="743">
        <f t="shared" si="54"/>
        <v>5.3619234911534856E-2</v>
      </c>
      <c r="N92" s="743">
        <f t="shared" si="54"/>
        <v>5.3619234911534856E-2</v>
      </c>
      <c r="O92" s="743">
        <f t="shared" si="54"/>
        <v>5.3619234911534856E-2</v>
      </c>
      <c r="P92" s="743">
        <f t="shared" si="54"/>
        <v>5.3619234911534856E-2</v>
      </c>
      <c r="Q92" s="743">
        <f t="shared" si="54"/>
        <v>9.6767784894628617E-2</v>
      </c>
      <c r="T92" s="462"/>
    </row>
    <row r="93" spans="1:20">
      <c r="A93" s="467">
        <f t="shared" si="46"/>
        <v>81</v>
      </c>
      <c r="B93" s="14" t="s">
        <v>133</v>
      </c>
      <c r="C93" s="14"/>
      <c r="D93" s="14"/>
      <c r="E93" s="743">
        <f t="shared" ref="E93:Q93" si="55">IF(OR(E25=0,E$34=0),0,E25/E$34)</f>
        <v>1.3333809813100811E-2</v>
      </c>
      <c r="F93" s="744">
        <f t="shared" si="55"/>
        <v>0</v>
      </c>
      <c r="G93" s="743">
        <f t="shared" si="55"/>
        <v>0</v>
      </c>
      <c r="H93" s="743">
        <f t="shared" si="55"/>
        <v>0</v>
      </c>
      <c r="I93" s="743">
        <f t="shared" si="55"/>
        <v>1.4624567931426817E-2</v>
      </c>
      <c r="J93" s="744">
        <f t="shared" si="55"/>
        <v>1.4624567931426817E-2</v>
      </c>
      <c r="K93" s="743">
        <f t="shared" si="55"/>
        <v>1.4624567931426817E-2</v>
      </c>
      <c r="L93" s="743">
        <f t="shared" si="55"/>
        <v>1.4624567931426817E-2</v>
      </c>
      <c r="M93" s="743">
        <f t="shared" si="55"/>
        <v>1.4624567931426817E-2</v>
      </c>
      <c r="N93" s="744">
        <f t="shared" si="55"/>
        <v>1.4624567931426817E-2</v>
      </c>
      <c r="O93" s="743">
        <f t="shared" si="55"/>
        <v>1.4624567931426817E-2</v>
      </c>
      <c r="P93" s="743">
        <f t="shared" si="55"/>
        <v>1.4624567931426817E-2</v>
      </c>
      <c r="Q93" s="743">
        <f t="shared" si="55"/>
        <v>2.6393271856640223E-2</v>
      </c>
      <c r="T93" s="462"/>
    </row>
    <row r="94" spans="1:20">
      <c r="A94" s="467">
        <f t="shared" si="46"/>
        <v>82</v>
      </c>
      <c r="B94" s="14" t="s">
        <v>290</v>
      </c>
      <c r="C94" s="14"/>
      <c r="D94" s="14"/>
      <c r="E94" s="743">
        <f t="shared" ref="E94:Q94" si="56">IF(OR(E26=0,E$34=0),0,E26/E$34)</f>
        <v>0</v>
      </c>
      <c r="F94" s="744">
        <f t="shared" si="56"/>
        <v>0</v>
      </c>
      <c r="G94" s="743">
        <f t="shared" si="56"/>
        <v>0</v>
      </c>
      <c r="H94" s="743">
        <f t="shared" si="56"/>
        <v>0</v>
      </c>
      <c r="I94" s="743">
        <f t="shared" si="56"/>
        <v>0</v>
      </c>
      <c r="J94" s="744">
        <f t="shared" si="56"/>
        <v>0</v>
      </c>
      <c r="K94" s="743">
        <f t="shared" si="56"/>
        <v>0</v>
      </c>
      <c r="L94" s="743">
        <f t="shared" si="56"/>
        <v>0</v>
      </c>
      <c r="M94" s="743">
        <f t="shared" si="56"/>
        <v>0</v>
      </c>
      <c r="N94" s="744">
        <f t="shared" si="56"/>
        <v>0</v>
      </c>
      <c r="O94" s="743">
        <f t="shared" si="56"/>
        <v>0</v>
      </c>
      <c r="P94" s="743">
        <f t="shared" si="56"/>
        <v>0</v>
      </c>
      <c r="Q94" s="743">
        <f t="shared" si="56"/>
        <v>0</v>
      </c>
      <c r="T94" s="462"/>
    </row>
    <row r="95" spans="1:20">
      <c r="A95" s="467">
        <f t="shared" si="46"/>
        <v>83</v>
      </c>
      <c r="B95" s="14" t="s">
        <v>329</v>
      </c>
      <c r="C95" s="14"/>
      <c r="D95" s="14"/>
      <c r="E95" s="743">
        <f t="shared" ref="E95:Q95" si="57">IF(OR(E27=0,E$34=0),0,E27/E$34)</f>
        <v>0</v>
      </c>
      <c r="F95" s="744">
        <f t="shared" si="57"/>
        <v>0</v>
      </c>
      <c r="G95" s="743">
        <f t="shared" si="57"/>
        <v>0</v>
      </c>
      <c r="H95" s="743">
        <f t="shared" si="57"/>
        <v>0</v>
      </c>
      <c r="I95" s="743">
        <f t="shared" si="57"/>
        <v>0</v>
      </c>
      <c r="J95" s="744">
        <f t="shared" si="57"/>
        <v>0</v>
      </c>
      <c r="K95" s="743">
        <f t="shared" si="57"/>
        <v>0</v>
      </c>
      <c r="L95" s="743">
        <f t="shared" si="57"/>
        <v>0</v>
      </c>
      <c r="M95" s="743">
        <f t="shared" si="57"/>
        <v>0</v>
      </c>
      <c r="N95" s="744">
        <f t="shared" si="57"/>
        <v>0</v>
      </c>
      <c r="O95" s="743">
        <f t="shared" si="57"/>
        <v>0</v>
      </c>
      <c r="P95" s="743">
        <f t="shared" si="57"/>
        <v>0</v>
      </c>
      <c r="Q95" s="743">
        <f t="shared" si="57"/>
        <v>0</v>
      </c>
      <c r="T95" s="462"/>
    </row>
    <row r="96" spans="1:20">
      <c r="A96" s="467">
        <f t="shared" si="46"/>
        <v>84</v>
      </c>
      <c r="B96" s="14" t="s">
        <v>330</v>
      </c>
      <c r="C96" s="14"/>
      <c r="D96" s="14"/>
      <c r="E96" s="743">
        <f t="shared" ref="E96:Q96" si="58">IF(OR(E28=0,E$34=0),0,E28/E$34)</f>
        <v>0</v>
      </c>
      <c r="F96" s="744">
        <f t="shared" si="58"/>
        <v>0</v>
      </c>
      <c r="G96" s="743">
        <f t="shared" si="58"/>
        <v>0</v>
      </c>
      <c r="H96" s="743">
        <f t="shared" si="58"/>
        <v>0</v>
      </c>
      <c r="I96" s="743">
        <f t="shared" si="58"/>
        <v>0</v>
      </c>
      <c r="J96" s="744">
        <f t="shared" si="58"/>
        <v>0</v>
      </c>
      <c r="K96" s="743">
        <f t="shared" si="58"/>
        <v>0</v>
      </c>
      <c r="L96" s="743">
        <f t="shared" si="58"/>
        <v>0</v>
      </c>
      <c r="M96" s="743">
        <f t="shared" si="58"/>
        <v>0</v>
      </c>
      <c r="N96" s="744">
        <f t="shared" si="58"/>
        <v>0</v>
      </c>
      <c r="O96" s="743">
        <f t="shared" si="58"/>
        <v>0</v>
      </c>
      <c r="P96" s="743">
        <f t="shared" si="58"/>
        <v>0</v>
      </c>
      <c r="Q96" s="743">
        <f t="shared" si="58"/>
        <v>0</v>
      </c>
      <c r="T96" s="462"/>
    </row>
    <row r="97" spans="1:20">
      <c r="A97" s="467">
        <f t="shared" si="46"/>
        <v>85</v>
      </c>
      <c r="B97" s="14" t="s">
        <v>141</v>
      </c>
      <c r="C97" s="14"/>
      <c r="D97" s="14"/>
      <c r="E97" s="743">
        <f t="shared" ref="E97:Q97" si="59">IF(OR(E29=0,E$34=0),0,E29/E$34)</f>
        <v>0</v>
      </c>
      <c r="F97" s="744">
        <f t="shared" si="59"/>
        <v>0</v>
      </c>
      <c r="G97" s="743">
        <f t="shared" si="59"/>
        <v>0</v>
      </c>
      <c r="H97" s="743">
        <f t="shared" si="59"/>
        <v>0</v>
      </c>
      <c r="I97" s="743">
        <f t="shared" si="59"/>
        <v>0</v>
      </c>
      <c r="J97" s="744">
        <f t="shared" si="59"/>
        <v>0</v>
      </c>
      <c r="K97" s="743">
        <f t="shared" si="59"/>
        <v>0</v>
      </c>
      <c r="L97" s="743">
        <f t="shared" si="59"/>
        <v>0</v>
      </c>
      <c r="M97" s="743">
        <f t="shared" si="59"/>
        <v>0</v>
      </c>
      <c r="N97" s="744">
        <f t="shared" si="59"/>
        <v>0</v>
      </c>
      <c r="O97" s="743">
        <f t="shared" si="59"/>
        <v>0</v>
      </c>
      <c r="P97" s="743">
        <f t="shared" si="59"/>
        <v>0</v>
      </c>
      <c r="Q97" s="743">
        <f t="shared" si="59"/>
        <v>0</v>
      </c>
      <c r="T97" s="462"/>
    </row>
    <row r="98" spans="1:20">
      <c r="A98" s="467">
        <f t="shared" si="46"/>
        <v>86</v>
      </c>
      <c r="B98" s="14" t="s">
        <v>331</v>
      </c>
      <c r="C98" s="14"/>
      <c r="D98" s="14"/>
      <c r="E98" s="743">
        <f t="shared" ref="E98:Q98" si="60">IF(OR(E30=0,E$34=0),0,E30/E$34)</f>
        <v>2.1956187685380408E-3</v>
      </c>
      <c r="F98" s="744">
        <f t="shared" si="60"/>
        <v>0</v>
      </c>
      <c r="G98" s="743">
        <f t="shared" si="60"/>
        <v>4.2304444210685566E-3</v>
      </c>
      <c r="H98" s="743">
        <f t="shared" si="60"/>
        <v>4.2304444210685566E-3</v>
      </c>
      <c r="I98" s="743">
        <f t="shared" si="60"/>
        <v>2.4081621293601621E-3</v>
      </c>
      <c r="J98" s="744">
        <f t="shared" si="60"/>
        <v>2.4081621293601621E-3</v>
      </c>
      <c r="K98" s="743">
        <f t="shared" si="60"/>
        <v>2.4081621293601621E-3</v>
      </c>
      <c r="L98" s="743">
        <f t="shared" si="60"/>
        <v>2.4081621293601621E-3</v>
      </c>
      <c r="M98" s="743">
        <f t="shared" si="60"/>
        <v>2.4081621293601621E-3</v>
      </c>
      <c r="N98" s="744">
        <f t="shared" si="60"/>
        <v>2.4081621293601621E-3</v>
      </c>
      <c r="O98" s="743">
        <f t="shared" si="60"/>
        <v>2.4081621293601621E-3</v>
      </c>
      <c r="P98" s="743">
        <f t="shared" si="60"/>
        <v>2.4081621293601621E-3</v>
      </c>
      <c r="Q98" s="743">
        <f t="shared" si="60"/>
        <v>0</v>
      </c>
      <c r="T98" s="462"/>
    </row>
    <row r="99" spans="1:20">
      <c r="A99" s="467">
        <f t="shared" si="46"/>
        <v>87</v>
      </c>
      <c r="B99" s="14" t="s">
        <v>140</v>
      </c>
      <c r="C99" s="14"/>
      <c r="D99" s="14"/>
      <c r="E99" s="743">
        <f t="shared" ref="E99:Q99" si="61">IF(OR(E31=0,E$34=0),0,E31/E$34)</f>
        <v>0</v>
      </c>
      <c r="F99" s="744">
        <f t="shared" si="61"/>
        <v>0</v>
      </c>
      <c r="G99" s="743">
        <f t="shared" si="61"/>
        <v>0</v>
      </c>
      <c r="H99" s="743">
        <f t="shared" si="61"/>
        <v>0</v>
      </c>
      <c r="I99" s="743">
        <f t="shared" si="61"/>
        <v>0</v>
      </c>
      <c r="J99" s="744">
        <f t="shared" si="61"/>
        <v>0</v>
      </c>
      <c r="K99" s="743">
        <f t="shared" si="61"/>
        <v>0</v>
      </c>
      <c r="L99" s="743">
        <f t="shared" si="61"/>
        <v>0</v>
      </c>
      <c r="M99" s="743">
        <f t="shared" si="61"/>
        <v>0</v>
      </c>
      <c r="N99" s="744">
        <f t="shared" si="61"/>
        <v>0</v>
      </c>
      <c r="O99" s="743">
        <f t="shared" si="61"/>
        <v>0</v>
      </c>
      <c r="P99" s="743">
        <f t="shared" si="61"/>
        <v>0</v>
      </c>
      <c r="Q99" s="743">
        <f t="shared" si="61"/>
        <v>0</v>
      </c>
      <c r="T99" s="462"/>
    </row>
    <row r="100" spans="1:20">
      <c r="A100" s="467">
        <f t="shared" si="46"/>
        <v>88</v>
      </c>
      <c r="B100" s="14" t="s">
        <v>368</v>
      </c>
      <c r="C100" s="14"/>
      <c r="D100" s="14"/>
      <c r="E100" s="743">
        <f t="shared" ref="E100:Q100" si="62">IF(OR(E32=0,E$34=0),0,E32/E$34)</f>
        <v>0</v>
      </c>
      <c r="F100" s="744">
        <f t="shared" si="62"/>
        <v>0</v>
      </c>
      <c r="G100" s="743">
        <f t="shared" si="62"/>
        <v>0</v>
      </c>
      <c r="H100" s="743">
        <f t="shared" si="62"/>
        <v>0</v>
      </c>
      <c r="I100" s="743">
        <f t="shared" si="62"/>
        <v>0</v>
      </c>
      <c r="J100" s="744">
        <f t="shared" si="62"/>
        <v>0</v>
      </c>
      <c r="K100" s="743">
        <f t="shared" si="62"/>
        <v>0</v>
      </c>
      <c r="L100" s="743">
        <f t="shared" si="62"/>
        <v>0</v>
      </c>
      <c r="M100" s="743">
        <f t="shared" si="62"/>
        <v>0</v>
      </c>
      <c r="N100" s="744">
        <f t="shared" si="62"/>
        <v>0</v>
      </c>
      <c r="O100" s="743">
        <f t="shared" si="62"/>
        <v>0</v>
      </c>
      <c r="P100" s="743">
        <f t="shared" si="62"/>
        <v>0</v>
      </c>
      <c r="Q100" s="743">
        <f t="shared" si="62"/>
        <v>0</v>
      </c>
      <c r="T100" s="462"/>
    </row>
    <row r="101" spans="1:20">
      <c r="A101" s="467">
        <f t="shared" si="46"/>
        <v>89</v>
      </c>
      <c r="B101" s="14" t="s">
        <v>369</v>
      </c>
      <c r="C101" s="132"/>
      <c r="D101" s="132"/>
      <c r="E101" s="741">
        <f t="shared" ref="E101:Q101" si="63">IF(OR(E33=0,E$34=0),0,E33/E$34)</f>
        <v>1.658149590823E-2</v>
      </c>
      <c r="F101" s="742">
        <f t="shared" si="63"/>
        <v>0.21734789383098757</v>
      </c>
      <c r="G101" s="741">
        <f t="shared" si="63"/>
        <v>4.0061026714664364E-3</v>
      </c>
      <c r="H101" s="741">
        <f t="shared" si="63"/>
        <v>4.0061026714664364E-3</v>
      </c>
      <c r="I101" s="741">
        <f t="shared" si="63"/>
        <v>2.2804565618940926E-3</v>
      </c>
      <c r="J101" s="742">
        <f t="shared" si="63"/>
        <v>2.2804565618940926E-3</v>
      </c>
      <c r="K101" s="741">
        <f t="shared" si="63"/>
        <v>2.2804565618940926E-3</v>
      </c>
      <c r="L101" s="741">
        <f t="shared" si="63"/>
        <v>2.2804565618940926E-3</v>
      </c>
      <c r="M101" s="741">
        <f t="shared" si="63"/>
        <v>2.2804565618940926E-3</v>
      </c>
      <c r="N101" s="742">
        <f t="shared" si="63"/>
        <v>2.2804565618940926E-3</v>
      </c>
      <c r="O101" s="741">
        <f t="shared" si="63"/>
        <v>2.2804565618940926E-3</v>
      </c>
      <c r="P101" s="741">
        <f t="shared" si="63"/>
        <v>2.2804565618940926E-3</v>
      </c>
      <c r="Q101" s="741">
        <f t="shared" si="63"/>
        <v>2.0577944687852974E-3</v>
      </c>
      <c r="T101" s="462"/>
    </row>
    <row r="102" spans="1:20">
      <c r="A102" s="467">
        <f t="shared" si="46"/>
        <v>90</v>
      </c>
      <c r="B102" s="14" t="s">
        <v>370</v>
      </c>
      <c r="C102" s="132"/>
      <c r="D102" s="132"/>
      <c r="E102" s="763">
        <f>SUM(E86:E101)</f>
        <v>0.99954257942322144</v>
      </c>
      <c r="F102" s="763">
        <f t="shared" ref="F102:Q102" si="64">SUM(F86:F101)</f>
        <v>1</v>
      </c>
      <c r="G102" s="763">
        <f t="shared" si="64"/>
        <v>0.99999999999999989</v>
      </c>
      <c r="H102" s="763">
        <f t="shared" si="64"/>
        <v>0.99999999999999989</v>
      </c>
      <c r="I102" s="763">
        <f t="shared" si="64"/>
        <v>0.99944255506264834</v>
      </c>
      <c r="J102" s="763">
        <f t="shared" si="64"/>
        <v>0.99944255506264834</v>
      </c>
      <c r="K102" s="763">
        <f t="shared" si="64"/>
        <v>0.99944255506264834</v>
      </c>
      <c r="L102" s="763">
        <f t="shared" si="64"/>
        <v>0.99944255506264834</v>
      </c>
      <c r="M102" s="763">
        <f t="shared" si="64"/>
        <v>0.99944255506264834</v>
      </c>
      <c r="N102" s="763">
        <f t="shared" si="64"/>
        <v>0.99944255506264834</v>
      </c>
      <c r="O102" s="763">
        <f t="shared" si="64"/>
        <v>0.99944255506264834</v>
      </c>
      <c r="P102" s="763">
        <f t="shared" si="64"/>
        <v>0.99944255506264834</v>
      </c>
      <c r="Q102" s="763">
        <f t="shared" si="64"/>
        <v>0.99949698357429717</v>
      </c>
      <c r="T102" s="462"/>
    </row>
    <row r="103" spans="1:20">
      <c r="A103" s="467">
        <f t="shared" si="46"/>
        <v>91</v>
      </c>
      <c r="B103" s="132" t="s">
        <v>335</v>
      </c>
      <c r="C103" s="132"/>
      <c r="D103" s="132"/>
      <c r="E103" s="746"/>
      <c r="F103" s="747">
        <f t="shared" ref="F103:Q103" si="65">IFERROR(F35/$E$34,0)</f>
        <v>6.5767340885537651E-2</v>
      </c>
      <c r="G103" s="747">
        <f t="shared" si="65"/>
        <v>0.11766776906758324</v>
      </c>
      <c r="H103" s="747">
        <f t="shared" si="65"/>
        <v>0.16956819724962882</v>
      </c>
      <c r="I103" s="747">
        <f t="shared" si="65"/>
        <v>0.2607422399674838</v>
      </c>
      <c r="J103" s="747">
        <f t="shared" si="65"/>
        <v>0.35191628268533881</v>
      </c>
      <c r="K103" s="747">
        <f t="shared" si="65"/>
        <v>0.44309032540319387</v>
      </c>
      <c r="L103" s="747">
        <f t="shared" si="65"/>
        <v>0.53426436812104883</v>
      </c>
      <c r="M103" s="747">
        <f t="shared" si="65"/>
        <v>0.62543841083890384</v>
      </c>
      <c r="N103" s="747">
        <f t="shared" si="65"/>
        <v>0.71661245355675884</v>
      </c>
      <c r="O103" s="747">
        <f t="shared" si="65"/>
        <v>0.80778649627461374</v>
      </c>
      <c r="P103" s="747">
        <f t="shared" si="65"/>
        <v>0.89896053899246875</v>
      </c>
      <c r="Q103" s="747">
        <f t="shared" si="65"/>
        <v>0.99999999999999956</v>
      </c>
      <c r="T103" s="462"/>
    </row>
    <row r="104" spans="1:20">
      <c r="A104" s="467">
        <f t="shared" si="46"/>
        <v>92</v>
      </c>
      <c r="B104" s="132"/>
      <c r="C104" s="132"/>
      <c r="D104" s="132"/>
      <c r="E104" s="746"/>
      <c r="F104" s="747"/>
      <c r="G104" s="747"/>
      <c r="H104" s="747"/>
      <c r="I104" s="747"/>
      <c r="J104" s="747"/>
      <c r="K104" s="747"/>
      <c r="L104" s="747"/>
      <c r="M104" s="747"/>
      <c r="N104" s="747"/>
      <c r="O104" s="747"/>
      <c r="P104" s="747"/>
      <c r="Q104" s="747"/>
      <c r="T104" s="462"/>
    </row>
    <row r="105" spans="1:20" ht="17.399999999999999">
      <c r="A105" s="467">
        <f t="shared" si="46"/>
        <v>93</v>
      </c>
      <c r="B105" s="115" t="s">
        <v>371</v>
      </c>
      <c r="C105" s="132"/>
      <c r="D105" s="132"/>
      <c r="E105" s="746"/>
      <c r="F105" s="747"/>
      <c r="G105" s="747"/>
      <c r="H105" s="747"/>
      <c r="I105" s="747"/>
      <c r="J105" s="747"/>
      <c r="K105" s="747"/>
      <c r="L105" s="747"/>
      <c r="M105" s="747"/>
      <c r="N105" s="747"/>
      <c r="O105" s="747"/>
      <c r="P105" s="747"/>
      <c r="Q105" s="747"/>
      <c r="T105" s="462"/>
    </row>
    <row r="106" spans="1:20">
      <c r="A106" s="467">
        <f t="shared" si="46"/>
        <v>94</v>
      </c>
      <c r="B106" s="14"/>
      <c r="C106" s="14"/>
      <c r="D106" s="14"/>
      <c r="E106" s="748"/>
      <c r="F106" s="749"/>
      <c r="G106" s="748"/>
      <c r="H106" s="748"/>
      <c r="I106" s="748"/>
      <c r="J106" s="749"/>
      <c r="K106" s="748"/>
      <c r="L106" s="748"/>
      <c r="M106" s="748"/>
      <c r="N106" s="749"/>
      <c r="O106" s="748"/>
      <c r="P106" s="748"/>
      <c r="Q106" s="748"/>
      <c r="T106" s="462"/>
    </row>
    <row r="107" spans="1:20">
      <c r="A107" s="467">
        <f t="shared" si="46"/>
        <v>95</v>
      </c>
      <c r="B107" s="121" t="s">
        <v>145</v>
      </c>
      <c r="C107" s="121"/>
      <c r="D107" s="731"/>
      <c r="E107" s="732"/>
      <c r="F107" s="732"/>
      <c r="G107" s="732"/>
      <c r="H107" s="732"/>
      <c r="I107" s="732"/>
      <c r="J107" s="732"/>
      <c r="K107" s="732"/>
      <c r="L107" s="732"/>
      <c r="M107" s="732"/>
      <c r="N107" s="732"/>
      <c r="O107" s="732"/>
      <c r="P107" s="732"/>
      <c r="Q107" s="732"/>
      <c r="T107" s="462"/>
    </row>
    <row r="108" spans="1:20">
      <c r="A108" s="467">
        <f t="shared" si="46"/>
        <v>96</v>
      </c>
      <c r="B108" s="13" t="s">
        <v>372</v>
      </c>
      <c r="C108" s="14"/>
      <c r="D108" s="14"/>
      <c r="E108" s="1152">
        <f t="shared" ref="E108:Q108" si="66">IFERROR(E39/E$34,0)</f>
        <v>0.49777067183647206</v>
      </c>
      <c r="F108" s="1152">
        <f t="shared" si="66"/>
        <v>0.3290721934613603</v>
      </c>
      <c r="G108" s="1152">
        <f t="shared" si="66"/>
        <v>0.83398938626913943</v>
      </c>
      <c r="H108" s="1152">
        <f t="shared" si="66"/>
        <v>0.83398938626913943</v>
      </c>
      <c r="I108" s="1152">
        <f t="shared" si="66"/>
        <v>0.47474483917090998</v>
      </c>
      <c r="J108" s="1152">
        <f t="shared" si="66"/>
        <v>0.47474483917090998</v>
      </c>
      <c r="K108" s="1152">
        <f t="shared" si="66"/>
        <v>0.47474483917090998</v>
      </c>
      <c r="L108" s="1152">
        <f t="shared" si="66"/>
        <v>0.47474483917090998</v>
      </c>
      <c r="M108" s="1152">
        <f t="shared" si="66"/>
        <v>0.47474483917090998</v>
      </c>
      <c r="N108" s="1152">
        <f t="shared" si="66"/>
        <v>0.47474483917090998</v>
      </c>
      <c r="O108" s="1152">
        <f t="shared" si="66"/>
        <v>0.47474483917090998</v>
      </c>
      <c r="P108" s="1152">
        <f t="shared" si="66"/>
        <v>0.47474483917090998</v>
      </c>
      <c r="Q108" s="1152">
        <f t="shared" si="66"/>
        <v>0.42839110398088515</v>
      </c>
      <c r="T108" s="462"/>
    </row>
    <row r="109" spans="1:20">
      <c r="A109" s="467">
        <f t="shared" si="46"/>
        <v>97</v>
      </c>
      <c r="B109" s="14" t="s">
        <v>373</v>
      </c>
      <c r="C109" s="14"/>
      <c r="D109" s="14"/>
      <c r="E109" s="743">
        <f>IFERROR(#REF!/E$34,0)</f>
        <v>0</v>
      </c>
      <c r="F109" s="743">
        <f>IFERROR(#REF!/F$34,0)</f>
        <v>0</v>
      </c>
      <c r="G109" s="743">
        <f>IFERROR(#REF!/G$34,0)</f>
        <v>0</v>
      </c>
      <c r="H109" s="743">
        <f>IFERROR(#REF!/H$34,0)</f>
        <v>0</v>
      </c>
      <c r="I109" s="743">
        <f>IFERROR(#REF!/I$34,0)</f>
        <v>0</v>
      </c>
      <c r="J109" s="743">
        <f>IFERROR(#REF!/J$34,0)</f>
        <v>0</v>
      </c>
      <c r="K109" s="743">
        <f>IFERROR(#REF!/K$34,0)</f>
        <v>0</v>
      </c>
      <c r="L109" s="743">
        <f>IFERROR(#REF!/L$34,0)</f>
        <v>0</v>
      </c>
      <c r="M109" s="743">
        <f>IFERROR(#REF!/M$34,0)</f>
        <v>0</v>
      </c>
      <c r="N109" s="743">
        <f>IFERROR(#REF!/N$34,0)</f>
        <v>0</v>
      </c>
      <c r="O109" s="743">
        <f>IFERROR(#REF!/O$34,0)</f>
        <v>0</v>
      </c>
      <c r="P109" s="743">
        <f>IFERROR(#REF!/P$34,0)</f>
        <v>0</v>
      </c>
      <c r="Q109" s="743">
        <f>IFERROR(#REF!/Q$34,0)</f>
        <v>0</v>
      </c>
      <c r="T109" s="462"/>
    </row>
    <row r="110" spans="1:20">
      <c r="A110" s="467">
        <f t="shared" si="46"/>
        <v>98</v>
      </c>
      <c r="B110" s="14" t="s">
        <v>374</v>
      </c>
      <c r="C110" s="14"/>
      <c r="D110" s="14"/>
      <c r="E110" s="743">
        <f>IFERROR(#REF!/E$34,0)</f>
        <v>0</v>
      </c>
      <c r="F110" s="743">
        <f>IFERROR(#REF!/F$34,0)</f>
        <v>0</v>
      </c>
      <c r="G110" s="743">
        <f>IFERROR(#REF!/G$34,0)</f>
        <v>0</v>
      </c>
      <c r="H110" s="743">
        <f>IFERROR(#REF!/H$34,0)</f>
        <v>0</v>
      </c>
      <c r="I110" s="743">
        <f>IFERROR(#REF!/I$34,0)</f>
        <v>0</v>
      </c>
      <c r="J110" s="743">
        <f>IFERROR(#REF!/J$34,0)</f>
        <v>0</v>
      </c>
      <c r="K110" s="743">
        <f>IFERROR(#REF!/K$34,0)</f>
        <v>0</v>
      </c>
      <c r="L110" s="743">
        <f>IFERROR(#REF!/L$34,0)</f>
        <v>0</v>
      </c>
      <c r="M110" s="743">
        <f>IFERROR(#REF!/M$34,0)</f>
        <v>0</v>
      </c>
      <c r="N110" s="743">
        <f>IFERROR(#REF!/N$34,0)</f>
        <v>0</v>
      </c>
      <c r="O110" s="743">
        <f>IFERROR(#REF!/O$34,0)</f>
        <v>0</v>
      </c>
      <c r="P110" s="743">
        <f>IFERROR(#REF!/P$34,0)</f>
        <v>0</v>
      </c>
      <c r="Q110" s="743">
        <f>IFERROR(#REF!/Q$34,0)</f>
        <v>0</v>
      </c>
      <c r="T110" s="462"/>
    </row>
    <row r="111" spans="1:20">
      <c r="A111" s="467">
        <f t="shared" si="46"/>
        <v>99</v>
      </c>
      <c r="B111" s="14" t="s">
        <v>375</v>
      </c>
      <c r="C111" s="14"/>
      <c r="D111" s="14"/>
      <c r="E111" s="743">
        <f>IFERROR(#REF!/E$34,0)</f>
        <v>0</v>
      </c>
      <c r="F111" s="743">
        <f>IFERROR(#REF!/F$34,0)</f>
        <v>0</v>
      </c>
      <c r="G111" s="743">
        <f>IFERROR(#REF!/G$34,0)</f>
        <v>0</v>
      </c>
      <c r="H111" s="743">
        <f>IFERROR(#REF!/H$34,0)</f>
        <v>0</v>
      </c>
      <c r="I111" s="743">
        <f>IFERROR(#REF!/I$34,0)</f>
        <v>0</v>
      </c>
      <c r="J111" s="743">
        <f>IFERROR(#REF!/J$34,0)</f>
        <v>0</v>
      </c>
      <c r="K111" s="743">
        <f>IFERROR(#REF!/K$34,0)</f>
        <v>0</v>
      </c>
      <c r="L111" s="743">
        <f>IFERROR(#REF!/L$34,0)</f>
        <v>0</v>
      </c>
      <c r="M111" s="743">
        <f>IFERROR(#REF!/M$34,0)</f>
        <v>0</v>
      </c>
      <c r="N111" s="743">
        <f>IFERROR(#REF!/N$34,0)</f>
        <v>0</v>
      </c>
      <c r="O111" s="743">
        <f>IFERROR(#REF!/O$34,0)</f>
        <v>0</v>
      </c>
      <c r="P111" s="743">
        <f>IFERROR(#REF!/P$34,0)</f>
        <v>0</v>
      </c>
      <c r="Q111" s="743">
        <f>IFERROR(#REF!/Q$34,0)</f>
        <v>0</v>
      </c>
      <c r="T111" s="462"/>
    </row>
    <row r="112" spans="1:20">
      <c r="A112" s="467">
        <f t="shared" si="46"/>
        <v>100</v>
      </c>
      <c r="B112" s="14" t="s">
        <v>376</v>
      </c>
      <c r="C112" s="14"/>
      <c r="D112" s="14"/>
      <c r="E112" s="743">
        <f>IFERROR(#REF!/E$34,0)</f>
        <v>0</v>
      </c>
      <c r="F112" s="743">
        <f>IFERROR(#REF!/F$34,0)</f>
        <v>0</v>
      </c>
      <c r="G112" s="743">
        <f>IFERROR(#REF!/G$34,0)</f>
        <v>0</v>
      </c>
      <c r="H112" s="743">
        <f>IFERROR(#REF!/H$34,0)</f>
        <v>0</v>
      </c>
      <c r="I112" s="743">
        <f>IFERROR(#REF!/I$34,0)</f>
        <v>0</v>
      </c>
      <c r="J112" s="743">
        <f>IFERROR(#REF!/J$34,0)</f>
        <v>0</v>
      </c>
      <c r="K112" s="743">
        <f>IFERROR(#REF!/K$34,0)</f>
        <v>0</v>
      </c>
      <c r="L112" s="743">
        <f>IFERROR(#REF!/L$34,0)</f>
        <v>0</v>
      </c>
      <c r="M112" s="743">
        <f>IFERROR(#REF!/M$34,0)</f>
        <v>0</v>
      </c>
      <c r="N112" s="743">
        <f>IFERROR(#REF!/N$34,0)</f>
        <v>0</v>
      </c>
      <c r="O112" s="743">
        <f>IFERROR(#REF!/O$34,0)</f>
        <v>0</v>
      </c>
      <c r="P112" s="743">
        <f>IFERROR(#REF!/P$34,0)</f>
        <v>0</v>
      </c>
      <c r="Q112" s="743">
        <f>IFERROR(#REF!/Q$34,0)</f>
        <v>0</v>
      </c>
      <c r="T112" s="462"/>
    </row>
    <row r="113" spans="1:20">
      <c r="A113" s="467">
        <f t="shared" si="46"/>
        <v>101</v>
      </c>
      <c r="B113" s="14" t="s">
        <v>339</v>
      </c>
      <c r="C113" s="14"/>
      <c r="D113" s="14"/>
      <c r="E113" s="743">
        <f t="shared" ref="E113:Q113" si="67">IFERROR(E40/E$34,0)</f>
        <v>6.7312296751599193E-2</v>
      </c>
      <c r="F113" s="743">
        <f t="shared" si="67"/>
        <v>8.5290936004176698E-2</v>
      </c>
      <c r="G113" s="743">
        <f t="shared" si="67"/>
        <v>0.1080792251454635</v>
      </c>
      <c r="H113" s="743">
        <f t="shared" si="67"/>
        <v>0.1080792251454635</v>
      </c>
      <c r="I113" s="743">
        <f t="shared" si="67"/>
        <v>6.1523629921641725E-2</v>
      </c>
      <c r="J113" s="743">
        <f t="shared" si="67"/>
        <v>6.1523629921641725E-2</v>
      </c>
      <c r="K113" s="743">
        <f t="shared" si="67"/>
        <v>6.1523629921641725E-2</v>
      </c>
      <c r="L113" s="743">
        <f t="shared" si="67"/>
        <v>6.1523629921641725E-2</v>
      </c>
      <c r="M113" s="743">
        <f t="shared" si="67"/>
        <v>6.1523629921641725E-2</v>
      </c>
      <c r="N113" s="743">
        <f t="shared" si="67"/>
        <v>6.1523629921641725E-2</v>
      </c>
      <c r="O113" s="743">
        <f t="shared" si="67"/>
        <v>6.1523629921641725E-2</v>
      </c>
      <c r="P113" s="743">
        <f t="shared" si="67"/>
        <v>6.1523629921641725E-2</v>
      </c>
      <c r="Q113" s="743">
        <f t="shared" si="67"/>
        <v>5.5516508171150843E-2</v>
      </c>
      <c r="T113" s="462"/>
    </row>
    <row r="114" spans="1:20">
      <c r="A114" s="467">
        <f t="shared" si="46"/>
        <v>102</v>
      </c>
      <c r="B114" s="14" t="s">
        <v>377</v>
      </c>
      <c r="C114" s="14"/>
      <c r="D114" s="14"/>
      <c r="E114" s="743">
        <f t="shared" ref="E114:Q114" si="68">IFERROR(E41/E$34,0)</f>
        <v>9.9584271402875565E-3</v>
      </c>
      <c r="F114" s="743">
        <f t="shared" si="68"/>
        <v>0</v>
      </c>
      <c r="G114" s="743">
        <f t="shared" si="68"/>
        <v>1.7443238715343441E-2</v>
      </c>
      <c r="H114" s="743">
        <f t="shared" si="68"/>
        <v>1.7443238715343441E-2</v>
      </c>
      <c r="I114" s="743">
        <f t="shared" si="68"/>
        <v>9.9294879465805282E-3</v>
      </c>
      <c r="J114" s="743">
        <f t="shared" si="68"/>
        <v>9.9294879465805282E-3</v>
      </c>
      <c r="K114" s="743">
        <f t="shared" si="68"/>
        <v>9.9294879465805282E-3</v>
      </c>
      <c r="L114" s="743">
        <f t="shared" si="68"/>
        <v>9.9294879465805282E-3</v>
      </c>
      <c r="M114" s="743">
        <f t="shared" si="68"/>
        <v>9.9294879465805282E-3</v>
      </c>
      <c r="N114" s="743">
        <f t="shared" si="68"/>
        <v>9.9294879465805282E-3</v>
      </c>
      <c r="O114" s="743">
        <f t="shared" si="68"/>
        <v>9.9294879465805282E-3</v>
      </c>
      <c r="P114" s="743">
        <f t="shared" si="68"/>
        <v>9.9294879465805282E-3</v>
      </c>
      <c r="Q114" s="743">
        <f t="shared" si="68"/>
        <v>8.9599800828359822E-3</v>
      </c>
      <c r="T114" s="462"/>
    </row>
    <row r="115" spans="1:20">
      <c r="A115" s="467">
        <f t="shared" si="46"/>
        <v>103</v>
      </c>
      <c r="B115" s="14" t="s">
        <v>378</v>
      </c>
      <c r="C115" s="14"/>
      <c r="D115" s="14"/>
      <c r="E115" s="743">
        <f>IFERROR(#REF!/E$34,0)</f>
        <v>0</v>
      </c>
      <c r="F115" s="743">
        <f>IFERROR(#REF!/F$34,0)</f>
        <v>0</v>
      </c>
      <c r="G115" s="743">
        <f>IFERROR(#REF!/G$34,0)</f>
        <v>0</v>
      </c>
      <c r="H115" s="743">
        <f>IFERROR(#REF!/H$34,0)</f>
        <v>0</v>
      </c>
      <c r="I115" s="743">
        <f>IFERROR(#REF!/I$34,0)</f>
        <v>0</v>
      </c>
      <c r="J115" s="743">
        <f>IFERROR(#REF!/J$34,0)</f>
        <v>0</v>
      </c>
      <c r="K115" s="743">
        <f>IFERROR(#REF!/K$34,0)</f>
        <v>0</v>
      </c>
      <c r="L115" s="743">
        <f>IFERROR(#REF!/L$34,0)</f>
        <v>0</v>
      </c>
      <c r="M115" s="743">
        <f>IFERROR(#REF!/M$34,0)</f>
        <v>0</v>
      </c>
      <c r="N115" s="743">
        <f>IFERROR(#REF!/N$34,0)</f>
        <v>0</v>
      </c>
      <c r="O115" s="743">
        <f>IFERROR(#REF!/O$34,0)</f>
        <v>0</v>
      </c>
      <c r="P115" s="743">
        <f>IFERROR(#REF!/P$34,0)</f>
        <v>0</v>
      </c>
      <c r="Q115" s="743">
        <f>IFERROR(#REF!/Q$34,0)</f>
        <v>0</v>
      </c>
      <c r="T115" s="462"/>
    </row>
    <row r="116" spans="1:20">
      <c r="A116" s="467">
        <f t="shared" si="46"/>
        <v>104</v>
      </c>
      <c r="B116" s="14" t="s">
        <v>139</v>
      </c>
      <c r="C116" s="14"/>
      <c r="D116" s="14"/>
      <c r="E116" s="743">
        <f t="shared" ref="E116:Q116" si="69">IFERROR(E42/E$34,0)</f>
        <v>7.3759068005574815E-2</v>
      </c>
      <c r="F116" s="743">
        <f t="shared" si="69"/>
        <v>0</v>
      </c>
      <c r="G116" s="743">
        <f t="shared" si="69"/>
        <v>0</v>
      </c>
      <c r="H116" s="743">
        <f t="shared" si="69"/>
        <v>0.14211649227027184</v>
      </c>
      <c r="I116" s="743">
        <f t="shared" si="69"/>
        <v>8.0899196533192941E-2</v>
      </c>
      <c r="J116" s="743">
        <f t="shared" si="69"/>
        <v>8.0899196533192941E-2</v>
      </c>
      <c r="K116" s="743">
        <f t="shared" si="69"/>
        <v>8.0899196533192941E-2</v>
      </c>
      <c r="L116" s="743">
        <f t="shared" si="69"/>
        <v>8.0899196533192941E-2</v>
      </c>
      <c r="M116" s="743">
        <f t="shared" si="69"/>
        <v>8.0899196533192941E-2</v>
      </c>
      <c r="N116" s="743">
        <f t="shared" si="69"/>
        <v>8.0899196533192941E-2</v>
      </c>
      <c r="O116" s="743">
        <f t="shared" si="69"/>
        <v>8.0899196533192941E-2</v>
      </c>
      <c r="P116" s="743">
        <f t="shared" si="69"/>
        <v>8.0899196533192941E-2</v>
      </c>
      <c r="Q116" s="743">
        <f t="shared" si="69"/>
        <v>7.3000258780158422E-2</v>
      </c>
      <c r="T116" s="462"/>
    </row>
    <row r="117" spans="1:20">
      <c r="A117" s="467">
        <f t="shared" si="46"/>
        <v>105</v>
      </c>
      <c r="B117" s="180" t="s">
        <v>342</v>
      </c>
      <c r="C117" s="14"/>
      <c r="D117" s="14"/>
      <c r="E117" s="743">
        <f t="shared" ref="E117:Q117" si="70">IFERROR(E43/E$34,0)</f>
        <v>0</v>
      </c>
      <c r="F117" s="743">
        <f t="shared" si="70"/>
        <v>0</v>
      </c>
      <c r="G117" s="743">
        <f t="shared" si="70"/>
        <v>0</v>
      </c>
      <c r="H117" s="743">
        <f t="shared" si="70"/>
        <v>0</v>
      </c>
      <c r="I117" s="743">
        <f t="shared" si="70"/>
        <v>0</v>
      </c>
      <c r="J117" s="743">
        <f t="shared" si="70"/>
        <v>0</v>
      </c>
      <c r="K117" s="743">
        <f t="shared" si="70"/>
        <v>0</v>
      </c>
      <c r="L117" s="743">
        <f t="shared" si="70"/>
        <v>0</v>
      </c>
      <c r="M117" s="743">
        <f t="shared" si="70"/>
        <v>0</v>
      </c>
      <c r="N117" s="743">
        <f t="shared" si="70"/>
        <v>0</v>
      </c>
      <c r="O117" s="743">
        <f t="shared" si="70"/>
        <v>0</v>
      </c>
      <c r="P117" s="743">
        <f t="shared" si="70"/>
        <v>0</v>
      </c>
      <c r="Q117" s="743">
        <f t="shared" si="70"/>
        <v>0</v>
      </c>
      <c r="T117" s="462"/>
    </row>
    <row r="118" spans="1:20">
      <c r="A118" s="467">
        <f t="shared" si="46"/>
        <v>106</v>
      </c>
      <c r="B118" s="43" t="s">
        <v>110</v>
      </c>
      <c r="C118" s="14"/>
      <c r="D118" s="14"/>
      <c r="E118" s="743">
        <f t="shared" ref="E118:Q118" si="71">IFERROR(E45/E$34,0)</f>
        <v>2.2871028838937929E-3</v>
      </c>
      <c r="F118" s="743">
        <f t="shared" si="71"/>
        <v>2.8979719177465008E-3</v>
      </c>
      <c r="G118" s="743">
        <f t="shared" si="71"/>
        <v>3.6722607821775667E-3</v>
      </c>
      <c r="H118" s="743">
        <f t="shared" si="71"/>
        <v>3.6722607821775667E-3</v>
      </c>
      <c r="I118" s="743">
        <f t="shared" si="71"/>
        <v>2.0904185150695852E-3</v>
      </c>
      <c r="J118" s="743">
        <f t="shared" si="71"/>
        <v>2.0904185150695852E-3</v>
      </c>
      <c r="K118" s="743">
        <f t="shared" si="71"/>
        <v>2.0904185150695852E-3</v>
      </c>
      <c r="L118" s="743">
        <f t="shared" si="71"/>
        <v>2.0904185150695852E-3</v>
      </c>
      <c r="M118" s="743">
        <f t="shared" si="71"/>
        <v>2.0904185150695852E-3</v>
      </c>
      <c r="N118" s="743">
        <f t="shared" si="71"/>
        <v>2.0904185150695852E-3</v>
      </c>
      <c r="O118" s="743">
        <f t="shared" si="71"/>
        <v>2.0904185150695852E-3</v>
      </c>
      <c r="P118" s="743">
        <f t="shared" si="71"/>
        <v>2.0904185150695852E-3</v>
      </c>
      <c r="Q118" s="743">
        <f t="shared" si="71"/>
        <v>1.8863115963865225E-3</v>
      </c>
      <c r="T118" s="462"/>
    </row>
    <row r="119" spans="1:20">
      <c r="A119" s="467">
        <f t="shared" si="46"/>
        <v>107</v>
      </c>
      <c r="B119" s="14" t="s">
        <v>379</v>
      </c>
      <c r="C119" s="14"/>
      <c r="D119" s="14"/>
      <c r="E119" s="743">
        <f t="shared" ref="E119:Q119" si="72">IFERROR(E46/E$34,0)</f>
        <v>0.21012757745774219</v>
      </c>
      <c r="F119" s="743">
        <f t="shared" si="72"/>
        <v>0.26625116994295978</v>
      </c>
      <c r="G119" s="743">
        <f t="shared" si="72"/>
        <v>0.33738895936256397</v>
      </c>
      <c r="H119" s="743">
        <f t="shared" si="72"/>
        <v>0.33738895936256397</v>
      </c>
      <c r="I119" s="743">
        <f t="shared" si="72"/>
        <v>0.19205720107201812</v>
      </c>
      <c r="J119" s="743">
        <f t="shared" si="72"/>
        <v>0.19205720107201812</v>
      </c>
      <c r="K119" s="743">
        <f t="shared" si="72"/>
        <v>0.19205720107201812</v>
      </c>
      <c r="L119" s="743">
        <f t="shared" si="72"/>
        <v>0.19205720107201812</v>
      </c>
      <c r="M119" s="743">
        <f t="shared" si="72"/>
        <v>0.19205720107201812</v>
      </c>
      <c r="N119" s="743">
        <f t="shared" si="72"/>
        <v>0.19205720107201812</v>
      </c>
      <c r="O119" s="743">
        <f t="shared" si="72"/>
        <v>0.19205720107201812</v>
      </c>
      <c r="P119" s="743">
        <f t="shared" si="72"/>
        <v>0.19205720107201812</v>
      </c>
      <c r="Q119" s="743">
        <f t="shared" si="72"/>
        <v>0.17330487791801177</v>
      </c>
      <c r="T119" s="462"/>
    </row>
    <row r="120" spans="1:20">
      <c r="A120" s="467">
        <f t="shared" si="46"/>
        <v>108</v>
      </c>
      <c r="B120" s="14" t="s">
        <v>380</v>
      </c>
      <c r="C120" s="14"/>
      <c r="D120" s="14"/>
      <c r="E120" s="743">
        <f>IFERROR(#REF!/E$34,0)</f>
        <v>0</v>
      </c>
      <c r="F120" s="743">
        <f>IFERROR(#REF!/F$34,0)</f>
        <v>0</v>
      </c>
      <c r="G120" s="743">
        <f>IFERROR(#REF!/G$34,0)</f>
        <v>0</v>
      </c>
      <c r="H120" s="743">
        <f>IFERROR(#REF!/H$34,0)</f>
        <v>0</v>
      </c>
      <c r="I120" s="743">
        <f>IFERROR(#REF!/I$34,0)</f>
        <v>0</v>
      </c>
      <c r="J120" s="743">
        <f>IFERROR(#REF!/J$34,0)</f>
        <v>0</v>
      </c>
      <c r="K120" s="743">
        <f>IFERROR(#REF!/K$34,0)</f>
        <v>0</v>
      </c>
      <c r="L120" s="743">
        <f>IFERROR(#REF!/L$34,0)</f>
        <v>0</v>
      </c>
      <c r="M120" s="743">
        <f>IFERROR(#REF!/M$34,0)</f>
        <v>0</v>
      </c>
      <c r="N120" s="743">
        <f>IFERROR(#REF!/N$34,0)</f>
        <v>0</v>
      </c>
      <c r="O120" s="743">
        <f>IFERROR(#REF!/O$34,0)</f>
        <v>0</v>
      </c>
      <c r="P120" s="743">
        <f>IFERROR(#REF!/P$34,0)</f>
        <v>0</v>
      </c>
      <c r="Q120" s="743">
        <f>IFERROR(#REF!/Q$34,0)</f>
        <v>0</v>
      </c>
      <c r="T120" s="462"/>
    </row>
    <row r="121" spans="1:20">
      <c r="A121" s="467">
        <f t="shared" si="46"/>
        <v>109</v>
      </c>
      <c r="B121" s="14" t="s">
        <v>381</v>
      </c>
      <c r="C121" s="14"/>
      <c r="D121" s="14"/>
      <c r="E121" s="743">
        <f>IFERROR(#REF!/E$34,0)</f>
        <v>0</v>
      </c>
      <c r="F121" s="743">
        <f>IFERROR(#REF!/F$34,0)</f>
        <v>0</v>
      </c>
      <c r="G121" s="743">
        <f>IFERROR(#REF!/G$34,0)</f>
        <v>0</v>
      </c>
      <c r="H121" s="743">
        <f>IFERROR(#REF!/H$34,0)</f>
        <v>0</v>
      </c>
      <c r="I121" s="743">
        <f>IFERROR(#REF!/I$34,0)</f>
        <v>0</v>
      </c>
      <c r="J121" s="743">
        <f>IFERROR(#REF!/J$34,0)</f>
        <v>0</v>
      </c>
      <c r="K121" s="743">
        <f>IFERROR(#REF!/K$34,0)</f>
        <v>0</v>
      </c>
      <c r="L121" s="743">
        <f>IFERROR(#REF!/L$34,0)</f>
        <v>0</v>
      </c>
      <c r="M121" s="743">
        <f>IFERROR(#REF!/M$34,0)</f>
        <v>0</v>
      </c>
      <c r="N121" s="743">
        <f>IFERROR(#REF!/N$34,0)</f>
        <v>0</v>
      </c>
      <c r="O121" s="743">
        <f>IFERROR(#REF!/O$34,0)</f>
        <v>0</v>
      </c>
      <c r="P121" s="743">
        <f>IFERROR(#REF!/P$34,0)</f>
        <v>0</v>
      </c>
      <c r="Q121" s="743">
        <f>IFERROR(#REF!/Q$34,0)</f>
        <v>0</v>
      </c>
      <c r="T121" s="462"/>
    </row>
    <row r="122" spans="1:20">
      <c r="A122" s="467">
        <f t="shared" si="46"/>
        <v>110</v>
      </c>
      <c r="B122" s="180" t="s">
        <v>382</v>
      </c>
      <c r="C122" s="14"/>
      <c r="D122" s="14"/>
      <c r="E122" s="743">
        <f>IFERROR(#REF!/E$34,0)</f>
        <v>0</v>
      </c>
      <c r="F122" s="743">
        <f>IFERROR(#REF!/F$34,0)</f>
        <v>0</v>
      </c>
      <c r="G122" s="743">
        <f>IFERROR(#REF!/G$34,0)</f>
        <v>0</v>
      </c>
      <c r="H122" s="743">
        <f>IFERROR(#REF!/H$34,0)</f>
        <v>0</v>
      </c>
      <c r="I122" s="743">
        <f>IFERROR(#REF!/I$34,0)</f>
        <v>0</v>
      </c>
      <c r="J122" s="743">
        <f>IFERROR(#REF!/J$34,0)</f>
        <v>0</v>
      </c>
      <c r="K122" s="743">
        <f>IFERROR(#REF!/K$34,0)</f>
        <v>0</v>
      </c>
      <c r="L122" s="743">
        <f>IFERROR(#REF!/L$34,0)</f>
        <v>0</v>
      </c>
      <c r="M122" s="743">
        <f>IFERROR(#REF!/M$34,0)</f>
        <v>0</v>
      </c>
      <c r="N122" s="743">
        <f>IFERROR(#REF!/N$34,0)</f>
        <v>0</v>
      </c>
      <c r="O122" s="743">
        <f>IFERROR(#REF!/O$34,0)</f>
        <v>0</v>
      </c>
      <c r="P122" s="743">
        <f>IFERROR(#REF!/P$34,0)</f>
        <v>0</v>
      </c>
      <c r="Q122" s="743">
        <f>IFERROR(#REF!/Q$34,0)</f>
        <v>0</v>
      </c>
      <c r="T122" s="462"/>
    </row>
    <row r="123" spans="1:20">
      <c r="A123" s="467">
        <f t="shared" si="46"/>
        <v>111</v>
      </c>
      <c r="B123" s="180" t="s">
        <v>383</v>
      </c>
      <c r="C123" s="14"/>
      <c r="D123" s="14"/>
      <c r="E123" s="743">
        <f>IFERROR(#REF!/E$34,0)</f>
        <v>0</v>
      </c>
      <c r="F123" s="743">
        <f>IFERROR(#REF!/F$34,0)</f>
        <v>0</v>
      </c>
      <c r="G123" s="743">
        <f>IFERROR(#REF!/G$34,0)</f>
        <v>0</v>
      </c>
      <c r="H123" s="743">
        <f>IFERROR(#REF!/H$34,0)</f>
        <v>0</v>
      </c>
      <c r="I123" s="743">
        <f>IFERROR(#REF!/I$34,0)</f>
        <v>0</v>
      </c>
      <c r="J123" s="743">
        <f>IFERROR(#REF!/J$34,0)</f>
        <v>0</v>
      </c>
      <c r="K123" s="743">
        <f>IFERROR(#REF!/K$34,0)</f>
        <v>0</v>
      </c>
      <c r="L123" s="743">
        <f>IFERROR(#REF!/L$34,0)</f>
        <v>0</v>
      </c>
      <c r="M123" s="743">
        <f>IFERROR(#REF!/M$34,0)</f>
        <v>0</v>
      </c>
      <c r="N123" s="743">
        <f>IFERROR(#REF!/N$34,0)</f>
        <v>0</v>
      </c>
      <c r="O123" s="743">
        <f>IFERROR(#REF!/O$34,0)</f>
        <v>0</v>
      </c>
      <c r="P123" s="743">
        <f>IFERROR(#REF!/P$34,0)</f>
        <v>0</v>
      </c>
      <c r="Q123" s="743">
        <f>IFERROR(#REF!/Q$34,0)</f>
        <v>0</v>
      </c>
      <c r="T123" s="462"/>
    </row>
    <row r="124" spans="1:20">
      <c r="A124" s="467">
        <f t="shared" si="46"/>
        <v>112</v>
      </c>
      <c r="B124" s="180" t="s">
        <v>384</v>
      </c>
      <c r="C124" s="14"/>
      <c r="D124" s="14"/>
      <c r="E124" s="743">
        <f>IFERROR(#REF!/E$34,0)</f>
        <v>0</v>
      </c>
      <c r="F124" s="743">
        <f>IFERROR(#REF!/F$34,0)</f>
        <v>0</v>
      </c>
      <c r="G124" s="743">
        <f>IFERROR(#REF!/G$34,0)</f>
        <v>0</v>
      </c>
      <c r="H124" s="743">
        <f>IFERROR(#REF!/H$34,0)</f>
        <v>0</v>
      </c>
      <c r="I124" s="743">
        <f>IFERROR(#REF!/I$34,0)</f>
        <v>0</v>
      </c>
      <c r="J124" s="743">
        <f>IFERROR(#REF!/J$34,0)</f>
        <v>0</v>
      </c>
      <c r="K124" s="743">
        <f>IFERROR(#REF!/K$34,0)</f>
        <v>0</v>
      </c>
      <c r="L124" s="743">
        <f>IFERROR(#REF!/L$34,0)</f>
        <v>0</v>
      </c>
      <c r="M124" s="743">
        <f>IFERROR(#REF!/M$34,0)</f>
        <v>0</v>
      </c>
      <c r="N124" s="743">
        <f>IFERROR(#REF!/N$34,0)</f>
        <v>0</v>
      </c>
      <c r="O124" s="743">
        <f>IFERROR(#REF!/O$34,0)</f>
        <v>0</v>
      </c>
      <c r="P124" s="743">
        <f>IFERROR(#REF!/P$34,0)</f>
        <v>0</v>
      </c>
      <c r="Q124" s="743">
        <f>IFERROR(#REF!/Q$34,0)</f>
        <v>0</v>
      </c>
      <c r="T124" s="462"/>
    </row>
    <row r="125" spans="1:20">
      <c r="A125" s="467">
        <f t="shared" si="46"/>
        <v>113</v>
      </c>
      <c r="B125" s="14" t="s">
        <v>345</v>
      </c>
      <c r="C125" s="14"/>
      <c r="D125" s="14"/>
      <c r="E125" s="743">
        <f t="shared" ref="E125:Q125" si="73">IFERROR(E47/E$34,0)</f>
        <v>0</v>
      </c>
      <c r="F125" s="743">
        <f t="shared" si="73"/>
        <v>0</v>
      </c>
      <c r="G125" s="743">
        <f t="shared" si="73"/>
        <v>0</v>
      </c>
      <c r="H125" s="743">
        <f t="shared" si="73"/>
        <v>0</v>
      </c>
      <c r="I125" s="743">
        <f t="shared" si="73"/>
        <v>0</v>
      </c>
      <c r="J125" s="743">
        <f t="shared" si="73"/>
        <v>0</v>
      </c>
      <c r="K125" s="743">
        <f t="shared" si="73"/>
        <v>0</v>
      </c>
      <c r="L125" s="743">
        <f t="shared" si="73"/>
        <v>0</v>
      </c>
      <c r="M125" s="743">
        <f t="shared" si="73"/>
        <v>0</v>
      </c>
      <c r="N125" s="743">
        <f t="shared" si="73"/>
        <v>0</v>
      </c>
      <c r="O125" s="743">
        <f t="shared" si="73"/>
        <v>0</v>
      </c>
      <c r="P125" s="743">
        <f t="shared" si="73"/>
        <v>0</v>
      </c>
      <c r="Q125" s="743">
        <f t="shared" si="73"/>
        <v>0</v>
      </c>
      <c r="T125" s="462"/>
    </row>
    <row r="126" spans="1:20">
      <c r="A126" s="467">
        <f t="shared" si="46"/>
        <v>114</v>
      </c>
      <c r="B126" s="180" t="s">
        <v>107</v>
      </c>
      <c r="C126" s="14"/>
      <c r="D126" s="14"/>
      <c r="E126" s="743">
        <f t="shared" ref="E126:Q126" si="74">IFERROR(E48/E$34,0)</f>
        <v>6.3448029407016826E-2</v>
      </c>
      <c r="F126" s="743">
        <f t="shared" si="74"/>
        <v>8.0394550132720413E-2</v>
      </c>
      <c r="G126" s="743">
        <f t="shared" si="74"/>
        <v>0.10187460815105891</v>
      </c>
      <c r="H126" s="743">
        <f t="shared" si="74"/>
        <v>0.10187460815105891</v>
      </c>
      <c r="I126" s="743">
        <f t="shared" si="74"/>
        <v>5.7991678621514359E-2</v>
      </c>
      <c r="J126" s="743">
        <f t="shared" si="74"/>
        <v>5.7991678621514359E-2</v>
      </c>
      <c r="K126" s="743">
        <f t="shared" si="74"/>
        <v>5.7991678621514359E-2</v>
      </c>
      <c r="L126" s="743">
        <f t="shared" si="74"/>
        <v>5.7991678621514359E-2</v>
      </c>
      <c r="M126" s="743">
        <f t="shared" si="74"/>
        <v>5.7991678621514359E-2</v>
      </c>
      <c r="N126" s="743">
        <f t="shared" si="74"/>
        <v>5.7991678621514359E-2</v>
      </c>
      <c r="O126" s="743">
        <f t="shared" si="74"/>
        <v>5.7991678621514359E-2</v>
      </c>
      <c r="P126" s="743">
        <f t="shared" si="74"/>
        <v>5.7991678621514359E-2</v>
      </c>
      <c r="Q126" s="743">
        <f t="shared" si="74"/>
        <v>5.2329413985333736E-2</v>
      </c>
      <c r="T126" s="462"/>
    </row>
    <row r="127" spans="1:20">
      <c r="A127" s="467">
        <f t="shared" si="46"/>
        <v>115</v>
      </c>
      <c r="B127" s="180" t="s">
        <v>149</v>
      </c>
      <c r="C127" s="14"/>
      <c r="D127" s="14"/>
      <c r="E127" s="741">
        <f t="shared" ref="E127:Q127" si="75">IFERROR(E50/E$34,0)</f>
        <v>1.3734624593503199E-2</v>
      </c>
      <c r="F127" s="741">
        <f t="shared" si="75"/>
        <v>1.7403045859047173E-2</v>
      </c>
      <c r="G127" s="741">
        <f t="shared" si="75"/>
        <v>2.2052844062171832E-2</v>
      </c>
      <c r="H127" s="741">
        <f t="shared" si="75"/>
        <v>2.2052844062171832E-2</v>
      </c>
      <c r="I127" s="741">
        <f t="shared" si="75"/>
        <v>1.2553485787621626E-2</v>
      </c>
      <c r="J127" s="741">
        <f t="shared" si="75"/>
        <v>1.2553485787621626E-2</v>
      </c>
      <c r="K127" s="741">
        <f t="shared" si="75"/>
        <v>1.2553485787621626E-2</v>
      </c>
      <c r="L127" s="741">
        <f t="shared" si="75"/>
        <v>1.2553485787621626E-2</v>
      </c>
      <c r="M127" s="741">
        <f t="shared" si="75"/>
        <v>1.2553485787621626E-2</v>
      </c>
      <c r="N127" s="741">
        <f t="shared" si="75"/>
        <v>1.2553485787621626E-2</v>
      </c>
      <c r="O127" s="741">
        <f t="shared" si="75"/>
        <v>1.2553485787621626E-2</v>
      </c>
      <c r="P127" s="741">
        <f t="shared" si="75"/>
        <v>1.2553485787621626E-2</v>
      </c>
      <c r="Q127" s="741">
        <f t="shared" si="75"/>
        <v>1.1327772714200166E-2</v>
      </c>
      <c r="T127" s="462"/>
    </row>
    <row r="128" spans="1:20">
      <c r="A128" s="467">
        <f t="shared" si="46"/>
        <v>116</v>
      </c>
      <c r="B128" s="132" t="s">
        <v>346</v>
      </c>
      <c r="C128" s="14"/>
      <c r="D128" s="132"/>
      <c r="E128" s="756">
        <f t="shared" ref="E128:Q128" si="76">IFERROR(E48/E$34,0)</f>
        <v>6.3448029407016826E-2</v>
      </c>
      <c r="F128" s="756">
        <f t="shared" si="76"/>
        <v>8.0394550132720413E-2</v>
      </c>
      <c r="G128" s="756">
        <f t="shared" si="76"/>
        <v>0.10187460815105891</v>
      </c>
      <c r="H128" s="756">
        <f t="shared" si="76"/>
        <v>0.10187460815105891</v>
      </c>
      <c r="I128" s="756">
        <f t="shared" si="76"/>
        <v>5.7991678621514359E-2</v>
      </c>
      <c r="J128" s="756">
        <f t="shared" si="76"/>
        <v>5.7991678621514359E-2</v>
      </c>
      <c r="K128" s="756">
        <f t="shared" si="76"/>
        <v>5.7991678621514359E-2</v>
      </c>
      <c r="L128" s="756">
        <f t="shared" si="76"/>
        <v>5.7991678621514359E-2</v>
      </c>
      <c r="M128" s="756">
        <f t="shared" si="76"/>
        <v>5.7991678621514359E-2</v>
      </c>
      <c r="N128" s="756">
        <f t="shared" si="76"/>
        <v>5.7991678621514359E-2</v>
      </c>
      <c r="O128" s="756">
        <f t="shared" si="76"/>
        <v>5.7991678621514359E-2</v>
      </c>
      <c r="P128" s="756">
        <f t="shared" si="76"/>
        <v>5.7991678621514359E-2</v>
      </c>
      <c r="Q128" s="756">
        <f t="shared" si="76"/>
        <v>5.2329413985333736E-2</v>
      </c>
      <c r="T128" s="462"/>
    </row>
    <row r="129" spans="1:20">
      <c r="A129" s="467">
        <f t="shared" si="46"/>
        <v>117</v>
      </c>
      <c r="B129" s="132" t="s">
        <v>350</v>
      </c>
      <c r="C129" s="14"/>
      <c r="D129" s="16"/>
      <c r="E129" s="754"/>
      <c r="F129" s="755">
        <f t="shared" ref="F129:Q129" si="77">IFERROR(F50/F$34,0)</f>
        <v>1.7403045859047173E-2</v>
      </c>
      <c r="G129" s="755">
        <f t="shared" si="77"/>
        <v>2.2052844062171832E-2</v>
      </c>
      <c r="H129" s="755">
        <f t="shared" si="77"/>
        <v>2.2052844062171832E-2</v>
      </c>
      <c r="I129" s="755">
        <f t="shared" si="77"/>
        <v>1.2553485787621626E-2</v>
      </c>
      <c r="J129" s="755">
        <f t="shared" si="77"/>
        <v>1.2553485787621626E-2</v>
      </c>
      <c r="K129" s="755">
        <f t="shared" si="77"/>
        <v>1.2553485787621626E-2</v>
      </c>
      <c r="L129" s="755">
        <f t="shared" si="77"/>
        <v>1.2553485787621626E-2</v>
      </c>
      <c r="M129" s="755">
        <f t="shared" si="77"/>
        <v>1.2553485787621626E-2</v>
      </c>
      <c r="N129" s="755">
        <f t="shared" si="77"/>
        <v>1.2553485787621626E-2</v>
      </c>
      <c r="O129" s="755">
        <f t="shared" si="77"/>
        <v>1.2553485787621626E-2</v>
      </c>
      <c r="P129" s="755">
        <f t="shared" si="77"/>
        <v>1.2553485787621626E-2</v>
      </c>
      <c r="Q129" s="755">
        <f t="shared" si="77"/>
        <v>1.1327772714200166E-2</v>
      </c>
      <c r="T129" s="462"/>
    </row>
    <row r="130" spans="1:20">
      <c r="A130" s="467">
        <f t="shared" si="46"/>
        <v>118</v>
      </c>
      <c r="B130" s="484" t="s">
        <v>385</v>
      </c>
      <c r="C130" s="484"/>
      <c r="D130" s="133"/>
      <c r="E130" s="751"/>
      <c r="F130" s="752">
        <f t="shared" ref="F130:Q130" si="78">IFERROR(F51/F77,0)</f>
        <v>3.6238377366996577</v>
      </c>
      <c r="G130" s="752">
        <f t="shared" si="78"/>
        <v>2.6308349974493241</v>
      </c>
      <c r="H130" s="752">
        <f t="shared" si="78"/>
        <v>1.6869563840835315</v>
      </c>
      <c r="I130" s="752">
        <f t="shared" si="78"/>
        <v>4.4490300636670641</v>
      </c>
      <c r="J130" s="752">
        <f t="shared" si="78"/>
        <v>2.9647731986376784</v>
      </c>
      <c r="K130" s="752">
        <f t="shared" si="78"/>
        <v>2.223201908321307</v>
      </c>
      <c r="L130" s="752">
        <f t="shared" si="78"/>
        <v>1.7784376060841953</v>
      </c>
      <c r="M130" s="752">
        <f t="shared" si="78"/>
        <v>1.4820026397454569</v>
      </c>
      <c r="N130" s="752">
        <f t="shared" si="78"/>
        <v>1.2703000688209136</v>
      </c>
      <c r="O130" s="752">
        <f t="shared" si="78"/>
        <v>2.6672109864085209</v>
      </c>
      <c r="P130" s="752">
        <f t="shared" si="78"/>
        <v>2.0391507403676985</v>
      </c>
      <c r="Q130" s="752">
        <f t="shared" si="78"/>
        <v>1.6505023436346429</v>
      </c>
      <c r="T130" s="462"/>
    </row>
    <row r="131" spans="1:20">
      <c r="A131" s="467">
        <f t="shared" si="46"/>
        <v>119</v>
      </c>
      <c r="B131" s="13" t="s">
        <v>386</v>
      </c>
      <c r="C131" s="13"/>
      <c r="D131" s="13"/>
      <c r="E131" s="753"/>
      <c r="F131" s="750">
        <f t="shared" ref="F131:Q131" si="79">IFERROR(F51/F79,0)</f>
        <v>1.8329914886035827</v>
      </c>
      <c r="G131" s="750">
        <f t="shared" si="79"/>
        <v>1.5347035628212846</v>
      </c>
      <c r="H131" s="750">
        <f t="shared" si="79"/>
        <v>4.4490300636670641</v>
      </c>
      <c r="I131" s="750">
        <f t="shared" si="79"/>
        <v>2.9647731986376784</v>
      </c>
      <c r="J131" s="750">
        <f t="shared" si="79"/>
        <v>2.223201908321307</v>
      </c>
      <c r="K131" s="750">
        <f t="shared" si="79"/>
        <v>1.7784376060841953</v>
      </c>
      <c r="L131" s="750">
        <f t="shared" si="79"/>
        <v>1.4820026397454569</v>
      </c>
      <c r="M131" s="750">
        <f t="shared" si="79"/>
        <v>1.2703000688209136</v>
      </c>
      <c r="N131" s="750">
        <f t="shared" si="79"/>
        <v>2.6672109864085209</v>
      </c>
      <c r="O131" s="750">
        <f t="shared" si="79"/>
        <v>2.0391507403676985</v>
      </c>
      <c r="P131" s="750">
        <f t="shared" si="79"/>
        <v>1.6505023436346429</v>
      </c>
      <c r="Q131" s="750">
        <f t="shared" si="79"/>
        <v>1.1875549490063404</v>
      </c>
      <c r="T131" s="462"/>
    </row>
    <row r="132" spans="1:20">
      <c r="A132" s="467">
        <f t="shared" si="46"/>
        <v>120</v>
      </c>
      <c r="B132" s="181" t="s">
        <v>362</v>
      </c>
      <c r="C132" s="122"/>
      <c r="D132" s="122"/>
      <c r="E132" s="122"/>
      <c r="F132" s="122"/>
      <c r="G132" s="122"/>
      <c r="H132" s="122"/>
      <c r="I132" s="122"/>
      <c r="J132" s="122"/>
      <c r="K132" s="122"/>
      <c r="L132" s="122"/>
      <c r="M132" s="122"/>
      <c r="N132" s="122"/>
      <c r="O132" s="122"/>
      <c r="P132" s="122"/>
      <c r="Q132" s="122"/>
      <c r="T132" s="462"/>
    </row>
    <row r="133" spans="1:20">
      <c r="A133" s="467">
        <f t="shared" si="46"/>
        <v>121</v>
      </c>
      <c r="B133" s="13"/>
      <c r="C133" s="13"/>
      <c r="D133" s="13"/>
      <c r="E133" s="764"/>
      <c r="F133" s="765"/>
      <c r="G133" s="765"/>
      <c r="H133" s="765"/>
      <c r="I133" s="765"/>
      <c r="J133" s="765"/>
      <c r="K133" s="765"/>
      <c r="L133" s="765"/>
      <c r="M133" s="765"/>
      <c r="N133" s="765"/>
      <c r="O133" s="765"/>
      <c r="P133" s="765"/>
      <c r="Q133" s="765"/>
      <c r="T133" s="462"/>
    </row>
    <row r="134" spans="1:20">
      <c r="A134" s="467">
        <f t="shared" si="46"/>
        <v>122</v>
      </c>
      <c r="B134" s="13" t="s">
        <v>387</v>
      </c>
      <c r="C134" s="13"/>
      <c r="D134" s="13"/>
      <c r="E134" s="760">
        <f>E102-E128</f>
        <v>0.93609455001620456</v>
      </c>
      <c r="F134" s="745">
        <f>IF(OR(F75=0,F$34=0),0,F75/F$34)</f>
        <v>0.21235389820708131</v>
      </c>
      <c r="G134" s="745">
        <f>IF(OR(G75=0,G$34=0),0,G75/G$34)</f>
        <v>0.38890914254149361</v>
      </c>
      <c r="H134" s="745">
        <f t="shared" ref="H134:Q134" si="80">IF(OR(H75=0,H$34=0),0,H75/H$34)</f>
        <v>-0.57949414146534417</v>
      </c>
      <c r="I134" s="745">
        <f t="shared" si="80"/>
        <v>0.10086371580372856</v>
      </c>
      <c r="J134" s="745">
        <f t="shared" si="80"/>
        <v>0.1008475237700871</v>
      </c>
      <c r="K134" s="745">
        <f t="shared" si="80"/>
        <v>0.10083123728291604</v>
      </c>
      <c r="L134" s="745">
        <f t="shared" si="80"/>
        <v>0.1008148557912365</v>
      </c>
      <c r="M134" s="745">
        <f t="shared" si="80"/>
        <v>0.1007983787408555</v>
      </c>
      <c r="N134" s="745">
        <f t="shared" si="80"/>
        <v>-0.3695623603163094</v>
      </c>
      <c r="O134" s="745">
        <f t="shared" si="80"/>
        <v>0.10350881003206323</v>
      </c>
      <c r="P134" s="745">
        <f t="shared" si="80"/>
        <v>0.10350804771475373</v>
      </c>
      <c r="Q134" s="745">
        <f t="shared" si="80"/>
        <v>0.19104016739791974</v>
      </c>
      <c r="T134" s="462"/>
    </row>
    <row r="135" spans="1:20">
      <c r="A135" s="467">
        <f t="shared" si="46"/>
        <v>123</v>
      </c>
      <c r="B135" s="13"/>
      <c r="C135" s="13"/>
      <c r="D135" s="13"/>
      <c r="E135" s="771"/>
      <c r="F135" s="772"/>
      <c r="G135" s="772"/>
      <c r="H135" s="772"/>
      <c r="I135" s="772"/>
      <c r="J135" s="772"/>
      <c r="K135" s="772"/>
      <c r="L135" s="772"/>
      <c r="M135" s="772"/>
      <c r="N135" s="772"/>
      <c r="O135" s="772"/>
      <c r="P135" s="772"/>
      <c r="Q135" s="772"/>
      <c r="T135" s="462"/>
    </row>
    <row r="136" spans="1:20">
      <c r="A136" s="467">
        <f t="shared" si="46"/>
        <v>124</v>
      </c>
      <c r="B136" s="13" t="s">
        <v>364</v>
      </c>
      <c r="C136" s="13"/>
      <c r="D136" s="13"/>
      <c r="E136" s="767"/>
      <c r="F136" s="1038">
        <f>E77</f>
        <v>25000.400000000023</v>
      </c>
      <c r="G136" s="768">
        <f t="shared" ref="G136:Q136" si="81">F138</f>
        <v>25000.612353898232</v>
      </c>
      <c r="H136" s="768">
        <f t="shared" si="81"/>
        <v>25001.001263040773</v>
      </c>
      <c r="I136" s="768">
        <f t="shared" si="81"/>
        <v>25000.421768899309</v>
      </c>
      <c r="J136" s="768">
        <f t="shared" si="81"/>
        <v>25000.522632615113</v>
      </c>
      <c r="K136" s="768">
        <f t="shared" si="81"/>
        <v>25000.623480138882</v>
      </c>
      <c r="L136" s="768">
        <f t="shared" si="81"/>
        <v>25000.724311376165</v>
      </c>
      <c r="M136" s="768">
        <f t="shared" si="81"/>
        <v>25000.825126231957</v>
      </c>
      <c r="N136" s="768">
        <f t="shared" si="81"/>
        <v>25000.925924610699</v>
      </c>
      <c r="O136" s="768">
        <f t="shared" si="81"/>
        <v>25000.556362250383</v>
      </c>
      <c r="P136" s="768">
        <f t="shared" si="81"/>
        <v>25000.659871060416</v>
      </c>
      <c r="Q136" s="768">
        <f t="shared" si="81"/>
        <v>25000.763379108132</v>
      </c>
      <c r="T136" s="462"/>
    </row>
    <row r="137" spans="1:20">
      <c r="A137" s="467">
        <f t="shared" si="46"/>
        <v>125</v>
      </c>
      <c r="B137" s="13"/>
      <c r="C137" s="13"/>
      <c r="D137" s="13"/>
      <c r="E137" s="759"/>
      <c r="F137" s="758"/>
      <c r="G137" s="766"/>
      <c r="H137" s="766"/>
      <c r="I137" s="766"/>
      <c r="J137" s="766"/>
      <c r="K137" s="766"/>
      <c r="L137" s="766"/>
      <c r="M137" s="766"/>
      <c r="N137" s="766"/>
      <c r="O137" s="766"/>
      <c r="P137" s="766"/>
      <c r="Q137" s="766"/>
      <c r="T137" s="462"/>
    </row>
    <row r="138" spans="1:20">
      <c r="A138" s="467">
        <f t="shared" si="46"/>
        <v>126</v>
      </c>
      <c r="B138" s="16" t="s">
        <v>365</v>
      </c>
      <c r="C138" s="16"/>
      <c r="D138" s="16"/>
      <c r="E138" s="769">
        <f>SUM(E136,E134)</f>
        <v>0.93609455001620456</v>
      </c>
      <c r="F138" s="770">
        <f>SUM(F136,F134)</f>
        <v>25000.612353898232</v>
      </c>
      <c r="G138" s="770">
        <f>SUM(G136,G134)</f>
        <v>25001.001263040773</v>
      </c>
      <c r="H138" s="770">
        <f t="shared" ref="H138:Q138" si="82">SUM(H136,H134)</f>
        <v>25000.421768899309</v>
      </c>
      <c r="I138" s="770">
        <f t="shared" si="82"/>
        <v>25000.522632615113</v>
      </c>
      <c r="J138" s="770">
        <f t="shared" si="82"/>
        <v>25000.623480138882</v>
      </c>
      <c r="K138" s="770">
        <f t="shared" si="82"/>
        <v>25000.724311376165</v>
      </c>
      <c r="L138" s="770">
        <f t="shared" si="82"/>
        <v>25000.825126231957</v>
      </c>
      <c r="M138" s="770">
        <f t="shared" si="82"/>
        <v>25000.925924610699</v>
      </c>
      <c r="N138" s="770">
        <f t="shared" si="82"/>
        <v>25000.556362250383</v>
      </c>
      <c r="O138" s="770">
        <f t="shared" si="82"/>
        <v>25000.659871060416</v>
      </c>
      <c r="P138" s="770">
        <f t="shared" si="82"/>
        <v>25000.763379108132</v>
      </c>
      <c r="Q138" s="770">
        <f t="shared" si="82"/>
        <v>25000.954419275531</v>
      </c>
      <c r="T138" s="462"/>
    </row>
    <row r="139" spans="1:20">
      <c r="A139" s="467">
        <f t="shared" si="46"/>
        <v>127</v>
      </c>
      <c r="T139" s="462"/>
    </row>
    <row r="140" spans="1:20">
      <c r="A140" s="467">
        <f t="shared" si="46"/>
        <v>128</v>
      </c>
      <c r="B140" s="40" t="s">
        <v>388</v>
      </c>
      <c r="F140" s="664">
        <f>IFERROR(#REF!/F39,0)</f>
        <v>0</v>
      </c>
      <c r="G140" s="664">
        <f>IFERROR(#REF!/G39,0)</f>
        <v>0</v>
      </c>
      <c r="H140" s="664">
        <f>IFERROR(#REF!/H39,0)</f>
        <v>0</v>
      </c>
      <c r="I140" s="664">
        <f>IFERROR(#REF!/I39,0)</f>
        <v>0</v>
      </c>
      <c r="J140" s="664">
        <f>IFERROR(#REF!/J39,0)</f>
        <v>0</v>
      </c>
      <c r="K140" s="664">
        <f>IFERROR(#REF!/K39,0)</f>
        <v>0</v>
      </c>
      <c r="L140" s="664">
        <f>IFERROR(#REF!/L39,0)</f>
        <v>0</v>
      </c>
      <c r="M140" s="664">
        <f>IFERROR(#REF!/M39,0)</f>
        <v>0</v>
      </c>
      <c r="N140" s="664">
        <f>IFERROR(#REF!/N39,0)</f>
        <v>0</v>
      </c>
      <c r="O140" s="664">
        <f>IFERROR(#REF!/O39,0)</f>
        <v>0</v>
      </c>
      <c r="P140" s="664">
        <f>IFERROR(#REF!/P39,0)</f>
        <v>0</v>
      </c>
      <c r="Q140" s="664">
        <f>IFERROR(#REF!/Q39,0)</f>
        <v>0</v>
      </c>
      <c r="T140" s="462"/>
    </row>
    <row r="141" spans="1:20">
      <c r="A141" s="467">
        <f t="shared" si="46"/>
        <v>129</v>
      </c>
      <c r="B141" s="134" t="s">
        <v>389</v>
      </c>
      <c r="C141" s="134"/>
      <c r="D141" s="134"/>
      <c r="F141" s="62">
        <f>Statistics!$G$20</f>
        <v>13.25</v>
      </c>
      <c r="G141" s="62">
        <f>Statistics!$G$20</f>
        <v>13.25</v>
      </c>
      <c r="H141" s="62">
        <f>Statistics!$G$20</f>
        <v>13.25</v>
      </c>
      <c r="I141" s="62">
        <f>Statistics!$G$20</f>
        <v>13.25</v>
      </c>
      <c r="J141" s="62">
        <f>Statistics!$G$20</f>
        <v>13.25</v>
      </c>
      <c r="K141" s="62">
        <f>Statistics!$G$20</f>
        <v>13.25</v>
      </c>
      <c r="L141" s="62">
        <f>Statistics!$G$20</f>
        <v>13.25</v>
      </c>
      <c r="M141" s="62">
        <f>Statistics!$G$20</f>
        <v>13.25</v>
      </c>
      <c r="N141" s="62">
        <f>Statistics!$G$20</f>
        <v>13.25</v>
      </c>
      <c r="O141" s="62">
        <f>Statistics!$G$20</f>
        <v>13.25</v>
      </c>
      <c r="P141" s="62">
        <f>Statistics!$G$20</f>
        <v>13.25</v>
      </c>
      <c r="Q141" s="62">
        <f>Statistics!$G$20</f>
        <v>13.25</v>
      </c>
      <c r="T141" s="462"/>
    </row>
    <row r="142" spans="1:20">
      <c r="A142" s="467">
        <f t="shared" si="46"/>
        <v>130</v>
      </c>
      <c r="B142" s="40" t="s">
        <v>390</v>
      </c>
      <c r="F142" s="70">
        <f>IFERROR(#REF!/Statistics!$H$20,0)</f>
        <v>0</v>
      </c>
      <c r="G142" s="70">
        <f>IFERROR(#REF!/Statistics!$H$20,0)</f>
        <v>0</v>
      </c>
      <c r="H142" s="70">
        <f>IFERROR(#REF!/Statistics!$H$20,0)</f>
        <v>0</v>
      </c>
      <c r="I142" s="70">
        <f>IFERROR(#REF!/Statistics!$H$20,0)</f>
        <v>0</v>
      </c>
      <c r="J142" s="70">
        <f>IFERROR(#REF!/Statistics!$H$20,0)</f>
        <v>0</v>
      </c>
      <c r="K142" s="70">
        <f>IFERROR(#REF!/Statistics!$H$20,0)</f>
        <v>0</v>
      </c>
      <c r="L142" s="70">
        <f>IFERROR(#REF!/Statistics!$H$20,0)</f>
        <v>0</v>
      </c>
      <c r="M142" s="70">
        <f>IFERROR(#REF!/Statistics!$H$20,0)</f>
        <v>0</v>
      </c>
      <c r="N142" s="70">
        <f>IFERROR(#REF!/Statistics!$H$20,0)</f>
        <v>0</v>
      </c>
      <c r="O142" s="70">
        <f>IFERROR(#REF!/Statistics!$H$20,0)</f>
        <v>0</v>
      </c>
      <c r="P142" s="70">
        <f>IFERROR(#REF!/Statistics!$H$20,0)</f>
        <v>0</v>
      </c>
      <c r="Q142" s="70">
        <f>IFERROR(#REF!/Statistics!$H$20,0)</f>
        <v>0</v>
      </c>
      <c r="T142" s="462"/>
    </row>
    <row r="143" spans="1:20">
      <c r="A143" s="467">
        <f t="shared" si="46"/>
        <v>131</v>
      </c>
      <c r="B143" s="40" t="s">
        <v>391</v>
      </c>
      <c r="F143" s="70">
        <f>IFERROR(F39/Statistics!$H$20,0)</f>
        <v>1577.1191927083335</v>
      </c>
      <c r="G143" s="70">
        <f>IFERROR(G39/Statistics!$H$20,0)</f>
        <v>3154.2383854166669</v>
      </c>
      <c r="H143" s="70">
        <f>IFERROR(H39/Statistics!$H$20,0)</f>
        <v>3154.2383854166669</v>
      </c>
      <c r="I143" s="70">
        <f>IFERROR(I39/Statistics!$H$20,0)</f>
        <v>3154.2383854166669</v>
      </c>
      <c r="J143" s="70">
        <f>IFERROR(J39/Statistics!$H$20,0)</f>
        <v>3154.2383854166669</v>
      </c>
      <c r="K143" s="70">
        <f>IFERROR(K39/Statistics!$H$20,0)</f>
        <v>3154.2383854166669</v>
      </c>
      <c r="L143" s="70">
        <f>IFERROR(L39/Statistics!$H$20,0)</f>
        <v>3154.2383854166669</v>
      </c>
      <c r="M143" s="70">
        <f>IFERROR(M39/Statistics!$H$20,0)</f>
        <v>3154.2383854166669</v>
      </c>
      <c r="N143" s="70">
        <f>IFERROR(N39/Statistics!$H$20,0)</f>
        <v>3154.2383854166669</v>
      </c>
      <c r="O143" s="70">
        <f>IFERROR(O39/Statistics!$H$20,0)</f>
        <v>3154.2383854166669</v>
      </c>
      <c r="P143" s="70">
        <f>IFERROR(P39/Statistics!$H$20,0)</f>
        <v>3154.2383854166669</v>
      </c>
      <c r="Q143" s="70">
        <f>IFERROR(Q39/Statistics!$H$20,0)</f>
        <v>3154.2383854166669</v>
      </c>
      <c r="T143" s="462"/>
    </row>
    <row r="145" spans="1:2">
      <c r="A145" s="117"/>
      <c r="B145" s="117"/>
    </row>
  </sheetData>
  <sheetProtection algorithmName="SHA-512" hashValue="wsaQ9jDQ6Zxhz2nRTjUIcVFhHKFbBP6bqJsc95LFJVy917oIYRxvU8XXkLZRYgdz9W5gImx2stwB3M6+5LoqNQ==" saltValue="Ij6BoGgAlrWuDpLFJfHziw==" spinCount="100000" sheet="1" objects="1" scenarios="1"/>
  <conditionalFormatting sqref="E64:E67 E70:Q70 E66:Q66 E68:Q68">
    <cfRule type="cellIs" dxfId="69" priority="181" stopIfTrue="1" operator="equal">
      <formula>0</formula>
    </cfRule>
  </conditionalFormatting>
  <conditionalFormatting sqref="E86:Q102">
    <cfRule type="cellIs" dxfId="68" priority="182" stopIfTrue="1" operator="equal">
      <formula>0</formula>
    </cfRule>
  </conditionalFormatting>
  <conditionalFormatting sqref="E108:Q128">
    <cfRule type="cellIs" dxfId="67" priority="183" stopIfTrue="1" operator="equal">
      <formula>0</formula>
    </cfRule>
  </conditionalFormatting>
  <conditionalFormatting sqref="D1">
    <cfRule type="expression" dxfId="66" priority="4" stopIfTrue="1">
      <formula>MOD(ROW(),2)=0</formula>
    </cfRule>
  </conditionalFormatting>
  <conditionalFormatting sqref="E129:Q131">
    <cfRule type="cellIs" dxfId="65" priority="184" stopIfTrue="1" operator="equal">
      <formula>0</formula>
    </cfRule>
  </conditionalFormatting>
  <conditionalFormatting sqref="E134:Q134">
    <cfRule type="cellIs" dxfId="64" priority="185" stopIfTrue="1" operator="equal">
      <formula>0</formula>
    </cfRule>
  </conditionalFormatting>
  <conditionalFormatting sqref="E135:Q138">
    <cfRule type="cellIs" dxfId="63" priority="186" stopIfTrue="1" operator="equal">
      <formula>0</formula>
    </cfRule>
  </conditionalFormatting>
  <conditionalFormatting sqref="F140:Q143">
    <cfRule type="cellIs" dxfId="62" priority="187" stopIfTrue="1" operator="equal">
      <formula>0</formula>
    </cfRule>
  </conditionalFormatting>
  <hyperlinks>
    <hyperlink ref="D1" location="HypLink1" display="HypLink1" xr:uid="{02E0081D-2110-4DA5-BE04-548076665262}"/>
  </hyperlinks>
  <pageMargins left="0.25" right="0.25" top="0.5" bottom="0.45" header="0.25" footer="0.25"/>
  <pageSetup scale="59" fitToHeight="3" orientation="landscape" r:id="rId1"/>
  <headerFooter>
    <oddHeader xml:space="preserve">&amp;L &amp;C &amp;R </oddHeader>
    <oddFooter>&amp;L&amp;7&amp;D  at &amp;T Mike 702.486.8879&amp;C&amp;7&amp;F  &amp;A&amp;R&amp;7Page &amp;P of &amp;N</oddFooter>
  </headerFooter>
  <rowBreaks count="2" manualBreakCount="2">
    <brk id="61" max="16" man="1"/>
    <brk id="104" max="16" man="1"/>
  </rowBreaks>
  <legacyDrawing r:id="rId2"/>
  <extLst>
    <ext xmlns:x14="http://schemas.microsoft.com/office/spreadsheetml/2009/9/main" uri="{78C0D931-6437-407d-A8EE-F0AAD7539E65}">
      <x14:conditionalFormattings>
        <x14:conditionalFormatting xmlns:xm="http://schemas.microsoft.com/office/excel/2006/main">
          <x14:cfRule type="cellIs" priority="9" operator="notBetween" id="{43A297F8-FFBE-417E-89DE-D5D0089D6E55}">
            <xm:f>0.95*' Enrol &amp; Rev'!$G$142</xm:f>
            <xm:f>1.05*' Enrol &amp; Rev'!$G$142</xm:f>
            <x14:dxf>
              <fill>
                <patternFill>
                  <bgColor rgb="FFFF0000"/>
                </patternFill>
              </fill>
            </x14:dxf>
          </x14:cfRule>
          <xm:sqref>C34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0370-FC1C-4B54-A404-4F56C11DD8BD}">
  <sheetPr codeName="Sheet16">
    <tabColor rgb="FFFFFF00"/>
  </sheetPr>
  <dimension ref="A1:Y472"/>
  <sheetViews>
    <sheetView showGridLines="0" zoomScale="85" zoomScaleNormal="85" workbookViewId="0">
      <pane xSplit="6" ySplit="10" topLeftCell="G11" activePane="bottomRight" state="frozen"/>
      <selection pane="topRight" activeCell="G1" sqref="G1"/>
      <selection pane="bottomLeft" activeCell="A11" sqref="A11"/>
      <selection pane="bottomRight" activeCell="G11" sqref="G11"/>
    </sheetView>
  </sheetViews>
  <sheetFormatPr defaultColWidth="8.77734375" defaultRowHeight="13.8" outlineLevelRow="1"/>
  <cols>
    <col min="1" max="1" width="8.21875" style="75" customWidth="1"/>
    <col min="2" max="2" width="47.77734375" style="75" customWidth="1"/>
    <col min="3" max="3" width="20.21875" style="75" customWidth="1"/>
    <col min="4" max="6" width="13.21875" style="75" customWidth="1"/>
    <col min="7" max="7" width="15.21875" style="75" customWidth="1"/>
    <col min="8" max="8" width="16.21875" style="79" customWidth="1"/>
    <col min="9" max="10" width="21" style="79" customWidth="1"/>
    <col min="11" max="12" width="17" style="75" customWidth="1"/>
    <col min="13" max="13" width="16.5546875" style="75" customWidth="1"/>
    <col min="14" max="14" width="2.5546875" style="75" customWidth="1"/>
    <col min="15" max="15" width="70.44140625" style="416" customWidth="1"/>
    <col min="16" max="18" width="12.5546875" style="75" customWidth="1"/>
    <col min="19" max="24" width="16.44140625" style="75" customWidth="1"/>
    <col min="25" max="25" width="26.21875" style="75" customWidth="1"/>
    <col min="26" max="16384" width="8.77734375" style="75"/>
  </cols>
  <sheetData>
    <row r="1" spans="1:25" ht="17.399999999999999">
      <c r="A1" s="191" t="s">
        <v>392</v>
      </c>
      <c r="B1" s="74"/>
      <c r="D1" s="558" t="s">
        <v>2</v>
      </c>
      <c r="Q1" s="44"/>
      <c r="Y1" s="416"/>
    </row>
    <row r="2" spans="1:25" ht="15.6">
      <c r="A2" s="189" t="str">
        <f>SchoolName</f>
        <v>Southern Nevada Trades High School</v>
      </c>
      <c r="B2" s="76"/>
      <c r="Y2" s="416"/>
    </row>
    <row r="3" spans="1:25">
      <c r="A3" s="78" t="s">
        <v>72</v>
      </c>
      <c r="L3" s="81"/>
      <c r="Y3" s="416"/>
    </row>
    <row r="4" spans="1:25">
      <c r="A4" s="80" t="s">
        <v>73</v>
      </c>
      <c r="Y4" s="416"/>
    </row>
    <row r="5" spans="1:25">
      <c r="A5" s="71" t="str">
        <f ca="1">CELL("filename")</f>
        <v>C:\Users\jewel\Documents\SNTHS\CHARTER APP FINAL\FINAL COMPILED\[SNTHS Budget Worksheet.xlsx]Summary</v>
      </c>
      <c r="Y5" s="416"/>
    </row>
    <row r="6" spans="1:25" ht="15.6">
      <c r="A6" s="648"/>
      <c r="D6" s="96" t="s">
        <v>242</v>
      </c>
      <c r="E6" s="96"/>
      <c r="F6" s="96"/>
      <c r="G6" s="680"/>
      <c r="H6" s="681"/>
      <c r="I6" s="682"/>
      <c r="J6" s="682"/>
      <c r="K6" s="96"/>
      <c r="L6" s="680"/>
      <c r="M6" s="680"/>
      <c r="Y6" s="416"/>
    </row>
    <row r="7" spans="1:25">
      <c r="A7" s="648"/>
      <c r="B7" s="79"/>
      <c r="C7" s="79"/>
      <c r="D7" s="97" t="s">
        <v>243</v>
      </c>
      <c r="E7" s="97"/>
      <c r="F7" s="97"/>
      <c r="G7" s="682"/>
      <c r="H7" s="179"/>
      <c r="I7" s="682"/>
      <c r="J7" s="682"/>
      <c r="K7" s="179"/>
      <c r="L7" s="682"/>
      <c r="M7" s="682"/>
      <c r="Y7" s="416"/>
    </row>
    <row r="8" spans="1:25">
      <c r="A8" s="648"/>
      <c r="B8" s="79"/>
      <c r="C8" s="79"/>
      <c r="D8" s="79"/>
      <c r="E8" s="79"/>
      <c r="F8" s="79"/>
      <c r="G8" s="952" t="str">
        <f>' Enrol &amp; Rev'!F9</f>
        <v>SY 0/Incu</v>
      </c>
      <c r="H8" s="953">
        <f>' Enrol &amp; Rev'!G9</f>
        <v>1</v>
      </c>
      <c r="I8" s="953">
        <f>' Enrol &amp; Rev'!H9</f>
        <v>2</v>
      </c>
      <c r="J8" s="953">
        <f>' Enrol &amp; Rev'!I9</f>
        <v>3</v>
      </c>
      <c r="K8" s="953">
        <f>' Enrol &amp; Rev'!J9</f>
        <v>4</v>
      </c>
      <c r="L8" s="953">
        <f>' Enrol &amp; Rev'!K9</f>
        <v>5</v>
      </c>
      <c r="M8" s="1601">
        <f>' Enrol &amp; Rev'!L9</f>
        <v>6</v>
      </c>
    </row>
    <row r="9" spans="1:25">
      <c r="A9" s="648"/>
      <c r="B9" s="79"/>
      <c r="C9" s="79"/>
      <c r="D9" s="79"/>
      <c r="E9" s="79"/>
      <c r="F9" s="79"/>
      <c r="G9" s="954">
        <f>' Enrol &amp; Rev'!F10</f>
        <v>2022</v>
      </c>
      <c r="H9" s="955">
        <f>' Enrol &amp; Rev'!G10</f>
        <v>2023</v>
      </c>
      <c r="I9" s="955">
        <f>' Enrol &amp; Rev'!H10</f>
        <v>2024</v>
      </c>
      <c r="J9" s="955">
        <f>' Enrol &amp; Rev'!I10</f>
        <v>2025</v>
      </c>
      <c r="K9" s="955">
        <f>' Enrol &amp; Rev'!J10</f>
        <v>2026</v>
      </c>
      <c r="L9" s="955">
        <f>' Enrol &amp; Rev'!K10</f>
        <v>2027</v>
      </c>
      <c r="M9" s="956">
        <f>' Enrol &amp; Rev'!L10</f>
        <v>2028</v>
      </c>
    </row>
    <row r="10" spans="1:25">
      <c r="A10" s="648"/>
      <c r="B10" s="79"/>
      <c r="C10" s="79"/>
      <c r="D10" s="79"/>
      <c r="E10" s="79"/>
      <c r="F10" s="79"/>
      <c r="G10" s="957">
        <f>' Enrol &amp; Rev'!F11</f>
        <v>2023</v>
      </c>
      <c r="H10" s="958">
        <f>' Enrol &amp; Rev'!G11</f>
        <v>2024</v>
      </c>
      <c r="I10" s="958">
        <f>' Enrol &amp; Rev'!H11</f>
        <v>2025</v>
      </c>
      <c r="J10" s="958">
        <f>' Enrol &amp; Rev'!I11</f>
        <v>2026</v>
      </c>
      <c r="K10" s="958">
        <f>' Enrol &amp; Rev'!J11</f>
        <v>2027</v>
      </c>
      <c r="L10" s="958">
        <f>' Enrol &amp; Rev'!K11</f>
        <v>2028</v>
      </c>
      <c r="M10" s="959">
        <f>' Enrol &amp; Rev'!L11</f>
        <v>2029</v>
      </c>
    </row>
    <row r="11" spans="1:25" ht="17.399999999999999">
      <c r="A11" s="648"/>
      <c r="B11" s="598" t="s">
        <v>393</v>
      </c>
      <c r="C11" s="79"/>
      <c r="D11" s="79"/>
      <c r="E11" s="79"/>
      <c r="F11" s="79"/>
      <c r="G11" s="682"/>
      <c r="H11" s="682"/>
      <c r="I11" s="682"/>
      <c r="J11" s="682"/>
      <c r="K11" s="682"/>
      <c r="L11" s="682"/>
      <c r="M11" s="682"/>
    </row>
    <row r="12" spans="1:25">
      <c r="A12" s="648"/>
      <c r="B12" s="100"/>
      <c r="C12" s="100"/>
      <c r="D12" s="397"/>
      <c r="E12" s="397"/>
      <c r="F12" s="397"/>
      <c r="G12" s="682"/>
      <c r="H12" s="683"/>
      <c r="I12" s="683"/>
      <c r="J12" s="683"/>
      <c r="K12" s="683"/>
      <c r="L12" s="683"/>
      <c r="M12" s="683"/>
      <c r="N12" s="145"/>
      <c r="O12" s="1963"/>
    </row>
    <row r="13" spans="1:25">
      <c r="A13" s="648"/>
      <c r="B13" s="77" t="s">
        <v>394</v>
      </c>
      <c r="C13" s="77"/>
      <c r="D13" s="77"/>
      <c r="E13" s="77"/>
      <c r="F13" s="77"/>
      <c r="G13" s="179"/>
      <c r="H13" s="684"/>
      <c r="I13" s="684"/>
      <c r="J13" s="684"/>
      <c r="K13" s="684"/>
      <c r="L13" s="684"/>
      <c r="M13" s="684"/>
      <c r="N13" s="145"/>
      <c r="O13" s="1963"/>
    </row>
    <row r="14" spans="1:25" ht="17.399999999999999">
      <c r="A14" s="648">
        <f>ROW()</f>
        <v>14</v>
      </c>
      <c r="B14" s="1035" t="s">
        <v>395</v>
      </c>
      <c r="C14" s="1036"/>
      <c r="D14" s="1036"/>
      <c r="E14" s="1036"/>
      <c r="F14" s="1036"/>
      <c r="G14" s="1037"/>
      <c r="H14" s="1037"/>
      <c r="I14" s="1037"/>
      <c r="J14" s="1037"/>
      <c r="K14" s="1037"/>
      <c r="L14" s="1037"/>
      <c r="M14" s="1037"/>
      <c r="N14" s="145"/>
      <c r="O14" s="1936" t="s">
        <v>95</v>
      </c>
    </row>
    <row r="15" spans="1:25">
      <c r="A15" s="648">
        <f>ROW()</f>
        <v>15</v>
      </c>
      <c r="C15" s="100"/>
      <c r="H15" s="75"/>
      <c r="I15" s="75"/>
      <c r="J15" s="75"/>
      <c r="N15" s="145"/>
      <c r="O15" s="628"/>
    </row>
    <row r="16" spans="1:25" ht="17.399999999999999">
      <c r="A16" s="648">
        <f>ROW()</f>
        <v>16</v>
      </c>
      <c r="B16" s="141" t="s">
        <v>1349</v>
      </c>
      <c r="C16" s="100"/>
      <c r="D16" s="1855" t="s">
        <v>1348</v>
      </c>
      <c r="E16" s="94"/>
      <c r="F16" s="94"/>
      <c r="G16" s="1856">
        <f>+G10</f>
        <v>2023</v>
      </c>
      <c r="H16" s="1856">
        <f t="shared" ref="H16:M16" si="0">+H10</f>
        <v>2024</v>
      </c>
      <c r="I16" s="1856">
        <f t="shared" si="0"/>
        <v>2025</v>
      </c>
      <c r="J16" s="1856">
        <f t="shared" si="0"/>
        <v>2026</v>
      </c>
      <c r="K16" s="1856">
        <f t="shared" si="0"/>
        <v>2027</v>
      </c>
      <c r="L16" s="1856">
        <f t="shared" si="0"/>
        <v>2028</v>
      </c>
      <c r="M16" s="1856">
        <f t="shared" si="0"/>
        <v>2029</v>
      </c>
      <c r="N16" s="145"/>
      <c r="O16" s="628"/>
    </row>
    <row r="17" spans="1:15" ht="15.6">
      <c r="A17" s="648">
        <f>ROW()</f>
        <v>17</v>
      </c>
      <c r="B17" s="141" t="s">
        <v>1350</v>
      </c>
      <c r="C17" s="100"/>
      <c r="D17" s="1843" t="s">
        <v>396</v>
      </c>
      <c r="E17" s="1843"/>
      <c r="F17" s="1843"/>
      <c r="G17" s="1844">
        <f>$G$86</f>
        <v>1</v>
      </c>
      <c r="H17" s="1844">
        <f>$H$86</f>
        <v>2</v>
      </c>
      <c r="I17" s="1844">
        <f>$I$86</f>
        <v>2</v>
      </c>
      <c r="J17" s="1844">
        <f>$J$86</f>
        <v>3</v>
      </c>
      <c r="K17" s="1844">
        <f>$K$86</f>
        <v>3</v>
      </c>
      <c r="L17" s="1844">
        <f>$L$86</f>
        <v>4</v>
      </c>
      <c r="M17" s="1844">
        <f>$M$86</f>
        <v>4</v>
      </c>
      <c r="N17" s="145"/>
      <c r="O17" s="628"/>
    </row>
    <row r="18" spans="1:15" ht="15.6">
      <c r="A18" s="648">
        <f>ROW()</f>
        <v>18</v>
      </c>
      <c r="C18" s="100"/>
      <c r="D18" s="1843" t="s">
        <v>397</v>
      </c>
      <c r="E18" s="1843"/>
      <c r="F18" s="1843"/>
      <c r="G18" s="1844">
        <f>$G$94-$G$86</f>
        <v>0</v>
      </c>
      <c r="H18" s="1844">
        <f>$H$94-$H$86</f>
        <v>2.25</v>
      </c>
      <c r="I18" s="1844">
        <f>$I$94-$I$86</f>
        <v>3</v>
      </c>
      <c r="J18" s="1844">
        <f>$J$94-$J$86</f>
        <v>4</v>
      </c>
      <c r="K18" s="1844">
        <f>$K$94-$K$86</f>
        <v>4</v>
      </c>
      <c r="L18" s="1844">
        <f>$L$94-$L$86</f>
        <v>4</v>
      </c>
      <c r="M18" s="1844">
        <f>$M$94-$M$86</f>
        <v>4</v>
      </c>
      <c r="N18" s="145"/>
      <c r="O18" s="462"/>
    </row>
    <row r="19" spans="1:15" ht="15.6">
      <c r="A19" s="648">
        <f>ROW()</f>
        <v>19</v>
      </c>
      <c r="C19" s="100"/>
      <c r="D19" s="1843" t="s">
        <v>398</v>
      </c>
      <c r="E19" s="1843"/>
      <c r="F19" s="1843"/>
      <c r="G19" s="1844">
        <f>$G$106</f>
        <v>0</v>
      </c>
      <c r="H19" s="1844">
        <f>$H$106</f>
        <v>1</v>
      </c>
      <c r="I19" s="1844">
        <f>$I$106</f>
        <v>2</v>
      </c>
      <c r="J19" s="1844">
        <f>$J$106</f>
        <v>3</v>
      </c>
      <c r="K19" s="1844">
        <f>$K$106</f>
        <v>3</v>
      </c>
      <c r="L19" s="1844">
        <f>$L$106</f>
        <v>3</v>
      </c>
      <c r="M19" s="1844">
        <f>$M$106</f>
        <v>3</v>
      </c>
      <c r="N19" s="145"/>
      <c r="O19" s="462"/>
    </row>
    <row r="20" spans="1:15" ht="15.6">
      <c r="A20" s="648">
        <f>ROW()</f>
        <v>20</v>
      </c>
      <c r="C20" s="100"/>
      <c r="D20" s="1843" t="s">
        <v>399</v>
      </c>
      <c r="E20" s="1843"/>
      <c r="F20" s="1843"/>
      <c r="G20" s="1844">
        <f>$G$120</f>
        <v>0</v>
      </c>
      <c r="H20" s="1844">
        <f>$H$120</f>
        <v>0</v>
      </c>
      <c r="I20" s="1844">
        <f>$I$120</f>
        <v>1</v>
      </c>
      <c r="J20" s="1844">
        <f>$J$120</f>
        <v>2</v>
      </c>
      <c r="K20" s="1844">
        <f>$K$120</f>
        <v>2</v>
      </c>
      <c r="L20" s="1844">
        <f>$L$120</f>
        <v>2</v>
      </c>
      <c r="M20" s="1844">
        <f>$M$120</f>
        <v>2</v>
      </c>
      <c r="N20" s="145"/>
      <c r="O20" s="462"/>
    </row>
    <row r="21" spans="1:15" ht="15.6">
      <c r="A21" s="648">
        <f>ROW()</f>
        <v>21</v>
      </c>
      <c r="C21" s="100"/>
      <c r="D21" s="1843" t="s">
        <v>400</v>
      </c>
      <c r="E21" s="1843"/>
      <c r="F21" s="1843"/>
      <c r="G21" s="1844">
        <f>$G$132</f>
        <v>0</v>
      </c>
      <c r="H21" s="1844">
        <f>$H$132</f>
        <v>1</v>
      </c>
      <c r="I21" s="1844">
        <f>$I$132</f>
        <v>2</v>
      </c>
      <c r="J21" s="1844">
        <f>$J$132</f>
        <v>3</v>
      </c>
      <c r="K21" s="1844">
        <f>$K$132</f>
        <v>3</v>
      </c>
      <c r="L21" s="1844">
        <f>$L$132</f>
        <v>3</v>
      </c>
      <c r="M21" s="1844">
        <f>$M$132</f>
        <v>3</v>
      </c>
      <c r="N21" s="145"/>
      <c r="O21" s="462"/>
    </row>
    <row r="22" spans="1:15" ht="15.6">
      <c r="A22" s="648">
        <f>ROW()</f>
        <v>22</v>
      </c>
      <c r="C22" s="100"/>
      <c r="D22" s="1843" t="s">
        <v>401</v>
      </c>
      <c r="E22" s="1843"/>
      <c r="F22" s="1843"/>
      <c r="G22" s="1844">
        <f>$G$236</f>
        <v>0</v>
      </c>
      <c r="H22" s="1844">
        <f>$H$236</f>
        <v>7</v>
      </c>
      <c r="I22" s="1844">
        <f>$I$236</f>
        <v>14</v>
      </c>
      <c r="J22" s="1844">
        <f>$J$236</f>
        <v>21</v>
      </c>
      <c r="K22" s="1844">
        <f>$K$236</f>
        <v>25</v>
      </c>
      <c r="L22" s="1844">
        <f>$L$236</f>
        <v>29</v>
      </c>
      <c r="M22" s="1844">
        <f>$M$236</f>
        <v>29</v>
      </c>
      <c r="N22" s="145"/>
      <c r="O22" s="462"/>
    </row>
    <row r="23" spans="1:15" ht="15.6">
      <c r="A23" s="648">
        <f>ROW()</f>
        <v>23</v>
      </c>
      <c r="C23" s="218"/>
      <c r="D23" s="1851" t="s">
        <v>1220</v>
      </c>
      <c r="E23" s="1851"/>
      <c r="F23" s="1851"/>
      <c r="G23" s="1854">
        <f t="shared" ref="G23:M23" si="1">SUM(G17:G22)</f>
        <v>1</v>
      </c>
      <c r="H23" s="1854">
        <f t="shared" si="1"/>
        <v>13.25</v>
      </c>
      <c r="I23" s="1854">
        <f t="shared" si="1"/>
        <v>24</v>
      </c>
      <c r="J23" s="1854">
        <f t="shared" si="1"/>
        <v>36</v>
      </c>
      <c r="K23" s="1854">
        <f t="shared" si="1"/>
        <v>40</v>
      </c>
      <c r="L23" s="1854">
        <f t="shared" si="1"/>
        <v>45</v>
      </c>
      <c r="M23" s="1854">
        <f t="shared" si="1"/>
        <v>45</v>
      </c>
      <c r="N23" s="145"/>
      <c r="O23" s="462"/>
    </row>
    <row r="24" spans="1:15" ht="15.6">
      <c r="A24" s="648">
        <f>ROW()</f>
        <v>24</v>
      </c>
      <c r="B24" s="79"/>
      <c r="C24" s="100"/>
      <c r="D24" s="1845"/>
      <c r="E24" s="1845"/>
      <c r="F24" s="1846"/>
      <c r="G24" s="1845"/>
      <c r="H24" s="1847"/>
      <c r="I24" s="1847"/>
      <c r="J24" s="1847"/>
      <c r="K24" s="1843"/>
      <c r="L24" s="1843"/>
      <c r="M24" s="1843"/>
      <c r="N24" s="145"/>
      <c r="O24" s="462"/>
    </row>
    <row r="25" spans="1:15" ht="15.6">
      <c r="A25" s="648">
        <f>ROW()</f>
        <v>25</v>
      </c>
      <c r="C25" s="100"/>
      <c r="D25" s="1848" t="s">
        <v>403</v>
      </c>
      <c r="E25" s="1848"/>
      <c r="F25" s="1849"/>
      <c r="G25" s="1850">
        <f>G453</f>
        <v>0</v>
      </c>
      <c r="H25" s="1850">
        <f t="shared" ref="H25:M25" si="2">H453</f>
        <v>0</v>
      </c>
      <c r="I25" s="1850">
        <f t="shared" si="2"/>
        <v>0</v>
      </c>
      <c r="J25" s="1850">
        <f t="shared" si="2"/>
        <v>0</v>
      </c>
      <c r="K25" s="1850">
        <f t="shared" si="2"/>
        <v>0</v>
      </c>
      <c r="L25" s="1850">
        <f t="shared" si="2"/>
        <v>0</v>
      </c>
      <c r="M25" s="1850">
        <f t="shared" si="2"/>
        <v>0</v>
      </c>
      <c r="N25" s="145"/>
      <c r="O25" s="462"/>
    </row>
    <row r="26" spans="1:15" ht="15.6">
      <c r="A26" s="648">
        <f>ROW()</f>
        <v>26</v>
      </c>
      <c r="B26" s="79"/>
      <c r="C26" s="100"/>
      <c r="D26" s="1845"/>
      <c r="E26" s="1845"/>
      <c r="F26" s="1846"/>
      <c r="G26" s="1845"/>
      <c r="H26" s="1847"/>
      <c r="I26" s="1847"/>
      <c r="J26" s="1847"/>
      <c r="K26" s="1843"/>
      <c r="L26" s="1843"/>
      <c r="M26" s="1843"/>
      <c r="N26" s="145"/>
      <c r="O26" s="462"/>
    </row>
    <row r="27" spans="1:15" ht="15.6">
      <c r="A27" s="648">
        <f>ROW()</f>
        <v>27</v>
      </c>
      <c r="C27" s="218"/>
      <c r="D27" s="1851" t="s">
        <v>1347</v>
      </c>
      <c r="E27" s="1851"/>
      <c r="F27" s="1852"/>
      <c r="G27" s="1853">
        <f>+G25+G23</f>
        <v>1</v>
      </c>
      <c r="H27" s="1853">
        <f t="shared" ref="H27:M27" si="3">+H25+H23</f>
        <v>13.25</v>
      </c>
      <c r="I27" s="1853">
        <f t="shared" si="3"/>
        <v>24</v>
      </c>
      <c r="J27" s="1853">
        <f t="shared" si="3"/>
        <v>36</v>
      </c>
      <c r="K27" s="1853">
        <f t="shared" si="3"/>
        <v>40</v>
      </c>
      <c r="L27" s="1853">
        <f t="shared" si="3"/>
        <v>45</v>
      </c>
      <c r="M27" s="1853">
        <f t="shared" si="3"/>
        <v>45</v>
      </c>
      <c r="N27" s="145"/>
      <c r="O27" s="462"/>
    </row>
    <row r="28" spans="1:15">
      <c r="A28" s="648">
        <f>ROW()</f>
        <v>28</v>
      </c>
      <c r="B28" s="79"/>
      <c r="C28" s="79"/>
      <c r="D28" s="79"/>
      <c r="E28" s="79"/>
      <c r="F28" s="43"/>
      <c r="G28" s="79"/>
      <c r="H28" s="153"/>
      <c r="I28" s="153"/>
      <c r="J28" s="153"/>
      <c r="K28" s="100"/>
      <c r="L28" s="100"/>
      <c r="M28" s="100"/>
      <c r="N28" s="145"/>
      <c r="O28" s="462"/>
    </row>
    <row r="29" spans="1:15">
      <c r="A29" s="648">
        <f>ROW()</f>
        <v>29</v>
      </c>
      <c r="B29" s="79"/>
      <c r="C29" s="682" t="s">
        <v>404</v>
      </c>
      <c r="D29" s="79"/>
      <c r="E29" s="79"/>
      <c r="F29" s="43"/>
      <c r="G29" s="79"/>
      <c r="H29" s="153"/>
      <c r="I29" s="153"/>
      <c r="J29" s="153"/>
      <c r="K29" s="100"/>
      <c r="L29" s="100"/>
      <c r="M29" s="100"/>
      <c r="N29" s="145"/>
      <c r="O29" s="462"/>
    </row>
    <row r="30" spans="1:15" ht="17.399999999999999">
      <c r="A30" s="648">
        <f>ROW()</f>
        <v>30</v>
      </c>
      <c r="B30" s="2158" t="s">
        <v>405</v>
      </c>
      <c r="C30" s="2159">
        <f>AVERAGE(H30:M30)</f>
        <v>400</v>
      </c>
      <c r="D30" s="2160"/>
      <c r="E30" s="2160"/>
      <c r="F30" s="2160"/>
      <c r="G30" s="2161"/>
      <c r="H30" s="2161">
        <f>Levers!D9</f>
        <v>200</v>
      </c>
      <c r="I30" s="2161">
        <f>Levers!E9</f>
        <v>300</v>
      </c>
      <c r="J30" s="2161">
        <f>Levers!F9</f>
        <v>400</v>
      </c>
      <c r="K30" s="2161">
        <f>Levers!G9</f>
        <v>450</v>
      </c>
      <c r="L30" s="2161">
        <f>Levers!H9</f>
        <v>500</v>
      </c>
      <c r="M30" s="2161">
        <f>Levers!I9</f>
        <v>550</v>
      </c>
      <c r="N30" s="145"/>
      <c r="O30" s="462"/>
    </row>
    <row r="31" spans="1:15" ht="18">
      <c r="A31" s="648">
        <f>ROW()</f>
        <v>31</v>
      </c>
      <c r="B31" s="2042" t="s">
        <v>1375</v>
      </c>
      <c r="C31" s="1885"/>
      <c r="D31" s="1886"/>
      <c r="E31" s="1886"/>
      <c r="F31" s="1886"/>
      <c r="G31" s="1887">
        <f>SUM(G19,G20,G22)</f>
        <v>0</v>
      </c>
      <c r="H31" s="1887">
        <f t="shared" ref="H31:M31" si="4">SUM(H19,H20,H22)</f>
        <v>8</v>
      </c>
      <c r="I31" s="1887">
        <f t="shared" si="4"/>
        <v>17</v>
      </c>
      <c r="J31" s="1887">
        <f t="shared" si="4"/>
        <v>26</v>
      </c>
      <c r="K31" s="1887">
        <f t="shared" si="4"/>
        <v>30</v>
      </c>
      <c r="L31" s="1887">
        <f t="shared" si="4"/>
        <v>34</v>
      </c>
      <c r="M31" s="1887">
        <f t="shared" si="4"/>
        <v>34</v>
      </c>
      <c r="N31" s="145"/>
      <c r="O31" s="462"/>
    </row>
    <row r="32" spans="1:15" ht="18">
      <c r="A32" s="648">
        <f>ROW()</f>
        <v>32</v>
      </c>
      <c r="B32" s="2043" t="s">
        <v>1376</v>
      </c>
      <c r="C32" s="1888"/>
      <c r="D32" s="1889"/>
      <c r="E32" s="1889"/>
      <c r="F32" s="1889"/>
      <c r="G32" s="1890">
        <f>IFERROR(G30/G31,0)</f>
        <v>0</v>
      </c>
      <c r="H32" s="1890">
        <f t="shared" ref="H32:M32" si="5">IFERROR(H30/H31,0)</f>
        <v>25</v>
      </c>
      <c r="I32" s="1890">
        <f t="shared" si="5"/>
        <v>17.647058823529413</v>
      </c>
      <c r="J32" s="1890">
        <f t="shared" si="5"/>
        <v>15.384615384615385</v>
      </c>
      <c r="K32" s="1890">
        <f t="shared" si="5"/>
        <v>15</v>
      </c>
      <c r="L32" s="1890">
        <f t="shared" si="5"/>
        <v>14.705882352941176</v>
      </c>
      <c r="M32" s="1890">
        <f t="shared" si="5"/>
        <v>16.176470588235293</v>
      </c>
      <c r="N32" s="145"/>
      <c r="O32" s="462"/>
    </row>
    <row r="33" spans="1:15">
      <c r="A33" s="648">
        <f>ROW()</f>
        <v>33</v>
      </c>
      <c r="B33" s="1061"/>
      <c r="C33" s="1061"/>
      <c r="D33" s="599"/>
      <c r="E33" s="599"/>
      <c r="F33" s="599"/>
      <c r="G33" s="599"/>
      <c r="H33" s="599"/>
      <c r="I33" s="599"/>
      <c r="J33" s="599"/>
      <c r="K33" s="599"/>
      <c r="L33" s="599"/>
      <c r="M33" s="599"/>
      <c r="N33" s="145"/>
      <c r="O33" s="462"/>
    </row>
    <row r="34" spans="1:15">
      <c r="A34" s="648">
        <f>ROW()</f>
        <v>34</v>
      </c>
      <c r="B34" s="257" t="s">
        <v>406</v>
      </c>
      <c r="C34" s="1061">
        <f t="shared" ref="C34:C35" si="6">AVERAGE(H34:M34)</f>
        <v>4062304.6133997501</v>
      </c>
      <c r="D34" s="621"/>
      <c r="E34" s="618"/>
      <c r="F34" s="618"/>
      <c r="G34" s="620">
        <f>Levers!C10</f>
        <v>397500</v>
      </c>
      <c r="H34" s="620">
        <f>Levers!D10</f>
        <v>1748937.5</v>
      </c>
      <c r="I34" s="620">
        <f>Levers!E10</f>
        <v>2985042.728962</v>
      </c>
      <c r="J34" s="620">
        <f>Levers!F10</f>
        <v>4043933.2184430007</v>
      </c>
      <c r="K34" s="620">
        <f>Levers!G10</f>
        <v>4669192.8329240009</v>
      </c>
      <c r="L34" s="620">
        <f>Levers!H10</f>
        <v>5198638.0776644992</v>
      </c>
      <c r="M34" s="620">
        <f>Levers!I10</f>
        <v>5728083.3224050002</v>
      </c>
      <c r="N34" s="145"/>
      <c r="O34" s="462"/>
    </row>
    <row r="35" spans="1:15">
      <c r="A35" s="648">
        <f>ROW()</f>
        <v>35</v>
      </c>
      <c r="B35" s="257" t="s">
        <v>407</v>
      </c>
      <c r="C35" s="1061">
        <f t="shared" si="6"/>
        <v>1618442.5</v>
      </c>
      <c r="D35" s="621"/>
      <c r="E35" s="618"/>
      <c r="F35" s="618"/>
      <c r="G35" s="620">
        <f>G396</f>
        <v>102000</v>
      </c>
      <c r="H35" s="620">
        <f>H396</f>
        <v>668355</v>
      </c>
      <c r="I35" s="620">
        <f t="shared" ref="I35:M35" si="7">I396</f>
        <v>1141380</v>
      </c>
      <c r="J35" s="620">
        <f t="shared" si="7"/>
        <v>1712580</v>
      </c>
      <c r="K35" s="620">
        <f t="shared" si="7"/>
        <v>1896180</v>
      </c>
      <c r="L35" s="620">
        <f t="shared" si="7"/>
        <v>2146080</v>
      </c>
      <c r="M35" s="620">
        <f t="shared" si="7"/>
        <v>2146080</v>
      </c>
      <c r="N35" s="145"/>
      <c r="O35" s="462"/>
    </row>
    <row r="36" spans="1:15">
      <c r="A36" s="648">
        <f>ROW()</f>
        <v>36</v>
      </c>
      <c r="B36" s="79"/>
      <c r="C36" s="202"/>
      <c r="D36" s="226"/>
      <c r="E36" s="226"/>
      <c r="F36" s="226"/>
      <c r="G36" s="394"/>
      <c r="H36" s="587"/>
      <c r="I36" s="587"/>
      <c r="J36" s="587"/>
      <c r="K36" s="587"/>
      <c r="L36" s="587"/>
      <c r="M36" s="587"/>
      <c r="N36" s="145"/>
      <c r="O36" s="462"/>
    </row>
    <row r="37" spans="1:15">
      <c r="A37" s="648">
        <f>ROW()</f>
        <v>37</v>
      </c>
      <c r="B37" s="257" t="s">
        <v>408</v>
      </c>
      <c r="C37" s="1061">
        <f>AVERAGE(H37:M37)</f>
        <v>611191.20773414394</v>
      </c>
      <c r="D37" s="622"/>
      <c r="E37" s="619"/>
      <c r="F37" s="619"/>
      <c r="G37" s="679">
        <f>G421</f>
        <v>26658.6</v>
      </c>
      <c r="H37" s="679">
        <f t="shared" ref="H37:M37" si="8">H421</f>
        <v>238475.65500000003</v>
      </c>
      <c r="I37" s="679">
        <f t="shared" si="8"/>
        <v>423937.26</v>
      </c>
      <c r="J37" s="679">
        <f t="shared" si="8"/>
        <v>641835.98639999994</v>
      </c>
      <c r="K37" s="679">
        <f t="shared" si="8"/>
        <v>718629.61392000003</v>
      </c>
      <c r="L37" s="679">
        <f t="shared" si="8"/>
        <v>818259.04192320001</v>
      </c>
      <c r="M37" s="679">
        <f t="shared" si="8"/>
        <v>826009.68916166399</v>
      </c>
      <c r="N37" s="145"/>
      <c r="O37" s="462"/>
    </row>
    <row r="38" spans="1:15">
      <c r="A38" s="648">
        <f>ROW()</f>
        <v>38</v>
      </c>
      <c r="B38" s="100" t="s">
        <v>409</v>
      </c>
      <c r="C38" s="100"/>
      <c r="D38" s="100"/>
      <c r="E38" s="100"/>
      <c r="F38" s="100"/>
      <c r="G38" s="617">
        <f>G401</f>
        <v>7800</v>
      </c>
      <c r="H38" s="617">
        <f t="shared" ref="H38:M38" si="9">H401</f>
        <v>105417</v>
      </c>
      <c r="I38" s="617">
        <f t="shared" si="9"/>
        <v>194762.88</v>
      </c>
      <c r="J38" s="617">
        <f t="shared" si="9"/>
        <v>297987.20639999997</v>
      </c>
      <c r="K38" s="617">
        <f t="shared" si="9"/>
        <v>337718.83392</v>
      </c>
      <c r="L38" s="617">
        <f t="shared" si="9"/>
        <v>387532.36192320002</v>
      </c>
      <c r="M38" s="617">
        <f t="shared" si="9"/>
        <v>395283.009161664</v>
      </c>
      <c r="N38" s="145"/>
      <c r="O38" s="462"/>
    </row>
    <row r="39" spans="1:15">
      <c r="A39" s="648">
        <f>ROW()</f>
        <v>39</v>
      </c>
      <c r="B39" s="100" t="s">
        <v>410</v>
      </c>
      <c r="C39" s="100"/>
      <c r="D39" s="100"/>
      <c r="E39" s="100"/>
      <c r="F39" s="100"/>
      <c r="G39" s="617">
        <f>G407</f>
        <v>15810</v>
      </c>
      <c r="H39" s="617">
        <f t="shared" ref="H39:M39" si="10">H407</f>
        <v>103595.02499999999</v>
      </c>
      <c r="I39" s="617">
        <f t="shared" si="10"/>
        <v>176913.9</v>
      </c>
      <c r="J39" s="617">
        <f t="shared" si="10"/>
        <v>265449.90000000002</v>
      </c>
      <c r="K39" s="617">
        <f t="shared" si="10"/>
        <v>293907.90000000002</v>
      </c>
      <c r="L39" s="617">
        <f t="shared" si="10"/>
        <v>332642.40000000002</v>
      </c>
      <c r="M39" s="617">
        <f t="shared" si="10"/>
        <v>332642.40000000002</v>
      </c>
      <c r="N39" s="145"/>
      <c r="O39" s="462"/>
    </row>
    <row r="40" spans="1:15">
      <c r="A40" s="648">
        <f>ROW()</f>
        <v>40</v>
      </c>
      <c r="B40" s="100" t="s">
        <v>411</v>
      </c>
      <c r="C40" s="100"/>
      <c r="D40" s="100"/>
      <c r="E40" s="100"/>
      <c r="F40" s="100"/>
      <c r="G40" s="617">
        <f t="shared" ref="G40:M40" si="11">G421-G39-G38</f>
        <v>3048.5999999999985</v>
      </c>
      <c r="H40" s="617">
        <f t="shared" si="11"/>
        <v>29463.630000000034</v>
      </c>
      <c r="I40" s="617">
        <f t="shared" si="11"/>
        <v>52260.48000000001</v>
      </c>
      <c r="J40" s="617">
        <f t="shared" si="11"/>
        <v>78398.879999999946</v>
      </c>
      <c r="K40" s="617">
        <f t="shared" si="11"/>
        <v>87002.880000000005</v>
      </c>
      <c r="L40" s="617">
        <f t="shared" si="11"/>
        <v>98084.27999999997</v>
      </c>
      <c r="M40" s="617">
        <f t="shared" si="11"/>
        <v>98084.27999999997</v>
      </c>
      <c r="N40" s="145"/>
      <c r="O40" s="462"/>
    </row>
    <row r="41" spans="1:15">
      <c r="A41" s="648">
        <f>ROW()</f>
        <v>41</v>
      </c>
      <c r="B41" s="79"/>
      <c r="C41" s="79"/>
      <c r="D41" s="79"/>
      <c r="E41" s="79"/>
      <c r="F41" s="43"/>
      <c r="G41" s="79"/>
      <c r="H41" s="153"/>
      <c r="I41" s="153"/>
      <c r="J41" s="153"/>
      <c r="K41" s="100"/>
      <c r="L41" s="100"/>
      <c r="M41" s="100"/>
      <c r="N41" s="145"/>
      <c r="O41" s="462"/>
    </row>
    <row r="42" spans="1:15">
      <c r="A42" s="648">
        <f>ROW()</f>
        <v>42</v>
      </c>
      <c r="B42" s="257" t="s">
        <v>412</v>
      </c>
      <c r="C42" s="1061">
        <f t="shared" ref="C42:C47" si="12">AVERAGE(H42:M42)</f>
        <v>2233698.7077341438</v>
      </c>
      <c r="D42" s="257"/>
      <c r="E42" s="257"/>
      <c r="F42" s="257"/>
      <c r="G42" s="679">
        <f>G457</f>
        <v>128778.6</v>
      </c>
      <c r="H42" s="679">
        <f t="shared" ref="H42:M42" si="13">H457</f>
        <v>908420.65500000003</v>
      </c>
      <c r="I42" s="679">
        <f t="shared" si="13"/>
        <v>1568197.26</v>
      </c>
      <c r="J42" s="679">
        <f t="shared" si="13"/>
        <v>2358735.9863999998</v>
      </c>
      <c r="K42" s="679">
        <f t="shared" si="13"/>
        <v>2619609.6139199999</v>
      </c>
      <c r="L42" s="679">
        <f t="shared" si="13"/>
        <v>2969739.0419231998</v>
      </c>
      <c r="M42" s="679">
        <f t="shared" si="13"/>
        <v>2977489.6891616639</v>
      </c>
      <c r="N42" s="145"/>
      <c r="O42" s="462"/>
    </row>
    <row r="43" spans="1:15">
      <c r="A43" s="648">
        <f>ROW()</f>
        <v>43</v>
      </c>
      <c r="B43" s="100" t="s">
        <v>413</v>
      </c>
      <c r="C43" s="1063">
        <f t="shared" si="12"/>
        <v>5473.4529731839948</v>
      </c>
      <c r="D43" s="100"/>
      <c r="E43" s="100"/>
      <c r="F43" s="100"/>
      <c r="G43" s="600"/>
      <c r="H43" s="600">
        <f>Levers!D13</f>
        <v>4542.1032750000004</v>
      </c>
      <c r="I43" s="600">
        <f>Levers!E13</f>
        <v>5227.3242</v>
      </c>
      <c r="J43" s="600">
        <f>Levers!F13</f>
        <v>5896.8399659999995</v>
      </c>
      <c r="K43" s="600">
        <f>Levers!G13</f>
        <v>5821.3546975999998</v>
      </c>
      <c r="L43" s="600">
        <f>Levers!H13</f>
        <v>5939.4780838463994</v>
      </c>
      <c r="M43" s="600">
        <f>Levers!I13</f>
        <v>5413.6176166575706</v>
      </c>
      <c r="N43" s="145"/>
      <c r="O43" s="462"/>
    </row>
    <row r="44" spans="1:15">
      <c r="A44" s="648">
        <f>ROW()</f>
        <v>44</v>
      </c>
      <c r="B44" s="108" t="s">
        <v>414</v>
      </c>
      <c r="C44" s="1062">
        <f t="shared" si="12"/>
        <v>1828605.9056656063</v>
      </c>
      <c r="D44" s="108"/>
      <c r="E44" s="108"/>
      <c r="F44" s="108"/>
      <c r="G44" s="601">
        <f>Levers!C14</f>
        <v>268721.40000000002</v>
      </c>
      <c r="H44" s="601">
        <f>Levers!D14</f>
        <v>840516.84499999997</v>
      </c>
      <c r="I44" s="601">
        <f>Levers!E14</f>
        <v>1416845.468962</v>
      </c>
      <c r="J44" s="601">
        <f>Levers!F14</f>
        <v>1685197.2320430009</v>
      </c>
      <c r="K44" s="601">
        <f>Levers!G14</f>
        <v>2049583.219004001</v>
      </c>
      <c r="L44" s="601">
        <f>Levers!H14</f>
        <v>2228899.0357412994</v>
      </c>
      <c r="M44" s="601">
        <f>Levers!I14</f>
        <v>2750593.6332433363</v>
      </c>
      <c r="N44" s="145"/>
      <c r="O44" s="462"/>
    </row>
    <row r="45" spans="1:15">
      <c r="A45" s="648">
        <f>ROW()</f>
        <v>45</v>
      </c>
      <c r="B45" s="108" t="s">
        <v>415</v>
      </c>
      <c r="C45" s="1062">
        <f t="shared" si="12"/>
        <v>4525.3170525329306</v>
      </c>
      <c r="D45" s="108"/>
      <c r="E45" s="108"/>
      <c r="F45" s="108"/>
      <c r="G45" s="601"/>
      <c r="H45" s="601">
        <f>Levers!D15</f>
        <v>4202.5842249999996</v>
      </c>
      <c r="I45" s="601">
        <f>Levers!E15</f>
        <v>4722.8182298733336</v>
      </c>
      <c r="J45" s="601">
        <f>Levers!F15</f>
        <v>4212.9930801075025</v>
      </c>
      <c r="K45" s="601">
        <f>Levers!G15</f>
        <v>4554.6293755644465</v>
      </c>
      <c r="L45" s="601">
        <f>Levers!H15</f>
        <v>4457.798071482599</v>
      </c>
      <c r="M45" s="601">
        <f>Levers!I15</f>
        <v>5001.0793331697023</v>
      </c>
      <c r="N45" s="145"/>
      <c r="O45" s="462"/>
    </row>
    <row r="46" spans="1:15">
      <c r="A46" s="648">
        <f>ROW()</f>
        <v>46</v>
      </c>
      <c r="B46" s="108" t="s">
        <v>416</v>
      </c>
      <c r="C46" s="1062">
        <f t="shared" si="12"/>
        <v>485606.78333024093</v>
      </c>
      <c r="D46" s="108"/>
      <c r="E46" s="108"/>
      <c r="F46" s="108"/>
      <c r="G46" s="601">
        <f>Levers!C38</f>
        <v>25000.400000000023</v>
      </c>
      <c r="H46" s="601">
        <f>Levers!D38</f>
        <v>26558.457068965479</v>
      </c>
      <c r="I46" s="601">
        <f>Levers!E38</f>
        <v>471641.62507160596</v>
      </c>
      <c r="J46" s="601">
        <f>Levers!F38</f>
        <v>582735.62196199258</v>
      </c>
      <c r="K46" s="601">
        <f>Levers!G38</f>
        <v>434487.22523108096</v>
      </c>
      <c r="L46" s="601">
        <f>Levers!H38</f>
        <v>497296.79179460974</v>
      </c>
      <c r="M46" s="601">
        <f>Levers!I38</f>
        <v>900920.97885319078</v>
      </c>
      <c r="N46" s="145"/>
      <c r="O46" s="462"/>
    </row>
    <row r="47" spans="1:15">
      <c r="A47" s="648">
        <f>ROW()</f>
        <v>47</v>
      </c>
      <c r="B47" s="108" t="s">
        <v>417</v>
      </c>
      <c r="C47" s="1062">
        <f t="shared" si="12"/>
        <v>1126.6548307712221</v>
      </c>
      <c r="D47" s="108"/>
      <c r="E47" s="108"/>
      <c r="F47" s="108"/>
      <c r="G47" s="601">
        <f>Levers!C39</f>
        <v>0</v>
      </c>
      <c r="H47" s="601">
        <f>Levers!D39</f>
        <v>132.79228534482741</v>
      </c>
      <c r="I47" s="601">
        <f>Levers!E39</f>
        <v>1572.1387502386865</v>
      </c>
      <c r="J47" s="601">
        <f>Levers!F39</f>
        <v>1456.8390549049814</v>
      </c>
      <c r="K47" s="601">
        <f>Levers!G39</f>
        <v>965.52716718017996</v>
      </c>
      <c r="L47" s="601">
        <f>Levers!H39</f>
        <v>994.59358358921952</v>
      </c>
      <c r="M47" s="601">
        <f>Levers!I39</f>
        <v>1638.0381433694379</v>
      </c>
      <c r="N47" s="145"/>
      <c r="O47" s="462"/>
    </row>
    <row r="48" spans="1:15">
      <c r="A48" s="648">
        <f>ROW()</f>
        <v>48</v>
      </c>
      <c r="B48" s="79"/>
      <c r="C48" s="79"/>
      <c r="D48" s="79"/>
      <c r="E48" s="79"/>
      <c r="F48" s="43"/>
      <c r="H48" s="153"/>
      <c r="I48" s="153"/>
      <c r="J48" s="153"/>
      <c r="K48" s="144"/>
      <c r="L48" s="144"/>
      <c r="M48" s="144"/>
      <c r="N48" s="145"/>
      <c r="O48" s="462"/>
    </row>
    <row r="49" spans="1:15">
      <c r="A49" s="648">
        <f>ROW()</f>
        <v>49</v>
      </c>
      <c r="B49" s="73" t="s">
        <v>145</v>
      </c>
      <c r="C49" s="73"/>
      <c r="D49" s="73"/>
      <c r="E49" s="73"/>
      <c r="F49" s="73"/>
      <c r="G49" s="676" t="str">
        <f t="shared" ref="G49:M51" si="14">G8</f>
        <v>SY 0/Incu</v>
      </c>
      <c r="H49" s="677">
        <f t="shared" si="14"/>
        <v>1</v>
      </c>
      <c r="I49" s="677">
        <f t="shared" si="14"/>
        <v>2</v>
      </c>
      <c r="J49" s="677">
        <f t="shared" si="14"/>
        <v>3</v>
      </c>
      <c r="K49" s="677">
        <f t="shared" si="14"/>
        <v>4</v>
      </c>
      <c r="L49" s="677">
        <f t="shared" si="14"/>
        <v>5</v>
      </c>
      <c r="M49" s="677">
        <f t="shared" si="14"/>
        <v>6</v>
      </c>
      <c r="N49" s="145"/>
      <c r="O49" s="462"/>
    </row>
    <row r="50" spans="1:15">
      <c r="A50" s="648">
        <f>ROW()</f>
        <v>50</v>
      </c>
      <c r="B50" s="81" t="s">
        <v>418</v>
      </c>
      <c r="C50" s="81"/>
      <c r="D50" s="81"/>
      <c r="E50" s="81"/>
      <c r="F50" s="81"/>
      <c r="G50" s="1059">
        <f t="shared" si="14"/>
        <v>2022</v>
      </c>
      <c r="H50" s="1059">
        <f t="shared" si="14"/>
        <v>2023</v>
      </c>
      <c r="I50" s="678">
        <f t="shared" si="14"/>
        <v>2024</v>
      </c>
      <c r="J50" s="678">
        <f t="shared" si="14"/>
        <v>2025</v>
      </c>
      <c r="K50" s="678">
        <f t="shared" si="14"/>
        <v>2026</v>
      </c>
      <c r="L50" s="678">
        <f t="shared" si="14"/>
        <v>2027</v>
      </c>
      <c r="M50" s="678">
        <f t="shared" si="14"/>
        <v>2028</v>
      </c>
      <c r="N50" s="145"/>
      <c r="O50" s="462"/>
    </row>
    <row r="51" spans="1:15">
      <c r="A51" s="648">
        <f>ROW()</f>
        <v>51</v>
      </c>
      <c r="B51" s="81" t="s">
        <v>419</v>
      </c>
      <c r="C51" s="81"/>
      <c r="D51" s="81"/>
      <c r="E51" s="81"/>
      <c r="F51" s="81"/>
      <c r="G51" s="96">
        <f t="shared" si="14"/>
        <v>2023</v>
      </c>
      <c r="H51" s="96">
        <f t="shared" si="14"/>
        <v>2024</v>
      </c>
      <c r="I51" s="96">
        <f t="shared" si="14"/>
        <v>2025</v>
      </c>
      <c r="J51" s="96">
        <f t="shared" si="14"/>
        <v>2026</v>
      </c>
      <c r="K51" s="96">
        <f t="shared" si="14"/>
        <v>2027</v>
      </c>
      <c r="L51" s="96">
        <f t="shared" si="14"/>
        <v>2028</v>
      </c>
      <c r="M51" s="96">
        <f t="shared" si="14"/>
        <v>2029</v>
      </c>
      <c r="N51" s="145"/>
      <c r="O51" s="462"/>
    </row>
    <row r="52" spans="1:15">
      <c r="A52" s="648">
        <f>ROW()</f>
        <v>52</v>
      </c>
      <c r="B52" s="255" t="s">
        <v>420</v>
      </c>
      <c r="C52" s="150"/>
      <c r="D52" s="150"/>
      <c r="E52" s="150"/>
      <c r="F52" s="150"/>
      <c r="G52" s="150"/>
      <c r="H52" s="150"/>
      <c r="I52" s="135"/>
      <c r="J52" s="135"/>
      <c r="K52" s="135"/>
      <c r="L52" s="135"/>
      <c r="M52" s="135"/>
      <c r="N52" s="145"/>
      <c r="O52" s="462"/>
    </row>
    <row r="53" spans="1:15" ht="14.4">
      <c r="A53" s="648">
        <f>ROW()</f>
        <v>53</v>
      </c>
      <c r="B53" s="190" t="s">
        <v>421</v>
      </c>
      <c r="C53" s="102"/>
      <c r="D53" s="102"/>
      <c r="E53" s="102"/>
      <c r="F53" s="102"/>
      <c r="G53" s="151"/>
      <c r="H53" s="136"/>
      <c r="I53" s="137"/>
      <c r="J53" s="137"/>
      <c r="K53" s="137"/>
      <c r="L53" s="137"/>
      <c r="M53" s="137"/>
      <c r="N53" s="145"/>
      <c r="O53" s="462"/>
    </row>
    <row r="54" spans="1:15">
      <c r="A54" s="648">
        <f>ROW()</f>
        <v>54</v>
      </c>
      <c r="B54" s="102" t="s">
        <v>422</v>
      </c>
      <c r="C54" s="1064">
        <v>6000</v>
      </c>
      <c r="D54" s="136" t="s">
        <v>423</v>
      </c>
      <c r="E54" s="136"/>
      <c r="F54" s="136"/>
      <c r="I54" s="137"/>
      <c r="J54" s="137"/>
      <c r="K54" s="137"/>
      <c r="L54" s="137"/>
      <c r="M54" s="137"/>
      <c r="N54" s="145"/>
      <c r="O54" s="462" t="s">
        <v>1503</v>
      </c>
    </row>
    <row r="55" spans="1:15">
      <c r="A55" s="648">
        <f>ROW()</f>
        <v>55</v>
      </c>
      <c r="B55" s="102" t="s">
        <v>424</v>
      </c>
      <c r="C55" s="1064">
        <v>9000</v>
      </c>
      <c r="D55" s="136" t="s">
        <v>423</v>
      </c>
      <c r="E55" s="136"/>
      <c r="F55" s="136"/>
      <c r="I55" s="137"/>
      <c r="J55" s="137"/>
      <c r="K55" s="137"/>
      <c r="L55" s="137"/>
      <c r="M55" s="137"/>
      <c r="N55" s="145"/>
      <c r="O55" s="462"/>
    </row>
    <row r="56" spans="1:15">
      <c r="A56" s="648">
        <f>ROW()</f>
        <v>56</v>
      </c>
      <c r="B56" s="102" t="s">
        <v>425</v>
      </c>
      <c r="C56" s="1065">
        <v>1</v>
      </c>
      <c r="D56" s="136"/>
      <c r="E56" s="136"/>
      <c r="F56" s="136"/>
      <c r="I56" s="137"/>
      <c r="J56" s="137"/>
      <c r="K56" s="137"/>
      <c r="L56" s="137"/>
      <c r="M56" s="137"/>
      <c r="N56" s="145"/>
      <c r="O56" s="462"/>
    </row>
    <row r="57" spans="1:15">
      <c r="A57" s="648">
        <f>ROW()</f>
        <v>57</v>
      </c>
      <c r="B57" s="102" t="s">
        <v>426</v>
      </c>
      <c r="C57" s="1065">
        <v>0.4</v>
      </c>
      <c r="D57" s="136"/>
      <c r="E57" s="136"/>
      <c r="F57" s="136"/>
      <c r="I57" s="137"/>
      <c r="J57" s="137"/>
      <c r="K57" s="137"/>
      <c r="L57" s="137"/>
      <c r="M57" s="137"/>
      <c r="N57" s="145"/>
      <c r="O57" s="462"/>
    </row>
    <row r="58" spans="1:15">
      <c r="A58" s="648">
        <f>ROW()</f>
        <v>58</v>
      </c>
      <c r="B58" s="102" t="s">
        <v>427</v>
      </c>
      <c r="C58" s="2039">
        <f>(C57*C54)+((1-C57)*C55)</f>
        <v>7800</v>
      </c>
      <c r="D58" s="136" t="s">
        <v>428</v>
      </c>
      <c r="E58" s="136"/>
      <c r="F58" s="136"/>
      <c r="I58" s="137"/>
      <c r="J58" s="137"/>
      <c r="K58" s="137"/>
      <c r="L58" s="137"/>
      <c r="M58" s="137"/>
      <c r="N58" s="145"/>
      <c r="O58" s="462"/>
    </row>
    <row r="59" spans="1:15">
      <c r="A59" s="648">
        <f>ROW()</f>
        <v>59</v>
      </c>
      <c r="B59" s="102" t="s">
        <v>429</v>
      </c>
      <c r="C59" s="929">
        <v>1.4500000000000001E-2</v>
      </c>
      <c r="D59" s="136" t="s">
        <v>430</v>
      </c>
      <c r="E59" s="136"/>
      <c r="F59" s="136"/>
      <c r="I59" s="137"/>
      <c r="J59" s="137"/>
      <c r="K59" s="137"/>
      <c r="L59" s="137"/>
      <c r="M59" s="137"/>
      <c r="N59" s="145"/>
      <c r="O59" s="462"/>
    </row>
    <row r="60" spans="1:15">
      <c r="A60" s="648">
        <f>ROW()</f>
        <v>60</v>
      </c>
      <c r="B60" s="102" t="s">
        <v>431</v>
      </c>
      <c r="C60" s="929">
        <v>0.155</v>
      </c>
      <c r="D60" s="136" t="s">
        <v>430</v>
      </c>
      <c r="E60" s="136"/>
      <c r="F60" s="136"/>
      <c r="I60" s="137"/>
      <c r="J60" s="137"/>
      <c r="K60" s="137"/>
      <c r="L60" s="137"/>
      <c r="M60" s="137"/>
      <c r="N60" s="145"/>
      <c r="O60" s="462"/>
    </row>
    <row r="61" spans="1:15">
      <c r="A61" s="648">
        <f>ROW()</f>
        <v>61</v>
      </c>
      <c r="B61" s="102" t="s">
        <v>432</v>
      </c>
      <c r="C61" s="929">
        <v>1.5E-3</v>
      </c>
      <c r="D61" s="136" t="s">
        <v>430</v>
      </c>
      <c r="E61" s="136"/>
      <c r="F61" s="136"/>
      <c r="I61" s="137"/>
      <c r="J61" s="137"/>
      <c r="K61" s="137"/>
      <c r="L61" s="137"/>
      <c r="M61" s="137"/>
      <c r="N61" s="145"/>
      <c r="O61" s="462"/>
    </row>
    <row r="62" spans="1:15">
      <c r="A62" s="648">
        <f>ROW()</f>
        <v>62</v>
      </c>
      <c r="B62" s="102" t="s">
        <v>433</v>
      </c>
      <c r="C62" s="1066">
        <v>0</v>
      </c>
      <c r="D62" s="136" t="s">
        <v>434</v>
      </c>
      <c r="E62" s="136"/>
      <c r="F62" s="136"/>
      <c r="I62" s="137"/>
      <c r="J62" s="137"/>
      <c r="K62" s="137"/>
      <c r="L62" s="137"/>
      <c r="M62" s="137"/>
      <c r="N62" s="145"/>
      <c r="O62" s="462"/>
    </row>
    <row r="63" spans="1:15">
      <c r="A63" s="648">
        <f>ROW()</f>
        <v>63</v>
      </c>
      <c r="B63" s="102" t="s">
        <v>435</v>
      </c>
      <c r="C63" s="1064">
        <f>36600*0.03</f>
        <v>1098</v>
      </c>
      <c r="D63" s="136" t="s">
        <v>434</v>
      </c>
      <c r="E63" s="136"/>
      <c r="F63" s="136"/>
      <c r="I63" s="137"/>
      <c r="J63" s="137"/>
      <c r="K63" s="137"/>
      <c r="L63" s="137"/>
      <c r="M63" s="137"/>
      <c r="N63" s="145"/>
      <c r="O63" s="462"/>
    </row>
    <row r="64" spans="1:15">
      <c r="A64" s="648">
        <f>ROW()</f>
        <v>64</v>
      </c>
      <c r="B64" s="102" t="s">
        <v>436</v>
      </c>
      <c r="C64" s="1064">
        <f>(36000*0.0059)*1.5</f>
        <v>318.60000000000002</v>
      </c>
      <c r="D64" s="136" t="s">
        <v>434</v>
      </c>
      <c r="E64" s="136"/>
      <c r="F64" s="136"/>
      <c r="I64" s="137"/>
      <c r="J64" s="137"/>
      <c r="K64" s="137"/>
      <c r="L64" s="137"/>
      <c r="M64" s="137"/>
      <c r="N64" s="145"/>
      <c r="O64" s="462"/>
    </row>
    <row r="65" spans="1:15">
      <c r="A65" s="648">
        <f>ROW()</f>
        <v>65</v>
      </c>
      <c r="B65" s="102"/>
      <c r="C65" s="2040"/>
      <c r="D65" s="136"/>
      <c r="E65" s="136"/>
      <c r="F65" s="136"/>
      <c r="I65" s="137"/>
      <c r="J65" s="137"/>
      <c r="K65" s="137"/>
      <c r="L65" s="137"/>
      <c r="M65" s="137"/>
      <c r="N65" s="145"/>
      <c r="O65" s="462"/>
    </row>
    <row r="66" spans="1:15">
      <c r="A66" s="648">
        <f>ROW()</f>
        <v>66</v>
      </c>
      <c r="B66" s="102" t="s">
        <v>376</v>
      </c>
      <c r="C66" s="1064">
        <v>10</v>
      </c>
      <c r="D66" s="136" t="s">
        <v>437</v>
      </c>
      <c r="E66" s="136"/>
      <c r="F66" s="136"/>
      <c r="I66" s="137"/>
      <c r="J66" s="137"/>
      <c r="K66" s="137"/>
      <c r="L66" s="137"/>
      <c r="M66" s="137"/>
      <c r="N66" s="145"/>
      <c r="O66" s="462"/>
    </row>
    <row r="67" spans="1:15">
      <c r="A67" s="648">
        <f>ROW()</f>
        <v>67</v>
      </c>
      <c r="B67" s="102" t="s">
        <v>438</v>
      </c>
      <c r="C67" s="2041" t="s">
        <v>439</v>
      </c>
      <c r="D67" s="136"/>
      <c r="E67" s="136"/>
      <c r="F67" s="136"/>
      <c r="I67" s="137"/>
      <c r="J67" s="137"/>
      <c r="K67" s="137"/>
      <c r="L67" s="137"/>
      <c r="M67" s="137"/>
      <c r="N67" s="145"/>
      <c r="O67" s="462"/>
    </row>
    <row r="68" spans="1:15">
      <c r="A68" s="648">
        <f>ROW()</f>
        <v>68</v>
      </c>
      <c r="B68" s="109" t="s">
        <v>440</v>
      </c>
      <c r="C68" s="929">
        <v>0.02</v>
      </c>
      <c r="D68" s="102" t="s">
        <v>441</v>
      </c>
      <c r="E68" s="109"/>
      <c r="F68" s="109"/>
      <c r="G68" s="111"/>
      <c r="H68" s="111"/>
      <c r="I68" s="82"/>
      <c r="J68" s="82"/>
      <c r="K68" s="82"/>
      <c r="L68" s="82"/>
      <c r="M68" s="82"/>
      <c r="N68" s="145"/>
      <c r="O68" s="462"/>
    </row>
    <row r="69" spans="1:15">
      <c r="A69" s="648">
        <f>ROW()</f>
        <v>69</v>
      </c>
      <c r="B69" s="144"/>
      <c r="C69" s="416"/>
      <c r="D69" s="79"/>
      <c r="E69" s="79"/>
      <c r="F69" s="43"/>
      <c r="N69" s="145"/>
      <c r="O69" s="462"/>
    </row>
    <row r="70" spans="1:15">
      <c r="A70" s="648">
        <f>ROW()</f>
        <v>70</v>
      </c>
      <c r="B70" s="100" t="s">
        <v>442</v>
      </c>
      <c r="C70" s="229">
        <v>180</v>
      </c>
      <c r="D70" s="395"/>
      <c r="E70" s="395"/>
      <c r="F70" s="395"/>
      <c r="H70" s="111"/>
      <c r="I70" s="82"/>
      <c r="J70" s="82"/>
      <c r="K70" s="82"/>
      <c r="L70" s="82"/>
      <c r="M70" s="82"/>
      <c r="N70" s="145"/>
      <c r="O70" s="462"/>
    </row>
    <row r="71" spans="1:15">
      <c r="A71" s="648">
        <f>ROW()</f>
        <v>71</v>
      </c>
      <c r="B71" s="102" t="s">
        <v>443</v>
      </c>
      <c r="C71" s="230">
        <v>0</v>
      </c>
      <c r="D71" s="396"/>
      <c r="E71" s="396"/>
      <c r="F71" s="396"/>
      <c r="H71" s="102"/>
      <c r="I71" s="100"/>
      <c r="J71" s="100"/>
      <c r="K71" s="100"/>
      <c r="L71" s="100"/>
      <c r="M71" s="100"/>
      <c r="N71" s="145"/>
      <c r="O71" s="462"/>
    </row>
    <row r="72" spans="1:15">
      <c r="A72" s="648">
        <f>ROW()</f>
        <v>72</v>
      </c>
      <c r="B72" s="102" t="s">
        <v>444</v>
      </c>
      <c r="C72" s="230">
        <v>0</v>
      </c>
      <c r="D72" s="396"/>
      <c r="E72" s="396"/>
      <c r="F72" s="396"/>
      <c r="H72" s="102"/>
      <c r="I72" s="100"/>
      <c r="J72" s="100"/>
      <c r="K72" s="100"/>
      <c r="L72" s="100"/>
      <c r="M72" s="100"/>
      <c r="N72" s="145"/>
      <c r="O72" s="462"/>
    </row>
    <row r="73" spans="1:15">
      <c r="A73" s="648">
        <f>ROW()</f>
        <v>73</v>
      </c>
      <c r="B73" s="102" t="s">
        <v>445</v>
      </c>
      <c r="C73" s="231">
        <v>0</v>
      </c>
      <c r="D73" s="397"/>
      <c r="E73" s="397"/>
      <c r="F73" s="397"/>
      <c r="H73" s="102"/>
      <c r="I73" s="100"/>
      <c r="J73" s="100"/>
      <c r="K73" s="100"/>
      <c r="L73" s="100"/>
      <c r="M73" s="100"/>
      <c r="N73" s="145"/>
      <c r="O73" s="462"/>
    </row>
    <row r="74" spans="1:15">
      <c r="A74" s="648">
        <f>ROW()</f>
        <v>74</v>
      </c>
      <c r="B74" s="79"/>
      <c r="C74" s="79"/>
      <c r="D74" s="79"/>
      <c r="E74" s="79"/>
      <c r="F74" s="43"/>
      <c r="H74" s="153"/>
      <c r="I74" s="153"/>
      <c r="J74" s="153"/>
      <c r="K74" s="144"/>
      <c r="L74" s="144"/>
      <c r="M74" s="144"/>
      <c r="N74" s="145"/>
      <c r="O74" s="462"/>
    </row>
    <row r="75" spans="1:15" ht="15.6">
      <c r="A75" s="648">
        <f>ROW()</f>
        <v>75</v>
      </c>
      <c r="B75" s="79"/>
      <c r="C75" s="79"/>
      <c r="D75" s="79"/>
      <c r="E75" s="79"/>
      <c r="F75" s="43"/>
      <c r="G75" s="2152" t="s">
        <v>446</v>
      </c>
      <c r="H75" s="153"/>
      <c r="I75" s="153"/>
      <c r="J75" s="153"/>
      <c r="K75" s="100"/>
      <c r="L75" s="100"/>
      <c r="M75" s="100"/>
      <c r="N75" s="145"/>
      <c r="O75" s="462"/>
    </row>
    <row r="76" spans="1:15" outlineLevel="1">
      <c r="A76" s="648">
        <f>ROW()</f>
        <v>76</v>
      </c>
      <c r="B76" s="79"/>
      <c r="C76" s="97" t="s">
        <v>447</v>
      </c>
      <c r="D76" s="97" t="s">
        <v>448</v>
      </c>
      <c r="E76" s="97"/>
      <c r="F76" s="97"/>
      <c r="H76" s="153"/>
      <c r="I76" s="153"/>
      <c r="J76" s="153"/>
      <c r="K76" s="144"/>
      <c r="L76" s="144"/>
      <c r="M76" s="144"/>
      <c r="N76" s="145"/>
      <c r="O76" s="462"/>
    </row>
    <row r="77" spans="1:15" ht="27.6" outlineLevel="1">
      <c r="A77" s="1153">
        <f>ROW()</f>
        <v>77</v>
      </c>
      <c r="B77" s="112" t="s">
        <v>449</v>
      </c>
      <c r="C77" s="83">
        <f>' Enrol &amp; Rev'!$G$10</f>
        <v>2023</v>
      </c>
      <c r="D77" s="234" t="s">
        <v>450</v>
      </c>
      <c r="E77" s="259"/>
      <c r="F77" s="259"/>
      <c r="I77" s="182"/>
      <c r="J77" s="182"/>
      <c r="N77" s="145"/>
      <c r="O77" s="462"/>
    </row>
    <row r="78" spans="1:15" outlineLevel="1">
      <c r="A78" s="648">
        <f>ROW()</f>
        <v>78</v>
      </c>
      <c r="B78" s="899" t="s">
        <v>1210</v>
      </c>
      <c r="C78" s="253"/>
      <c r="D78" s="254"/>
      <c r="E78" s="317"/>
      <c r="F78" s="317"/>
      <c r="G78" s="1044" t="str">
        <f>+B78&amp;" "&amp;"(Enter automatically or manually, hard code)"</f>
        <v>FTE Count &amp; Hiring Timing  (Enter automatically or manually, hard code)</v>
      </c>
      <c r="H78" s="318"/>
      <c r="I78" s="317"/>
      <c r="J78" s="317"/>
      <c r="K78" s="318"/>
      <c r="L78" s="318"/>
      <c r="M78" s="318"/>
      <c r="N78" s="145"/>
      <c r="O78" s="1982" t="s">
        <v>452</v>
      </c>
    </row>
    <row r="79" spans="1:15" outlineLevel="1">
      <c r="A79" s="648">
        <f>ROW()</f>
        <v>79</v>
      </c>
      <c r="B79" s="257" t="s">
        <v>453</v>
      </c>
      <c r="C79" s="83" t="s">
        <v>447</v>
      </c>
      <c r="D79" s="83"/>
      <c r="E79" s="83"/>
      <c r="F79" s="83"/>
      <c r="G79" s="105"/>
      <c r="H79" s="83"/>
      <c r="I79" s="83"/>
      <c r="J79" s="83"/>
      <c r="K79" s="105"/>
      <c r="L79" s="105"/>
      <c r="M79" s="105"/>
      <c r="N79" s="145"/>
      <c r="O79" s="1996" t="s">
        <v>454</v>
      </c>
    </row>
    <row r="80" spans="1:15" outlineLevel="1">
      <c r="A80" s="648">
        <f>ROW()</f>
        <v>80</v>
      </c>
      <c r="B80" s="274" t="s">
        <v>1477</v>
      </c>
      <c r="C80" s="275">
        <v>2023</v>
      </c>
      <c r="D80" s="276">
        <v>100000</v>
      </c>
      <c r="E80" s="2011"/>
      <c r="F80" s="2011"/>
      <c r="G80" s="931">
        <v>1</v>
      </c>
      <c r="H80" s="931">
        <v>1</v>
      </c>
      <c r="I80" s="931">
        <v>1</v>
      </c>
      <c r="J80" s="931">
        <v>1</v>
      </c>
      <c r="K80" s="931">
        <v>1</v>
      </c>
      <c r="L80" s="931">
        <v>1</v>
      </c>
      <c r="M80" s="931">
        <v>1</v>
      </c>
      <c r="N80" s="145"/>
      <c r="O80" s="462"/>
    </row>
    <row r="81" spans="1:15" outlineLevel="1">
      <c r="A81" s="648">
        <f>ROW()</f>
        <v>81</v>
      </c>
      <c r="B81" s="232" t="s">
        <v>455</v>
      </c>
      <c r="C81" s="233">
        <v>2024</v>
      </c>
      <c r="D81" s="235">
        <v>80000</v>
      </c>
      <c r="E81" s="2009"/>
      <c r="F81" s="2009"/>
      <c r="G81" s="930">
        <f>IF($C81&lt;=G$10,1,0)</f>
        <v>0</v>
      </c>
      <c r="H81" s="930">
        <f t="shared" ref="G81:M83" si="15">IF($C81&lt;=H$10,1,0)</f>
        <v>1</v>
      </c>
      <c r="I81" s="930">
        <f t="shared" si="15"/>
        <v>1</v>
      </c>
      <c r="J81" s="930">
        <f t="shared" si="15"/>
        <v>1</v>
      </c>
      <c r="K81" s="930">
        <f t="shared" si="15"/>
        <v>1</v>
      </c>
      <c r="L81" s="930">
        <f t="shared" si="15"/>
        <v>1</v>
      </c>
      <c r="M81" s="930">
        <f t="shared" si="15"/>
        <v>1</v>
      </c>
      <c r="N81" s="145"/>
      <c r="O81" s="462"/>
    </row>
    <row r="82" spans="1:15" outlineLevel="1">
      <c r="A82" s="648">
        <f>ROW()</f>
        <v>82</v>
      </c>
      <c r="B82" s="232" t="s">
        <v>1478</v>
      </c>
      <c r="C82" s="233">
        <v>2026</v>
      </c>
      <c r="D82" s="235">
        <v>65000</v>
      </c>
      <c r="E82" s="2009"/>
      <c r="F82" s="2009"/>
      <c r="G82" s="930">
        <f t="shared" si="15"/>
        <v>0</v>
      </c>
      <c r="H82" s="930">
        <f t="shared" si="15"/>
        <v>0</v>
      </c>
      <c r="I82" s="930">
        <f t="shared" si="15"/>
        <v>0</v>
      </c>
      <c r="J82" s="930">
        <f t="shared" si="15"/>
        <v>1</v>
      </c>
      <c r="K82" s="930">
        <f t="shared" si="15"/>
        <v>1</v>
      </c>
      <c r="L82" s="930">
        <f>IF($C82&lt;=L$10,1,0)</f>
        <v>1</v>
      </c>
      <c r="M82" s="930">
        <f>IF($C82&lt;=M$10,1,0)</f>
        <v>1</v>
      </c>
      <c r="N82" s="100"/>
      <c r="O82" s="462" t="s">
        <v>1528</v>
      </c>
    </row>
    <row r="83" spans="1:15" outlineLevel="1">
      <c r="A83" s="648">
        <f>ROW()</f>
        <v>83</v>
      </c>
      <c r="B83" s="232" t="s">
        <v>1478</v>
      </c>
      <c r="C83" s="233">
        <v>2028</v>
      </c>
      <c r="D83" s="235">
        <v>65000</v>
      </c>
      <c r="E83" s="2009"/>
      <c r="F83" s="2009"/>
      <c r="G83" s="930">
        <f t="shared" si="15"/>
        <v>0</v>
      </c>
      <c r="H83" s="930">
        <f t="shared" si="15"/>
        <v>0</v>
      </c>
      <c r="I83" s="930">
        <f t="shared" si="15"/>
        <v>0</v>
      </c>
      <c r="J83" s="930">
        <f t="shared" si="15"/>
        <v>0</v>
      </c>
      <c r="K83" s="930">
        <f t="shared" si="15"/>
        <v>0</v>
      </c>
      <c r="L83" s="930">
        <f t="shared" si="15"/>
        <v>1</v>
      </c>
      <c r="M83" s="930">
        <f t="shared" si="15"/>
        <v>1</v>
      </c>
      <c r="N83" s="100"/>
      <c r="O83" s="462"/>
    </row>
    <row r="84" spans="1:15" outlineLevel="1">
      <c r="A84" s="648">
        <f>ROW()</f>
        <v>84</v>
      </c>
      <c r="B84" s="232"/>
      <c r="C84" s="233" t="s">
        <v>456</v>
      </c>
      <c r="D84" s="235">
        <v>0</v>
      </c>
      <c r="E84" s="2009"/>
      <c r="F84" s="2009"/>
      <c r="G84" s="930">
        <v>0</v>
      </c>
      <c r="H84" s="930">
        <v>0</v>
      </c>
      <c r="I84" s="930">
        <v>0</v>
      </c>
      <c r="J84" s="930">
        <v>0</v>
      </c>
      <c r="K84" s="930">
        <v>0</v>
      </c>
      <c r="L84" s="930">
        <v>0</v>
      </c>
      <c r="M84" s="930">
        <v>0</v>
      </c>
      <c r="N84" s="100"/>
      <c r="O84" s="462"/>
    </row>
    <row r="85" spans="1:15" outlineLevel="1">
      <c r="A85" s="648">
        <f>ROW()</f>
        <v>85</v>
      </c>
      <c r="B85" s="1957"/>
      <c r="C85" s="2012"/>
      <c r="D85" s="2013"/>
      <c r="E85" s="2013"/>
      <c r="F85" s="2013"/>
      <c r="G85" s="219"/>
      <c r="H85" s="219"/>
      <c r="I85" s="219"/>
      <c r="J85" s="219"/>
      <c r="K85" s="219"/>
      <c r="L85" s="219"/>
      <c r="M85" s="219"/>
      <c r="N85" s="100"/>
      <c r="O85" s="462"/>
    </row>
    <row r="86" spans="1:15" outlineLevel="1">
      <c r="A86" s="648">
        <f>ROW()</f>
        <v>86</v>
      </c>
      <c r="B86" s="2014" t="s">
        <v>457</v>
      </c>
      <c r="C86" s="2015"/>
      <c r="D86" s="2016"/>
      <c r="E86" s="2016"/>
      <c r="F86" s="2016"/>
      <c r="G86" s="2017">
        <f t="shared" ref="G86:M86" si="16">SUM(G80:G84)</f>
        <v>1</v>
      </c>
      <c r="H86" s="2017">
        <f t="shared" si="16"/>
        <v>2</v>
      </c>
      <c r="I86" s="2017">
        <f t="shared" si="16"/>
        <v>2</v>
      </c>
      <c r="J86" s="2017">
        <f t="shared" si="16"/>
        <v>3</v>
      </c>
      <c r="K86" s="2017">
        <f t="shared" si="16"/>
        <v>3</v>
      </c>
      <c r="L86" s="2017">
        <f t="shared" si="16"/>
        <v>4</v>
      </c>
      <c r="M86" s="2017">
        <f t="shared" si="16"/>
        <v>4</v>
      </c>
      <c r="N86" s="100"/>
      <c r="O86" s="462"/>
    </row>
    <row r="87" spans="1:15" outlineLevel="1">
      <c r="A87" s="648">
        <f>ROW()</f>
        <v>87</v>
      </c>
      <c r="B87" s="2018"/>
      <c r="C87" s="2018"/>
      <c r="D87" s="2019"/>
      <c r="E87" s="2019"/>
      <c r="F87" s="2019"/>
      <c r="G87" s="2020"/>
      <c r="H87" s="2020"/>
      <c r="I87" s="2021"/>
      <c r="J87" s="2021"/>
      <c r="K87" s="2021"/>
      <c r="L87" s="2021"/>
      <c r="M87" s="2021"/>
      <c r="N87" s="152"/>
      <c r="O87" s="462"/>
    </row>
    <row r="88" spans="1:15" outlineLevel="1">
      <c r="A88" s="648">
        <f>ROW()</f>
        <v>88</v>
      </c>
      <c r="B88" s="2022" t="s">
        <v>458</v>
      </c>
      <c r="C88" s="2023"/>
      <c r="D88" s="2024"/>
      <c r="E88" s="2024"/>
      <c r="F88" s="2024"/>
      <c r="G88" s="2025"/>
      <c r="H88" s="2025"/>
      <c r="I88" s="2026"/>
      <c r="J88" s="2026"/>
      <c r="K88" s="2026"/>
      <c r="L88" s="2026"/>
      <c r="M88" s="2026"/>
      <c r="N88" s="152"/>
      <c r="O88" s="462"/>
    </row>
    <row r="89" spans="1:15" outlineLevel="1">
      <c r="A89" s="648">
        <f>ROW()</f>
        <v>89</v>
      </c>
      <c r="B89" s="274" t="s">
        <v>459</v>
      </c>
      <c r="C89" s="275">
        <v>2024</v>
      </c>
      <c r="D89" s="277">
        <v>40000</v>
      </c>
      <c r="E89" s="2010"/>
      <c r="F89" s="2010"/>
      <c r="G89" s="931">
        <f t="shared" ref="G89:M91" si="17">IF($C89&lt;=G$10,1,0)</f>
        <v>0</v>
      </c>
      <c r="H89" s="931">
        <f t="shared" si="17"/>
        <v>1</v>
      </c>
      <c r="I89" s="931">
        <f t="shared" si="17"/>
        <v>1</v>
      </c>
      <c r="J89" s="931">
        <f t="shared" si="17"/>
        <v>1</v>
      </c>
      <c r="K89" s="931">
        <f t="shared" si="17"/>
        <v>1</v>
      </c>
      <c r="L89" s="931">
        <f t="shared" si="17"/>
        <v>1</v>
      </c>
      <c r="M89" s="931">
        <f t="shared" si="17"/>
        <v>1</v>
      </c>
      <c r="N89" s="152"/>
      <c r="O89" s="462"/>
    </row>
    <row r="90" spans="1:15" outlineLevel="1">
      <c r="A90" s="648">
        <f>ROW()</f>
        <v>90</v>
      </c>
      <c r="B90" s="274" t="s">
        <v>1479</v>
      </c>
      <c r="C90" s="233">
        <v>2024</v>
      </c>
      <c r="D90" s="235">
        <v>25000</v>
      </c>
      <c r="E90" s="2009"/>
      <c r="F90" s="2009"/>
      <c r="G90" s="930">
        <f t="shared" si="17"/>
        <v>0</v>
      </c>
      <c r="H90" s="930">
        <f>IF($C90&lt;=H$10,1,0)*0.25</f>
        <v>0.25</v>
      </c>
      <c r="I90" s="930">
        <f t="shared" si="17"/>
        <v>1</v>
      </c>
      <c r="J90" s="930">
        <v>2</v>
      </c>
      <c r="K90" s="930">
        <f>+J90</f>
        <v>2</v>
      </c>
      <c r="L90" s="930">
        <f t="shared" ref="L90:M90" si="18">+K90</f>
        <v>2</v>
      </c>
      <c r="M90" s="930">
        <f t="shared" si="18"/>
        <v>2</v>
      </c>
      <c r="N90" s="152"/>
      <c r="O90" s="462" t="s">
        <v>1529</v>
      </c>
    </row>
    <row r="91" spans="1:15" outlineLevel="1">
      <c r="A91" s="648">
        <f>ROW()</f>
        <v>91</v>
      </c>
      <c r="B91" s="232" t="s">
        <v>1480</v>
      </c>
      <c r="C91" s="233">
        <v>2024</v>
      </c>
      <c r="D91" s="235">
        <v>40000</v>
      </c>
      <c r="E91" s="2009"/>
      <c r="F91" s="2009"/>
      <c r="G91" s="930">
        <f t="shared" si="17"/>
        <v>0</v>
      </c>
      <c r="H91" s="930">
        <f t="shared" si="17"/>
        <v>1</v>
      </c>
      <c r="I91" s="930">
        <f t="shared" si="17"/>
        <v>1</v>
      </c>
      <c r="J91" s="930">
        <f t="shared" si="17"/>
        <v>1</v>
      </c>
      <c r="K91" s="930">
        <f t="shared" si="17"/>
        <v>1</v>
      </c>
      <c r="L91" s="930">
        <f t="shared" si="17"/>
        <v>1</v>
      </c>
      <c r="M91" s="930">
        <f t="shared" si="17"/>
        <v>1</v>
      </c>
      <c r="N91" s="152"/>
      <c r="O91" s="462"/>
    </row>
    <row r="92" spans="1:15" outlineLevel="1">
      <c r="A92" s="648">
        <f>ROW()</f>
        <v>92</v>
      </c>
      <c r="B92" s="232" t="s">
        <v>460</v>
      </c>
      <c r="C92" s="233" t="s">
        <v>456</v>
      </c>
      <c r="D92" s="235">
        <v>0</v>
      </c>
      <c r="E92" s="2009"/>
      <c r="F92" s="2009"/>
      <c r="G92" s="930">
        <f t="shared" ref="G92:M92" si="19">IF($C92&lt;=G$10,1,0)</f>
        <v>0</v>
      </c>
      <c r="H92" s="930">
        <f t="shared" si="19"/>
        <v>0</v>
      </c>
      <c r="I92" s="930">
        <f t="shared" si="19"/>
        <v>0</v>
      </c>
      <c r="J92" s="930">
        <f t="shared" si="19"/>
        <v>0</v>
      </c>
      <c r="K92" s="930">
        <f t="shared" si="19"/>
        <v>0</v>
      </c>
      <c r="L92" s="930">
        <f t="shared" si="19"/>
        <v>0</v>
      </c>
      <c r="M92" s="930">
        <f t="shared" si="19"/>
        <v>0</v>
      </c>
      <c r="N92" s="152"/>
      <c r="O92" s="462"/>
    </row>
    <row r="93" spans="1:15" outlineLevel="1">
      <c r="A93" s="648">
        <f>ROW()</f>
        <v>93</v>
      </c>
      <c r="B93" s="2008"/>
      <c r="C93" s="2008"/>
      <c r="D93" s="2027"/>
      <c r="E93" s="2027"/>
      <c r="F93" s="2027"/>
      <c r="G93" s="219"/>
      <c r="H93" s="219"/>
      <c r="I93" s="219"/>
      <c r="J93" s="219"/>
      <c r="K93" s="219"/>
      <c r="L93" s="219"/>
      <c r="M93" s="219"/>
      <c r="N93" s="152"/>
      <c r="O93" s="462"/>
    </row>
    <row r="94" spans="1:15" outlineLevel="1">
      <c r="A94" s="648">
        <f>ROW()</f>
        <v>94</v>
      </c>
      <c r="B94" s="2014" t="s">
        <v>461</v>
      </c>
      <c r="C94" s="2015"/>
      <c r="D94" s="2028"/>
      <c r="E94" s="2028"/>
      <c r="F94" s="2028"/>
      <c r="G94" s="2017">
        <f t="shared" ref="G94:M94" si="20">SUM(G89:G92)+G86</f>
        <v>1</v>
      </c>
      <c r="H94" s="2017">
        <f t="shared" si="20"/>
        <v>4.25</v>
      </c>
      <c r="I94" s="2017">
        <f t="shared" si="20"/>
        <v>5</v>
      </c>
      <c r="J94" s="2017">
        <f t="shared" si="20"/>
        <v>7</v>
      </c>
      <c r="K94" s="2017">
        <f t="shared" si="20"/>
        <v>7</v>
      </c>
      <c r="L94" s="2017">
        <f t="shared" si="20"/>
        <v>8</v>
      </c>
      <c r="M94" s="2017">
        <f t="shared" si="20"/>
        <v>8</v>
      </c>
      <c r="N94" s="152"/>
      <c r="O94" s="462"/>
    </row>
    <row r="95" spans="1:15" outlineLevel="1">
      <c r="A95" s="648">
        <f>ROW()</f>
        <v>95</v>
      </c>
      <c r="B95" s="2029"/>
      <c r="C95" s="2029"/>
      <c r="D95" s="2030"/>
      <c r="E95" s="2030"/>
      <c r="F95" s="2030"/>
      <c r="G95" s="2018"/>
      <c r="H95" s="2018"/>
      <c r="I95" s="2018"/>
      <c r="J95" s="2021"/>
      <c r="K95" s="2021"/>
      <c r="L95" s="2021"/>
      <c r="M95" s="2021"/>
      <c r="N95" s="152"/>
      <c r="O95" s="462"/>
    </row>
    <row r="96" spans="1:15" outlineLevel="1">
      <c r="A96" s="648">
        <f>ROW()</f>
        <v>96</v>
      </c>
      <c r="B96" s="2022" t="s">
        <v>462</v>
      </c>
      <c r="C96" s="2023"/>
      <c r="D96" s="2024"/>
      <c r="E96" s="2024"/>
      <c r="F96" s="2024"/>
      <c r="G96" s="2023"/>
      <c r="H96" s="2023"/>
      <c r="I96" s="2023"/>
      <c r="J96" s="2026"/>
      <c r="K96" s="2026"/>
      <c r="L96" s="2026"/>
      <c r="M96" s="2026"/>
      <c r="N96" s="152"/>
      <c r="O96" s="462"/>
    </row>
    <row r="97" spans="1:15" outlineLevel="1">
      <c r="A97" s="648">
        <f>ROW()</f>
        <v>97</v>
      </c>
      <c r="B97" s="278" t="s">
        <v>1481</v>
      </c>
      <c r="C97" s="279">
        <v>2024</v>
      </c>
      <c r="D97" s="280">
        <v>45000</v>
      </c>
      <c r="E97" s="2010"/>
      <c r="F97" s="2010"/>
      <c r="G97" s="931">
        <f t="shared" ref="G97:M104" si="21">IF($C97&lt;=G$10,1,0)</f>
        <v>0</v>
      </c>
      <c r="H97" s="931">
        <v>1</v>
      </c>
      <c r="I97" s="931">
        <f>+H97</f>
        <v>1</v>
      </c>
      <c r="J97" s="931">
        <f t="shared" ref="J97:M97" si="22">+I97</f>
        <v>1</v>
      </c>
      <c r="K97" s="931">
        <f t="shared" si="22"/>
        <v>1</v>
      </c>
      <c r="L97" s="931">
        <f t="shared" si="22"/>
        <v>1</v>
      </c>
      <c r="M97" s="931">
        <f t="shared" si="22"/>
        <v>1</v>
      </c>
      <c r="N97" s="152"/>
      <c r="O97" s="462"/>
    </row>
    <row r="98" spans="1:15" outlineLevel="1">
      <c r="A98" s="648">
        <f>ROW()</f>
        <v>98</v>
      </c>
      <c r="B98" s="278" t="s">
        <v>1481</v>
      </c>
      <c r="C98" s="228">
        <v>2025</v>
      </c>
      <c r="D98" s="236">
        <v>45000</v>
      </c>
      <c r="E98" s="2009"/>
      <c r="F98" s="2009"/>
      <c r="G98" s="930">
        <f t="shared" si="21"/>
        <v>0</v>
      </c>
      <c r="H98" s="930">
        <f t="shared" si="21"/>
        <v>0</v>
      </c>
      <c r="I98" s="930">
        <f t="shared" si="21"/>
        <v>1</v>
      </c>
      <c r="J98" s="930">
        <f t="shared" si="21"/>
        <v>1</v>
      </c>
      <c r="K98" s="930">
        <f t="shared" si="21"/>
        <v>1</v>
      </c>
      <c r="L98" s="930">
        <f t="shared" si="21"/>
        <v>1</v>
      </c>
      <c r="M98" s="930">
        <f t="shared" si="21"/>
        <v>1</v>
      </c>
      <c r="N98" s="152"/>
      <c r="O98" s="462"/>
    </row>
    <row r="99" spans="1:15" outlineLevel="1">
      <c r="A99" s="648">
        <f>ROW()</f>
        <v>99</v>
      </c>
      <c r="B99" s="278" t="s">
        <v>1481</v>
      </c>
      <c r="C99" s="228">
        <v>2026</v>
      </c>
      <c r="D99" s="236">
        <v>45000</v>
      </c>
      <c r="E99" s="2009"/>
      <c r="F99" s="2009"/>
      <c r="G99" s="930">
        <f t="shared" si="21"/>
        <v>0</v>
      </c>
      <c r="H99" s="930">
        <f t="shared" si="21"/>
        <v>0</v>
      </c>
      <c r="I99" s="930">
        <f t="shared" si="21"/>
        <v>0</v>
      </c>
      <c r="J99" s="930">
        <f t="shared" si="21"/>
        <v>1</v>
      </c>
      <c r="K99" s="930">
        <f t="shared" si="21"/>
        <v>1</v>
      </c>
      <c r="L99" s="930">
        <f t="shared" si="21"/>
        <v>1</v>
      </c>
      <c r="M99" s="930">
        <f t="shared" si="21"/>
        <v>1</v>
      </c>
      <c r="N99" s="152"/>
      <c r="O99" s="462"/>
    </row>
    <row r="100" spans="1:15" outlineLevel="1">
      <c r="A100" s="648">
        <f>ROW()</f>
        <v>100</v>
      </c>
      <c r="B100" s="227" t="s">
        <v>463</v>
      </c>
      <c r="C100" s="228" t="s">
        <v>456</v>
      </c>
      <c r="D100" s="236">
        <v>0</v>
      </c>
      <c r="E100" s="2009"/>
      <c r="F100" s="2009"/>
      <c r="G100" s="930">
        <f t="shared" si="21"/>
        <v>0</v>
      </c>
      <c r="H100" s="930">
        <f t="shared" si="21"/>
        <v>0</v>
      </c>
      <c r="I100" s="930">
        <f t="shared" si="21"/>
        <v>0</v>
      </c>
      <c r="J100" s="930">
        <f t="shared" si="21"/>
        <v>0</v>
      </c>
      <c r="K100" s="930">
        <f t="shared" si="21"/>
        <v>0</v>
      </c>
      <c r="L100" s="930">
        <f t="shared" si="21"/>
        <v>0</v>
      </c>
      <c r="M100" s="930">
        <f t="shared" si="21"/>
        <v>0</v>
      </c>
      <c r="N100" s="152"/>
      <c r="O100" s="462"/>
    </row>
    <row r="101" spans="1:15" outlineLevel="1">
      <c r="A101" s="648">
        <f>ROW()</f>
        <v>101</v>
      </c>
      <c r="B101" s="227" t="s">
        <v>464</v>
      </c>
      <c r="C101" s="228" t="s">
        <v>456</v>
      </c>
      <c r="D101" s="236">
        <v>0</v>
      </c>
      <c r="E101" s="2009"/>
      <c r="F101" s="2009"/>
      <c r="G101" s="930">
        <f t="shared" si="21"/>
        <v>0</v>
      </c>
      <c r="H101" s="930">
        <f t="shared" si="21"/>
        <v>0</v>
      </c>
      <c r="I101" s="930">
        <f t="shared" si="21"/>
        <v>0</v>
      </c>
      <c r="J101" s="930">
        <f t="shared" si="21"/>
        <v>0</v>
      </c>
      <c r="K101" s="930">
        <f t="shared" si="21"/>
        <v>0</v>
      </c>
      <c r="L101" s="930">
        <f t="shared" si="21"/>
        <v>0</v>
      </c>
      <c r="M101" s="930">
        <f t="shared" si="21"/>
        <v>0</v>
      </c>
      <c r="N101" s="152"/>
      <c r="O101" s="462"/>
    </row>
    <row r="102" spans="1:15" outlineLevel="1">
      <c r="A102" s="648">
        <f>ROW()</f>
        <v>102</v>
      </c>
      <c r="B102" s="227" t="s">
        <v>465</v>
      </c>
      <c r="C102" s="228" t="s">
        <v>456</v>
      </c>
      <c r="D102" s="236">
        <v>0</v>
      </c>
      <c r="E102" s="2009"/>
      <c r="F102" s="2009"/>
      <c r="G102" s="930">
        <f t="shared" si="21"/>
        <v>0</v>
      </c>
      <c r="H102" s="930">
        <f t="shared" si="21"/>
        <v>0</v>
      </c>
      <c r="I102" s="930">
        <f t="shared" si="21"/>
        <v>0</v>
      </c>
      <c r="J102" s="930">
        <f t="shared" si="21"/>
        <v>0</v>
      </c>
      <c r="K102" s="930">
        <f t="shared" si="21"/>
        <v>0</v>
      </c>
      <c r="L102" s="930">
        <f t="shared" si="21"/>
        <v>0</v>
      </c>
      <c r="M102" s="930">
        <f t="shared" si="21"/>
        <v>0</v>
      </c>
      <c r="N102" s="152"/>
      <c r="O102" s="462"/>
    </row>
    <row r="103" spans="1:15" outlineLevel="1">
      <c r="A103" s="648">
        <f>ROW()</f>
        <v>103</v>
      </c>
      <c r="B103" s="227" t="s">
        <v>466</v>
      </c>
      <c r="C103" s="228" t="s">
        <v>456</v>
      </c>
      <c r="D103" s="236">
        <v>0</v>
      </c>
      <c r="E103" s="2009"/>
      <c r="F103" s="2009"/>
      <c r="G103" s="930">
        <f t="shared" si="21"/>
        <v>0</v>
      </c>
      <c r="H103" s="930">
        <f t="shared" si="21"/>
        <v>0</v>
      </c>
      <c r="I103" s="930">
        <f t="shared" si="21"/>
        <v>0</v>
      </c>
      <c r="J103" s="930">
        <f t="shared" si="21"/>
        <v>0</v>
      </c>
      <c r="K103" s="930">
        <f t="shared" si="21"/>
        <v>0</v>
      </c>
      <c r="L103" s="930">
        <f t="shared" si="21"/>
        <v>0</v>
      </c>
      <c r="M103" s="930">
        <f t="shared" si="21"/>
        <v>0</v>
      </c>
      <c r="N103" s="152"/>
      <c r="O103" s="462"/>
    </row>
    <row r="104" spans="1:15" outlineLevel="1">
      <c r="A104" s="648">
        <f>ROW()</f>
        <v>104</v>
      </c>
      <c r="B104" s="227" t="s">
        <v>466</v>
      </c>
      <c r="C104" s="228" t="s">
        <v>456</v>
      </c>
      <c r="D104" s="236">
        <v>0</v>
      </c>
      <c r="E104" s="2009"/>
      <c r="F104" s="2009"/>
      <c r="G104" s="930">
        <f t="shared" si="21"/>
        <v>0</v>
      </c>
      <c r="H104" s="930">
        <f t="shared" si="21"/>
        <v>0</v>
      </c>
      <c r="I104" s="930">
        <f t="shared" si="21"/>
        <v>0</v>
      </c>
      <c r="J104" s="930">
        <f t="shared" si="21"/>
        <v>0</v>
      </c>
      <c r="K104" s="930">
        <f t="shared" si="21"/>
        <v>0</v>
      </c>
      <c r="L104" s="930">
        <f t="shared" si="21"/>
        <v>0</v>
      </c>
      <c r="M104" s="930">
        <f t="shared" si="21"/>
        <v>0</v>
      </c>
      <c r="N104" s="152"/>
      <c r="O104" s="462"/>
    </row>
    <row r="105" spans="1:15" outlineLevel="1">
      <c r="A105" s="648">
        <f>ROW()</f>
        <v>105</v>
      </c>
      <c r="B105" s="227" t="s">
        <v>466</v>
      </c>
      <c r="C105" s="228" t="s">
        <v>456</v>
      </c>
      <c r="D105" s="236">
        <v>0</v>
      </c>
      <c r="E105" s="2009"/>
      <c r="F105" s="2009"/>
      <c r="G105" s="932">
        <f t="shared" ref="G105:M105" si="23">IF($C105&lt;=G$10,1,0)</f>
        <v>0</v>
      </c>
      <c r="H105" s="932">
        <f t="shared" si="23"/>
        <v>0</v>
      </c>
      <c r="I105" s="932">
        <f t="shared" si="23"/>
        <v>0</v>
      </c>
      <c r="J105" s="932">
        <f t="shared" si="23"/>
        <v>0</v>
      </c>
      <c r="K105" s="932">
        <f t="shared" si="23"/>
        <v>0</v>
      </c>
      <c r="L105" s="932">
        <f t="shared" si="23"/>
        <v>0</v>
      </c>
      <c r="M105" s="932">
        <f t="shared" si="23"/>
        <v>0</v>
      </c>
      <c r="N105" s="152"/>
      <c r="O105" s="462"/>
    </row>
    <row r="106" spans="1:15" outlineLevel="1">
      <c r="A106" s="648">
        <f>ROW()</f>
        <v>106</v>
      </c>
      <c r="B106" s="2014" t="s">
        <v>467</v>
      </c>
      <c r="C106" s="2014"/>
      <c r="D106" s="2014"/>
      <c r="E106" s="2014"/>
      <c r="F106" s="2014"/>
      <c r="G106" s="2031">
        <f t="shared" ref="G106:M106" si="24">SUM(G97:G105)</f>
        <v>0</v>
      </c>
      <c r="H106" s="2032">
        <f t="shared" si="24"/>
        <v>1</v>
      </c>
      <c r="I106" s="2033">
        <f t="shared" si="24"/>
        <v>2</v>
      </c>
      <c r="J106" s="2033">
        <f t="shared" si="24"/>
        <v>3</v>
      </c>
      <c r="K106" s="2033">
        <f t="shared" si="24"/>
        <v>3</v>
      </c>
      <c r="L106" s="2033">
        <f t="shared" si="24"/>
        <v>3</v>
      </c>
      <c r="M106" s="2033">
        <f t="shared" si="24"/>
        <v>3</v>
      </c>
      <c r="N106" s="152"/>
      <c r="O106" s="462"/>
    </row>
    <row r="107" spans="1:15" outlineLevel="1">
      <c r="A107" s="648"/>
      <c r="B107" s="2008" t="s">
        <v>1343</v>
      </c>
      <c r="C107" s="2034"/>
      <c r="D107" s="2034"/>
      <c r="E107" s="2034"/>
      <c r="F107" s="2034"/>
      <c r="G107" s="2034"/>
      <c r="H107" s="2035">
        <f>+' Enrol &amp; Rev'!G44</f>
        <v>22</v>
      </c>
      <c r="I107" s="2035">
        <f>+' Enrol &amp; Rev'!H44</f>
        <v>33</v>
      </c>
      <c r="J107" s="2035">
        <f>+' Enrol &amp; Rev'!I44</f>
        <v>44</v>
      </c>
      <c r="K107" s="2035">
        <f>+' Enrol &amp; Rev'!J44</f>
        <v>49.5</v>
      </c>
      <c r="L107" s="2035">
        <f>+' Enrol &amp; Rev'!K44</f>
        <v>55</v>
      </c>
      <c r="M107" s="2035">
        <f>+' Enrol &amp; Rev'!L44</f>
        <v>60.5</v>
      </c>
      <c r="N107" s="152"/>
      <c r="O107" s="462"/>
    </row>
    <row r="108" spans="1:15" outlineLevel="1">
      <c r="A108" s="648"/>
      <c r="B108" s="2008" t="s">
        <v>1344</v>
      </c>
      <c r="C108" s="2034"/>
      <c r="D108" s="2034"/>
      <c r="E108" s="2034"/>
      <c r="F108" s="2034"/>
      <c r="G108" s="2034"/>
      <c r="H108" s="2035">
        <f>+H107/H106</f>
        <v>22</v>
      </c>
      <c r="I108" s="2035">
        <f t="shared" ref="I108:M108" si="25">+I107/I106</f>
        <v>16.5</v>
      </c>
      <c r="J108" s="2035">
        <f t="shared" si="25"/>
        <v>14.666666666666666</v>
      </c>
      <c r="K108" s="2035">
        <f t="shared" si="25"/>
        <v>16.5</v>
      </c>
      <c r="L108" s="2035">
        <f t="shared" si="25"/>
        <v>18.333333333333332</v>
      </c>
      <c r="M108" s="2035">
        <f t="shared" si="25"/>
        <v>20.166666666666668</v>
      </c>
      <c r="N108" s="152"/>
      <c r="O108" s="462"/>
    </row>
    <row r="109" spans="1:15" outlineLevel="1">
      <c r="A109" s="648">
        <f>ROW()</f>
        <v>109</v>
      </c>
      <c r="B109" s="2036"/>
      <c r="C109" s="2036"/>
      <c r="D109" s="2036"/>
      <c r="E109" s="2036"/>
      <c r="F109" s="2036"/>
      <c r="G109" s="2020"/>
      <c r="H109" s="2020"/>
      <c r="I109" s="2037"/>
      <c r="J109" s="2037"/>
      <c r="K109" s="2037"/>
      <c r="L109" s="2037"/>
      <c r="M109" s="2037"/>
      <c r="N109" s="152"/>
      <c r="O109" s="462"/>
    </row>
    <row r="110" spans="1:15" ht="15.6" outlineLevel="1">
      <c r="A110" s="648">
        <f>ROW()</f>
        <v>110</v>
      </c>
      <c r="B110" s="2038" t="s">
        <v>468</v>
      </c>
      <c r="C110" s="2023"/>
      <c r="D110" s="2024"/>
      <c r="E110" s="2024"/>
      <c r="F110" s="2024"/>
      <c r="G110" s="2023"/>
      <c r="H110" s="2023"/>
      <c r="I110" s="2023"/>
      <c r="J110" s="2026"/>
      <c r="K110" s="2026"/>
      <c r="L110" s="2026"/>
      <c r="M110" s="2026"/>
      <c r="N110" s="152"/>
      <c r="O110" s="462"/>
    </row>
    <row r="111" spans="1:15" outlineLevel="1">
      <c r="A111" s="648">
        <f>ROW()</f>
        <v>111</v>
      </c>
      <c r="B111" s="278" t="s">
        <v>1482</v>
      </c>
      <c r="C111" s="279">
        <v>2025</v>
      </c>
      <c r="D111" s="280">
        <v>45000</v>
      </c>
      <c r="E111" s="2010"/>
      <c r="F111" s="2010"/>
      <c r="G111" s="931">
        <f t="shared" ref="G111:M119" si="26">IF($C111&lt;=G$10,1,0)</f>
        <v>0</v>
      </c>
      <c r="H111" s="931">
        <f t="shared" si="26"/>
        <v>0</v>
      </c>
      <c r="I111" s="931">
        <f t="shared" si="26"/>
        <v>1</v>
      </c>
      <c r="J111" s="931">
        <f t="shared" si="26"/>
        <v>1</v>
      </c>
      <c r="K111" s="931">
        <f t="shared" si="26"/>
        <v>1</v>
      </c>
      <c r="L111" s="931">
        <f t="shared" si="26"/>
        <v>1</v>
      </c>
      <c r="M111" s="931">
        <f t="shared" si="26"/>
        <v>1</v>
      </c>
      <c r="N111" s="152"/>
      <c r="O111" s="462" t="s">
        <v>1530</v>
      </c>
    </row>
    <row r="112" spans="1:15" outlineLevel="1">
      <c r="A112" s="648">
        <f>ROW()</f>
        <v>112</v>
      </c>
      <c r="B112" s="278" t="s">
        <v>1482</v>
      </c>
      <c r="C112" s="228">
        <v>2026</v>
      </c>
      <c r="D112" s="236">
        <v>45000</v>
      </c>
      <c r="E112" s="2009"/>
      <c r="F112" s="2009"/>
      <c r="G112" s="930">
        <f t="shared" si="26"/>
        <v>0</v>
      </c>
      <c r="H112" s="930">
        <f t="shared" si="26"/>
        <v>0</v>
      </c>
      <c r="I112" s="930">
        <f t="shared" si="26"/>
        <v>0</v>
      </c>
      <c r="J112" s="930">
        <f t="shared" si="26"/>
        <v>1</v>
      </c>
      <c r="K112" s="930">
        <f t="shared" si="26"/>
        <v>1</v>
      </c>
      <c r="L112" s="930">
        <f t="shared" si="26"/>
        <v>1</v>
      </c>
      <c r="M112" s="930">
        <f t="shared" si="26"/>
        <v>1</v>
      </c>
      <c r="N112" s="152"/>
      <c r="O112" s="462"/>
    </row>
    <row r="113" spans="1:15" outlineLevel="1">
      <c r="A113" s="648">
        <f>ROW()</f>
        <v>113</v>
      </c>
      <c r="B113" s="278"/>
      <c r="C113" s="228" t="s">
        <v>456</v>
      </c>
      <c r="D113" s="236">
        <v>0</v>
      </c>
      <c r="E113" s="2009"/>
      <c r="F113" s="2009"/>
      <c r="G113" s="930">
        <f t="shared" si="26"/>
        <v>0</v>
      </c>
      <c r="H113" s="930">
        <f t="shared" si="26"/>
        <v>0</v>
      </c>
      <c r="I113" s="930">
        <f t="shared" si="26"/>
        <v>0</v>
      </c>
      <c r="J113" s="930">
        <f t="shared" si="26"/>
        <v>0</v>
      </c>
      <c r="K113" s="930">
        <f t="shared" si="26"/>
        <v>0</v>
      </c>
      <c r="L113" s="930">
        <f t="shared" si="26"/>
        <v>0</v>
      </c>
      <c r="M113" s="930">
        <f t="shared" si="26"/>
        <v>0</v>
      </c>
      <c r="N113" s="152"/>
      <c r="O113" s="462"/>
    </row>
    <row r="114" spans="1:15" outlineLevel="1">
      <c r="A114" s="648">
        <f>ROW()</f>
        <v>114</v>
      </c>
      <c r="B114" s="227"/>
      <c r="C114" s="228" t="s">
        <v>456</v>
      </c>
      <c r="D114" s="236">
        <v>0</v>
      </c>
      <c r="E114" s="2009"/>
      <c r="F114" s="2009"/>
      <c r="G114" s="930">
        <f t="shared" si="26"/>
        <v>0</v>
      </c>
      <c r="H114" s="930">
        <f t="shared" si="26"/>
        <v>0</v>
      </c>
      <c r="I114" s="930">
        <f t="shared" si="26"/>
        <v>0</v>
      </c>
      <c r="J114" s="930">
        <f t="shared" si="26"/>
        <v>0</v>
      </c>
      <c r="K114" s="930">
        <f t="shared" si="26"/>
        <v>0</v>
      </c>
      <c r="L114" s="930">
        <f t="shared" si="26"/>
        <v>0</v>
      </c>
      <c r="M114" s="930">
        <f t="shared" si="26"/>
        <v>0</v>
      </c>
      <c r="N114" s="152"/>
      <c r="O114" s="462"/>
    </row>
    <row r="115" spans="1:15" outlineLevel="1">
      <c r="A115" s="648">
        <f>ROW()</f>
        <v>115</v>
      </c>
      <c r="B115" s="227"/>
      <c r="C115" s="228" t="s">
        <v>456</v>
      </c>
      <c r="D115" s="236">
        <v>0</v>
      </c>
      <c r="E115" s="2009"/>
      <c r="F115" s="2009"/>
      <c r="G115" s="930">
        <f t="shared" si="26"/>
        <v>0</v>
      </c>
      <c r="H115" s="930">
        <f t="shared" si="26"/>
        <v>0</v>
      </c>
      <c r="I115" s="930">
        <f t="shared" si="26"/>
        <v>0</v>
      </c>
      <c r="J115" s="930">
        <f t="shared" si="26"/>
        <v>0</v>
      </c>
      <c r="K115" s="930">
        <f t="shared" si="26"/>
        <v>0</v>
      </c>
      <c r="L115" s="930">
        <f t="shared" si="26"/>
        <v>0</v>
      </c>
      <c r="M115" s="930">
        <f t="shared" si="26"/>
        <v>0</v>
      </c>
      <c r="N115" s="152"/>
      <c r="O115" s="462"/>
    </row>
    <row r="116" spans="1:15" outlineLevel="1">
      <c r="A116" s="648">
        <f>ROW()</f>
        <v>116</v>
      </c>
      <c r="B116" s="227"/>
      <c r="C116" s="228" t="s">
        <v>456</v>
      </c>
      <c r="D116" s="236">
        <v>0</v>
      </c>
      <c r="E116" s="2009"/>
      <c r="F116" s="2009"/>
      <c r="G116" s="930">
        <f t="shared" si="26"/>
        <v>0</v>
      </c>
      <c r="H116" s="930">
        <f t="shared" si="26"/>
        <v>0</v>
      </c>
      <c r="I116" s="930">
        <f t="shared" si="26"/>
        <v>0</v>
      </c>
      <c r="J116" s="930">
        <f t="shared" si="26"/>
        <v>0</v>
      </c>
      <c r="K116" s="930">
        <f t="shared" si="26"/>
        <v>0</v>
      </c>
      <c r="L116" s="930">
        <f t="shared" si="26"/>
        <v>0</v>
      </c>
      <c r="M116" s="930">
        <f t="shared" si="26"/>
        <v>0</v>
      </c>
      <c r="N116" s="152"/>
      <c r="O116" s="462"/>
    </row>
    <row r="117" spans="1:15" outlineLevel="1">
      <c r="A117" s="648">
        <f>ROW()</f>
        <v>117</v>
      </c>
      <c r="B117" s="227"/>
      <c r="C117" s="228" t="s">
        <v>456</v>
      </c>
      <c r="D117" s="236">
        <v>0</v>
      </c>
      <c r="E117" s="2009"/>
      <c r="F117" s="2009"/>
      <c r="G117" s="930">
        <f t="shared" si="26"/>
        <v>0</v>
      </c>
      <c r="H117" s="930">
        <f t="shared" si="26"/>
        <v>0</v>
      </c>
      <c r="I117" s="930">
        <f t="shared" si="26"/>
        <v>0</v>
      </c>
      <c r="J117" s="930">
        <f t="shared" si="26"/>
        <v>0</v>
      </c>
      <c r="K117" s="930">
        <f t="shared" si="26"/>
        <v>0</v>
      </c>
      <c r="L117" s="930">
        <f t="shared" si="26"/>
        <v>0</v>
      </c>
      <c r="M117" s="930">
        <f t="shared" si="26"/>
        <v>0</v>
      </c>
      <c r="N117" s="152"/>
      <c r="O117" s="462"/>
    </row>
    <row r="118" spans="1:15" outlineLevel="1">
      <c r="A118" s="648">
        <f>ROW()</f>
        <v>118</v>
      </c>
      <c r="B118" s="227"/>
      <c r="C118" s="228" t="s">
        <v>456</v>
      </c>
      <c r="D118" s="236">
        <v>0</v>
      </c>
      <c r="E118" s="2009"/>
      <c r="F118" s="2009"/>
      <c r="G118" s="930">
        <f t="shared" si="26"/>
        <v>0</v>
      </c>
      <c r="H118" s="930">
        <f t="shared" si="26"/>
        <v>0</v>
      </c>
      <c r="I118" s="930">
        <f t="shared" si="26"/>
        <v>0</v>
      </c>
      <c r="J118" s="930">
        <f t="shared" si="26"/>
        <v>0</v>
      </c>
      <c r="K118" s="930">
        <f t="shared" si="26"/>
        <v>0</v>
      </c>
      <c r="L118" s="930">
        <f t="shared" si="26"/>
        <v>0</v>
      </c>
      <c r="M118" s="930">
        <f t="shared" si="26"/>
        <v>0</v>
      </c>
      <c r="N118" s="152"/>
      <c r="O118" s="462"/>
    </row>
    <row r="119" spans="1:15" outlineLevel="1">
      <c r="A119" s="648">
        <f>ROW()</f>
        <v>119</v>
      </c>
      <c r="B119" s="227"/>
      <c r="C119" s="228" t="s">
        <v>456</v>
      </c>
      <c r="D119" s="236"/>
      <c r="E119" s="2009"/>
      <c r="F119" s="2009"/>
      <c r="G119" s="932">
        <f t="shared" si="26"/>
        <v>0</v>
      </c>
      <c r="H119" s="932">
        <f t="shared" si="26"/>
        <v>0</v>
      </c>
      <c r="I119" s="932">
        <f t="shared" si="26"/>
        <v>0</v>
      </c>
      <c r="J119" s="932">
        <f t="shared" si="26"/>
        <v>0</v>
      </c>
      <c r="K119" s="932">
        <f t="shared" si="26"/>
        <v>0</v>
      </c>
      <c r="L119" s="932">
        <f t="shared" si="26"/>
        <v>0</v>
      </c>
      <c r="M119" s="932">
        <f t="shared" si="26"/>
        <v>0</v>
      </c>
      <c r="N119" s="152"/>
      <c r="O119" s="462"/>
    </row>
    <row r="120" spans="1:15" outlineLevel="1">
      <c r="A120" s="648">
        <f>ROW()</f>
        <v>120</v>
      </c>
      <c r="B120" s="2014" t="s">
        <v>469</v>
      </c>
      <c r="C120" s="2014"/>
      <c r="D120" s="2014"/>
      <c r="E120" s="2014"/>
      <c r="F120" s="2014"/>
      <c r="G120" s="2031">
        <f t="shared" ref="G120:M120" si="27">SUM(G111:G119)</f>
        <v>0</v>
      </c>
      <c r="H120" s="2031">
        <f t="shared" si="27"/>
        <v>0</v>
      </c>
      <c r="I120" s="2017">
        <f t="shared" si="27"/>
        <v>1</v>
      </c>
      <c r="J120" s="2017">
        <f t="shared" si="27"/>
        <v>2</v>
      </c>
      <c r="K120" s="2017">
        <f t="shared" si="27"/>
        <v>2</v>
      </c>
      <c r="L120" s="2017">
        <f t="shared" si="27"/>
        <v>2</v>
      </c>
      <c r="M120" s="2017">
        <f t="shared" si="27"/>
        <v>2</v>
      </c>
      <c r="N120" s="152"/>
      <c r="O120" s="462"/>
    </row>
    <row r="121" spans="1:15" outlineLevel="1">
      <c r="A121" s="648">
        <f>ROW()</f>
        <v>121</v>
      </c>
      <c r="B121" s="2036"/>
      <c r="C121" s="2036"/>
      <c r="D121" s="2036"/>
      <c r="E121" s="2036"/>
      <c r="F121" s="2036"/>
      <c r="G121" s="2020"/>
      <c r="H121" s="2020"/>
      <c r="I121" s="2020"/>
      <c r="J121" s="2020"/>
      <c r="K121" s="2020"/>
      <c r="L121" s="2020"/>
      <c r="M121" s="2020"/>
      <c r="N121" s="152"/>
      <c r="O121" s="462"/>
    </row>
    <row r="122" spans="1:15" ht="15.6" outlineLevel="1">
      <c r="A122" s="648">
        <f>ROW()</f>
        <v>122</v>
      </c>
      <c r="B122" s="2038" t="s">
        <v>1313</v>
      </c>
      <c r="C122" s="2023"/>
      <c r="D122" s="2024"/>
      <c r="E122" s="2024"/>
      <c r="F122" s="2024"/>
      <c r="G122" s="2025"/>
      <c r="H122" s="2025"/>
      <c r="I122" s="2025"/>
      <c r="J122" s="2025"/>
      <c r="K122" s="2025"/>
      <c r="L122" s="2025"/>
      <c r="M122" s="2025"/>
      <c r="N122" s="152"/>
      <c r="O122" s="462"/>
    </row>
    <row r="123" spans="1:15" outlineLevel="1">
      <c r="A123" s="648">
        <f>ROW()</f>
        <v>123</v>
      </c>
      <c r="B123" s="278" t="s">
        <v>1483</v>
      </c>
      <c r="C123" s="279">
        <v>2025</v>
      </c>
      <c r="D123" s="280">
        <v>40000</v>
      </c>
      <c r="E123" s="2009"/>
      <c r="F123" s="2009"/>
      <c r="G123" s="931">
        <f t="shared" ref="G123:M131" si="28">IF($C123&lt;=G$10,1,0)</f>
        <v>0</v>
      </c>
      <c r="H123" s="931">
        <f t="shared" si="28"/>
        <v>0</v>
      </c>
      <c r="I123" s="931">
        <f t="shared" si="28"/>
        <v>1</v>
      </c>
      <c r="J123" s="931">
        <f t="shared" si="28"/>
        <v>1</v>
      </c>
      <c r="K123" s="931">
        <f t="shared" si="28"/>
        <v>1</v>
      </c>
      <c r="L123" s="931">
        <f t="shared" si="28"/>
        <v>1</v>
      </c>
      <c r="M123" s="931">
        <f t="shared" si="28"/>
        <v>1</v>
      </c>
      <c r="N123" s="152"/>
      <c r="O123" s="462"/>
    </row>
    <row r="124" spans="1:15" outlineLevel="1">
      <c r="A124" s="648">
        <f>ROW()</f>
        <v>124</v>
      </c>
      <c r="B124" s="227" t="s">
        <v>1484</v>
      </c>
      <c r="C124" s="228">
        <v>2026</v>
      </c>
      <c r="D124" s="236">
        <v>65000</v>
      </c>
      <c r="E124" s="2009"/>
      <c r="F124" s="2009"/>
      <c r="G124" s="930">
        <f t="shared" si="28"/>
        <v>0</v>
      </c>
      <c r="H124" s="930">
        <f t="shared" si="28"/>
        <v>0</v>
      </c>
      <c r="I124" s="930">
        <f t="shared" si="28"/>
        <v>0</v>
      </c>
      <c r="J124" s="930">
        <f t="shared" si="28"/>
        <v>1</v>
      </c>
      <c r="K124" s="930">
        <f t="shared" si="28"/>
        <v>1</v>
      </c>
      <c r="L124" s="930">
        <f t="shared" si="28"/>
        <v>1</v>
      </c>
      <c r="M124" s="930">
        <f t="shared" si="28"/>
        <v>1</v>
      </c>
      <c r="N124" s="152"/>
      <c r="O124" s="462"/>
    </row>
    <row r="125" spans="1:15" outlineLevel="1">
      <c r="A125" s="648">
        <f>ROW()</f>
        <v>125</v>
      </c>
      <c r="B125" s="227" t="s">
        <v>1485</v>
      </c>
      <c r="C125" s="228">
        <v>2024</v>
      </c>
      <c r="D125" s="236">
        <v>24000</v>
      </c>
      <c r="E125" s="2009"/>
      <c r="F125" s="2009"/>
      <c r="G125" s="930">
        <f t="shared" si="28"/>
        <v>0</v>
      </c>
      <c r="H125" s="930">
        <f t="shared" si="28"/>
        <v>1</v>
      </c>
      <c r="I125" s="930">
        <f t="shared" si="28"/>
        <v>1</v>
      </c>
      <c r="J125" s="930">
        <f t="shared" si="28"/>
        <v>1</v>
      </c>
      <c r="K125" s="930">
        <f t="shared" si="28"/>
        <v>1</v>
      </c>
      <c r="L125" s="930">
        <f t="shared" si="28"/>
        <v>1</v>
      </c>
      <c r="M125" s="930">
        <f t="shared" si="28"/>
        <v>1</v>
      </c>
      <c r="N125" s="152"/>
      <c r="O125" s="462"/>
    </row>
    <row r="126" spans="1:15" outlineLevel="1">
      <c r="A126" s="648">
        <f>ROW()</f>
        <v>126</v>
      </c>
      <c r="B126" s="227"/>
      <c r="C126" s="228" t="s">
        <v>456</v>
      </c>
      <c r="D126" s="236">
        <v>0</v>
      </c>
      <c r="E126" s="2009"/>
      <c r="F126" s="2009"/>
      <c r="G126" s="930">
        <f t="shared" si="28"/>
        <v>0</v>
      </c>
      <c r="H126" s="930">
        <f t="shared" si="28"/>
        <v>0</v>
      </c>
      <c r="I126" s="930">
        <f t="shared" si="28"/>
        <v>0</v>
      </c>
      <c r="J126" s="930">
        <f t="shared" si="28"/>
        <v>0</v>
      </c>
      <c r="K126" s="930">
        <f t="shared" si="28"/>
        <v>0</v>
      </c>
      <c r="L126" s="930">
        <f t="shared" si="28"/>
        <v>0</v>
      </c>
      <c r="M126" s="930">
        <f t="shared" si="28"/>
        <v>0</v>
      </c>
      <c r="N126" s="152"/>
      <c r="O126" s="462"/>
    </row>
    <row r="127" spans="1:15" outlineLevel="1">
      <c r="A127" s="648">
        <f>ROW()</f>
        <v>127</v>
      </c>
      <c r="B127" s="227"/>
      <c r="C127" s="228" t="s">
        <v>456</v>
      </c>
      <c r="D127" s="236">
        <v>0</v>
      </c>
      <c r="E127" s="2009"/>
      <c r="F127" s="2009"/>
      <c r="G127" s="930">
        <f t="shared" si="28"/>
        <v>0</v>
      </c>
      <c r="H127" s="930">
        <f t="shared" si="28"/>
        <v>0</v>
      </c>
      <c r="I127" s="930">
        <f t="shared" si="28"/>
        <v>0</v>
      </c>
      <c r="J127" s="930">
        <f t="shared" si="28"/>
        <v>0</v>
      </c>
      <c r="K127" s="930">
        <f t="shared" si="28"/>
        <v>0</v>
      </c>
      <c r="L127" s="930">
        <f t="shared" si="28"/>
        <v>0</v>
      </c>
      <c r="M127" s="930">
        <f t="shared" si="28"/>
        <v>0</v>
      </c>
      <c r="N127" s="152"/>
      <c r="O127" s="462"/>
    </row>
    <row r="128" spans="1:15" outlineLevel="1">
      <c r="A128" s="648">
        <f>ROW()</f>
        <v>128</v>
      </c>
      <c r="B128" s="227"/>
      <c r="C128" s="228" t="s">
        <v>456</v>
      </c>
      <c r="D128" s="236">
        <v>0</v>
      </c>
      <c r="E128" s="2009"/>
      <c r="F128" s="2009"/>
      <c r="G128" s="930">
        <f t="shared" si="28"/>
        <v>0</v>
      </c>
      <c r="H128" s="930">
        <f t="shared" si="28"/>
        <v>0</v>
      </c>
      <c r="I128" s="930">
        <f t="shared" si="28"/>
        <v>0</v>
      </c>
      <c r="J128" s="930">
        <f t="shared" si="28"/>
        <v>0</v>
      </c>
      <c r="K128" s="930">
        <f t="shared" si="28"/>
        <v>0</v>
      </c>
      <c r="L128" s="930">
        <f t="shared" si="28"/>
        <v>0</v>
      </c>
      <c r="M128" s="930">
        <f t="shared" si="28"/>
        <v>0</v>
      </c>
      <c r="N128" s="152"/>
      <c r="O128" s="462"/>
    </row>
    <row r="129" spans="1:15" outlineLevel="1">
      <c r="A129" s="648">
        <f>ROW()</f>
        <v>129</v>
      </c>
      <c r="B129" s="227"/>
      <c r="C129" s="228" t="s">
        <v>456</v>
      </c>
      <c r="D129" s="236">
        <v>0</v>
      </c>
      <c r="E129" s="2009"/>
      <c r="F129" s="2009"/>
      <c r="G129" s="930">
        <f t="shared" si="28"/>
        <v>0</v>
      </c>
      <c r="H129" s="930">
        <f t="shared" si="28"/>
        <v>0</v>
      </c>
      <c r="I129" s="930">
        <f t="shared" si="28"/>
        <v>0</v>
      </c>
      <c r="J129" s="930">
        <f t="shared" si="28"/>
        <v>0</v>
      </c>
      <c r="K129" s="930">
        <f t="shared" si="28"/>
        <v>0</v>
      </c>
      <c r="L129" s="930">
        <f t="shared" si="28"/>
        <v>0</v>
      </c>
      <c r="M129" s="930">
        <f t="shared" si="28"/>
        <v>0</v>
      </c>
      <c r="N129" s="152"/>
      <c r="O129" s="462"/>
    </row>
    <row r="130" spans="1:15" outlineLevel="1">
      <c r="A130" s="648">
        <f>ROW()</f>
        <v>130</v>
      </c>
      <c r="B130" s="227"/>
      <c r="C130" s="228" t="s">
        <v>456</v>
      </c>
      <c r="D130" s="236">
        <v>0</v>
      </c>
      <c r="E130" s="2009"/>
      <c r="F130" s="2009"/>
      <c r="G130" s="930">
        <f t="shared" si="28"/>
        <v>0</v>
      </c>
      <c r="H130" s="930">
        <f t="shared" si="28"/>
        <v>0</v>
      </c>
      <c r="I130" s="930">
        <f t="shared" si="28"/>
        <v>0</v>
      </c>
      <c r="J130" s="930">
        <f t="shared" si="28"/>
        <v>0</v>
      </c>
      <c r="K130" s="930">
        <f t="shared" si="28"/>
        <v>0</v>
      </c>
      <c r="L130" s="930">
        <f t="shared" si="28"/>
        <v>0</v>
      </c>
      <c r="M130" s="930">
        <f t="shared" si="28"/>
        <v>0</v>
      </c>
      <c r="N130" s="152"/>
      <c r="O130" s="462"/>
    </row>
    <row r="131" spans="1:15" outlineLevel="1">
      <c r="A131" s="648">
        <f>ROW()</f>
        <v>131</v>
      </c>
      <c r="B131" s="227"/>
      <c r="C131" s="228" t="s">
        <v>456</v>
      </c>
      <c r="D131" s="236"/>
      <c r="E131" s="2009"/>
      <c r="F131" s="2009"/>
      <c r="G131" s="932">
        <f t="shared" si="28"/>
        <v>0</v>
      </c>
      <c r="H131" s="932">
        <f t="shared" si="28"/>
        <v>0</v>
      </c>
      <c r="I131" s="932">
        <f t="shared" si="28"/>
        <v>0</v>
      </c>
      <c r="J131" s="932">
        <f t="shared" si="28"/>
        <v>0</v>
      </c>
      <c r="K131" s="932">
        <f t="shared" si="28"/>
        <v>0</v>
      </c>
      <c r="L131" s="932">
        <f t="shared" si="28"/>
        <v>0</v>
      </c>
      <c r="M131" s="932">
        <f t="shared" si="28"/>
        <v>0</v>
      </c>
      <c r="N131" s="152"/>
      <c r="O131" s="462"/>
    </row>
    <row r="132" spans="1:15" outlineLevel="1">
      <c r="A132" s="648">
        <f>ROW()</f>
        <v>132</v>
      </c>
      <c r="B132" s="198" t="s">
        <v>470</v>
      </c>
      <c r="C132" s="198"/>
      <c r="D132" s="198"/>
      <c r="E132" s="198"/>
      <c r="F132" s="198"/>
      <c r="G132" s="1615">
        <f t="shared" ref="G132:M132" si="29">SUM(G123:G131)</f>
        <v>0</v>
      </c>
      <c r="H132" s="1615">
        <f t="shared" si="29"/>
        <v>1</v>
      </c>
      <c r="I132" s="465">
        <f t="shared" si="29"/>
        <v>2</v>
      </c>
      <c r="J132" s="465">
        <f t="shared" si="29"/>
        <v>3</v>
      </c>
      <c r="K132" s="465">
        <f t="shared" si="29"/>
        <v>3</v>
      </c>
      <c r="L132" s="465">
        <f t="shared" si="29"/>
        <v>3</v>
      </c>
      <c r="M132" s="465">
        <f t="shared" si="29"/>
        <v>3</v>
      </c>
      <c r="N132" s="152"/>
      <c r="O132" s="462"/>
    </row>
    <row r="133" spans="1:15" outlineLevel="1">
      <c r="A133" s="648">
        <f>ROW()</f>
        <v>133</v>
      </c>
      <c r="B133" s="79"/>
      <c r="C133" s="79"/>
      <c r="D133" s="79"/>
      <c r="E133" s="79"/>
      <c r="F133" s="79"/>
      <c r="G133" s="152"/>
      <c r="H133" s="152"/>
      <c r="I133" s="152"/>
      <c r="J133" s="152"/>
      <c r="K133" s="152"/>
      <c r="L133" s="152"/>
      <c r="M133" s="152"/>
      <c r="N133" s="152"/>
      <c r="O133" s="462"/>
    </row>
    <row r="134" spans="1:15" outlineLevel="1">
      <c r="A134" s="648">
        <f>ROW()</f>
        <v>134</v>
      </c>
      <c r="B134" s="198" t="s">
        <v>471</v>
      </c>
      <c r="C134" s="198"/>
      <c r="D134" s="198"/>
      <c r="E134" s="198"/>
      <c r="F134" s="198"/>
      <c r="G134" s="1615">
        <f t="shared" ref="G134:M134" si="30">+G106+G120+G132</f>
        <v>0</v>
      </c>
      <c r="H134" s="1615">
        <f t="shared" si="30"/>
        <v>2</v>
      </c>
      <c r="I134" s="465">
        <f t="shared" si="30"/>
        <v>5</v>
      </c>
      <c r="J134" s="465">
        <f t="shared" si="30"/>
        <v>8</v>
      </c>
      <c r="K134" s="465">
        <f t="shared" si="30"/>
        <v>8</v>
      </c>
      <c r="L134" s="465">
        <f t="shared" si="30"/>
        <v>8</v>
      </c>
      <c r="M134" s="465">
        <f t="shared" si="30"/>
        <v>8</v>
      </c>
      <c r="N134" s="152"/>
      <c r="O134" s="462"/>
    </row>
    <row r="135" spans="1:15" outlineLevel="1">
      <c r="A135" s="648">
        <f>ROW()</f>
        <v>135</v>
      </c>
      <c r="B135" s="198" t="s">
        <v>472</v>
      </c>
      <c r="C135" s="198"/>
      <c r="D135" s="198"/>
      <c r="E135" s="198"/>
      <c r="F135" s="198"/>
      <c r="G135" s="464">
        <f t="shared" ref="G135:M135" si="31">+G134+G94</f>
        <v>1</v>
      </c>
      <c r="H135" s="464">
        <f t="shared" si="31"/>
        <v>6.25</v>
      </c>
      <c r="I135" s="465">
        <f t="shared" si="31"/>
        <v>10</v>
      </c>
      <c r="J135" s="465">
        <f t="shared" si="31"/>
        <v>15</v>
      </c>
      <c r="K135" s="465">
        <f t="shared" si="31"/>
        <v>15</v>
      </c>
      <c r="L135" s="465">
        <f t="shared" si="31"/>
        <v>16</v>
      </c>
      <c r="M135" s="465">
        <f t="shared" si="31"/>
        <v>16</v>
      </c>
      <c r="N135" s="152"/>
      <c r="O135" s="462"/>
    </row>
    <row r="136" spans="1:15" outlineLevel="1">
      <c r="A136" s="648">
        <f>ROW()</f>
        <v>136</v>
      </c>
      <c r="B136" s="249"/>
      <c r="C136" s="249"/>
      <c r="D136" s="249"/>
      <c r="E136" s="249"/>
      <c r="F136" s="249"/>
      <c r="G136" s="252"/>
      <c r="H136" s="250"/>
      <c r="I136" s="250"/>
      <c r="J136" s="250"/>
      <c r="K136" s="250"/>
      <c r="L136" s="250"/>
      <c r="M136" s="251"/>
      <c r="N136" s="152"/>
      <c r="O136" s="462"/>
    </row>
    <row r="137" spans="1:15" ht="15.6" outlineLevel="1">
      <c r="A137" s="648">
        <f>ROW()</f>
        <v>137</v>
      </c>
      <c r="B137" s="260" t="s">
        <v>473</v>
      </c>
      <c r="C137" s="105"/>
      <c r="D137" s="105"/>
      <c r="E137" s="105"/>
      <c r="F137" s="105"/>
      <c r="G137" s="257"/>
      <c r="H137" s="177"/>
      <c r="I137" s="177"/>
      <c r="J137" s="177"/>
      <c r="K137" s="177"/>
      <c r="L137" s="177"/>
      <c r="M137" s="261"/>
      <c r="N137" s="152"/>
      <c r="O137" s="462"/>
    </row>
    <row r="138" spans="1:15" ht="27.6" outlineLevel="1">
      <c r="A138" s="648">
        <f>ROW()</f>
        <v>138</v>
      </c>
      <c r="B138" s="138" t="s">
        <v>474</v>
      </c>
      <c r="C138" s="97" t="s">
        <v>475</v>
      </c>
      <c r="D138" s="97" t="s">
        <v>476</v>
      </c>
      <c r="E138" s="82" t="s">
        <v>448</v>
      </c>
      <c r="F138" s="138" t="s">
        <v>477</v>
      </c>
      <c r="G138" s="138" t="s">
        <v>451</v>
      </c>
      <c r="H138" s="182" t="s">
        <v>450</v>
      </c>
      <c r="I138" s="138"/>
      <c r="J138" s="138"/>
      <c r="K138" s="100"/>
      <c r="L138" s="152"/>
      <c r="M138" s="100"/>
      <c r="N138" s="152"/>
      <c r="O138" s="462"/>
    </row>
    <row r="139" spans="1:15" outlineLevel="1">
      <c r="A139" s="648">
        <f>ROW()</f>
        <v>139</v>
      </c>
      <c r="B139" s="112" t="s">
        <v>449</v>
      </c>
      <c r="C139" s="83"/>
      <c r="D139" s="83">
        <f>' Enrol &amp; Rev'!$G$10</f>
        <v>2023</v>
      </c>
      <c r="E139" s="257"/>
      <c r="F139" s="257"/>
      <c r="G139" s="105"/>
      <c r="H139" s="105"/>
      <c r="I139" s="234"/>
      <c r="J139" s="234"/>
      <c r="K139" s="234"/>
      <c r="L139" s="261"/>
      <c r="M139" s="105"/>
      <c r="N139" s="152"/>
      <c r="O139" s="462"/>
    </row>
    <row r="140" spans="1:15" outlineLevel="1">
      <c r="A140" s="648">
        <f>ROW()</f>
        <v>140</v>
      </c>
      <c r="B140" s="100"/>
      <c r="C140" s="85"/>
      <c r="D140" s="256"/>
      <c r="E140" s="218"/>
      <c r="F140" s="218"/>
      <c r="G140" s="79" t="s">
        <v>478</v>
      </c>
      <c r="H140" s="100"/>
      <c r="K140" s="79"/>
      <c r="L140" s="152"/>
      <c r="M140" s="100"/>
      <c r="N140" s="152"/>
      <c r="O140" s="462"/>
    </row>
    <row r="141" spans="1:15" outlineLevel="1">
      <c r="A141" s="648">
        <f>ROW()</f>
        <v>141</v>
      </c>
      <c r="B141" s="281" t="s">
        <v>479</v>
      </c>
      <c r="C141" s="233" t="s">
        <v>456</v>
      </c>
      <c r="D141" s="233" t="s">
        <v>480</v>
      </c>
      <c r="E141" s="440">
        <v>0</v>
      </c>
      <c r="F141" s="282" t="s">
        <v>481</v>
      </c>
      <c r="G141" s="930">
        <f>IF($D141&lt;=G$10,1,0)</f>
        <v>0</v>
      </c>
      <c r="H141" s="930">
        <f t="shared" ref="H141:M143" si="32">IF($D141&lt;=H$10,1,0)</f>
        <v>0</v>
      </c>
      <c r="I141" s="930">
        <f t="shared" si="32"/>
        <v>0</v>
      </c>
      <c r="J141" s="930">
        <f t="shared" si="32"/>
        <v>0</v>
      </c>
      <c r="K141" s="930">
        <f t="shared" si="32"/>
        <v>0</v>
      </c>
      <c r="L141" s="930">
        <f t="shared" si="32"/>
        <v>0</v>
      </c>
      <c r="M141" s="930">
        <f t="shared" si="32"/>
        <v>0</v>
      </c>
      <c r="N141" s="100"/>
      <c r="O141" s="462"/>
    </row>
    <row r="142" spans="1:15" outlineLevel="1">
      <c r="A142" s="648">
        <f>ROW()</f>
        <v>142</v>
      </c>
      <c r="B142" s="281" t="s">
        <v>479</v>
      </c>
      <c r="C142" s="233" t="s">
        <v>456</v>
      </c>
      <c r="D142" s="233" t="s">
        <v>480</v>
      </c>
      <c r="E142" s="235">
        <v>0</v>
      </c>
      <c r="F142" s="282" t="s">
        <v>481</v>
      </c>
      <c r="G142" s="930">
        <f>IF($D142&lt;=G$10,1,0)</f>
        <v>0</v>
      </c>
      <c r="H142" s="930">
        <f t="shared" si="32"/>
        <v>0</v>
      </c>
      <c r="I142" s="930">
        <f t="shared" si="32"/>
        <v>0</v>
      </c>
      <c r="J142" s="930">
        <f t="shared" si="32"/>
        <v>0</v>
      </c>
      <c r="K142" s="930">
        <f t="shared" si="32"/>
        <v>0</v>
      </c>
      <c r="L142" s="930">
        <f t="shared" si="32"/>
        <v>0</v>
      </c>
      <c r="M142" s="930">
        <f t="shared" si="32"/>
        <v>0</v>
      </c>
      <c r="N142" s="100"/>
      <c r="O142" s="462"/>
    </row>
    <row r="143" spans="1:15" outlineLevel="1">
      <c r="A143" s="648">
        <f>ROW()</f>
        <v>143</v>
      </c>
      <c r="B143" s="281" t="s">
        <v>479</v>
      </c>
      <c r="C143" s="233" t="s">
        <v>456</v>
      </c>
      <c r="D143" s="233" t="s">
        <v>480</v>
      </c>
      <c r="E143" s="235">
        <v>0</v>
      </c>
      <c r="F143" s="282" t="s">
        <v>481</v>
      </c>
      <c r="G143" s="930">
        <f>IF($D143&lt;=G$10,1,0)</f>
        <v>0</v>
      </c>
      <c r="H143" s="930">
        <f t="shared" si="32"/>
        <v>0</v>
      </c>
      <c r="I143" s="930">
        <f t="shared" si="32"/>
        <v>0</v>
      </c>
      <c r="J143" s="930">
        <f t="shared" si="32"/>
        <v>0</v>
      </c>
      <c r="K143" s="930">
        <f t="shared" si="32"/>
        <v>0</v>
      </c>
      <c r="L143" s="930">
        <f t="shared" si="32"/>
        <v>0</v>
      </c>
      <c r="M143" s="930">
        <f t="shared" si="32"/>
        <v>0</v>
      </c>
      <c r="N143" s="100"/>
      <c r="O143" s="462"/>
    </row>
    <row r="144" spans="1:15" outlineLevel="1">
      <c r="A144" s="648">
        <f>ROW()</f>
        <v>144</v>
      </c>
      <c r="B144" s="1997"/>
      <c r="C144" s="1998"/>
      <c r="D144" s="1998"/>
      <c r="E144" s="1999"/>
      <c r="F144" s="2000"/>
      <c r="G144" s="219"/>
      <c r="H144" s="219"/>
      <c r="I144" s="219"/>
      <c r="J144" s="219"/>
      <c r="K144" s="219"/>
      <c r="L144" s="219"/>
      <c r="M144" s="219"/>
      <c r="N144" s="100"/>
      <c r="O144" s="462"/>
    </row>
    <row r="145" spans="1:15" outlineLevel="1">
      <c r="A145" s="648">
        <f>ROW()</f>
        <v>145</v>
      </c>
      <c r="B145" s="281" t="s">
        <v>482</v>
      </c>
      <c r="C145" s="233" t="s">
        <v>456</v>
      </c>
      <c r="D145" s="233" t="s">
        <v>480</v>
      </c>
      <c r="E145" s="440">
        <v>0</v>
      </c>
      <c r="F145" s="282" t="s">
        <v>481</v>
      </c>
      <c r="G145" s="930">
        <f t="shared" ref="G145:M149" si="33">IF($D145&lt;=G$10,1,0)</f>
        <v>0</v>
      </c>
      <c r="H145" s="930">
        <f t="shared" si="33"/>
        <v>0</v>
      </c>
      <c r="I145" s="930">
        <f t="shared" si="33"/>
        <v>0</v>
      </c>
      <c r="J145" s="930">
        <f t="shared" si="33"/>
        <v>0</v>
      </c>
      <c r="K145" s="930">
        <f t="shared" si="33"/>
        <v>0</v>
      </c>
      <c r="L145" s="930">
        <f t="shared" si="33"/>
        <v>0</v>
      </c>
      <c r="M145" s="930">
        <f t="shared" si="33"/>
        <v>0</v>
      </c>
      <c r="N145" s="100"/>
      <c r="O145" s="462"/>
    </row>
    <row r="146" spans="1:15" outlineLevel="1">
      <c r="A146" s="648">
        <f>ROW()</f>
        <v>146</v>
      </c>
      <c r="B146" s="281" t="s">
        <v>482</v>
      </c>
      <c r="C146" s="233" t="s">
        <v>456</v>
      </c>
      <c r="D146" s="233" t="s">
        <v>480</v>
      </c>
      <c r="E146" s="235">
        <v>0</v>
      </c>
      <c r="F146" s="282" t="s">
        <v>481</v>
      </c>
      <c r="G146" s="930">
        <f t="shared" si="33"/>
        <v>0</v>
      </c>
      <c r="H146" s="930">
        <f t="shared" si="33"/>
        <v>0</v>
      </c>
      <c r="I146" s="930">
        <f t="shared" si="33"/>
        <v>0</v>
      </c>
      <c r="J146" s="930">
        <f t="shared" si="33"/>
        <v>0</v>
      </c>
      <c r="K146" s="930">
        <f t="shared" si="33"/>
        <v>0</v>
      </c>
      <c r="L146" s="930">
        <f t="shared" si="33"/>
        <v>0</v>
      </c>
      <c r="M146" s="930">
        <f t="shared" si="33"/>
        <v>0</v>
      </c>
      <c r="N146" s="100"/>
      <c r="O146" s="462"/>
    </row>
    <row r="147" spans="1:15" outlineLevel="1">
      <c r="A147" s="648">
        <f>ROW()</f>
        <v>147</v>
      </c>
      <c r="B147" s="281" t="s">
        <v>482</v>
      </c>
      <c r="C147" s="233" t="s">
        <v>456</v>
      </c>
      <c r="D147" s="233" t="s">
        <v>480</v>
      </c>
      <c r="E147" s="235">
        <v>0</v>
      </c>
      <c r="F147" s="282" t="s">
        <v>481</v>
      </c>
      <c r="G147" s="930">
        <f t="shared" si="33"/>
        <v>0</v>
      </c>
      <c r="H147" s="930">
        <f t="shared" si="33"/>
        <v>0</v>
      </c>
      <c r="I147" s="930">
        <f t="shared" si="33"/>
        <v>0</v>
      </c>
      <c r="J147" s="930">
        <f t="shared" si="33"/>
        <v>0</v>
      </c>
      <c r="K147" s="930">
        <f t="shared" si="33"/>
        <v>0</v>
      </c>
      <c r="L147" s="930">
        <f t="shared" si="33"/>
        <v>0</v>
      </c>
      <c r="M147" s="930">
        <f t="shared" si="33"/>
        <v>0</v>
      </c>
      <c r="N147" s="100"/>
      <c r="O147" s="462"/>
    </row>
    <row r="148" spans="1:15" outlineLevel="1">
      <c r="A148" s="648">
        <f>ROW()</f>
        <v>148</v>
      </c>
      <c r="B148" s="281" t="s">
        <v>482</v>
      </c>
      <c r="C148" s="233" t="s">
        <v>456</v>
      </c>
      <c r="D148" s="233" t="s">
        <v>480</v>
      </c>
      <c r="E148" s="235">
        <v>0</v>
      </c>
      <c r="F148" s="282" t="s">
        <v>481</v>
      </c>
      <c r="G148" s="930">
        <f t="shared" si="33"/>
        <v>0</v>
      </c>
      <c r="H148" s="930">
        <f t="shared" si="33"/>
        <v>0</v>
      </c>
      <c r="I148" s="930">
        <f t="shared" si="33"/>
        <v>0</v>
      </c>
      <c r="J148" s="930">
        <f t="shared" si="33"/>
        <v>0</v>
      </c>
      <c r="K148" s="930">
        <f t="shared" si="33"/>
        <v>0</v>
      </c>
      <c r="L148" s="930">
        <f t="shared" si="33"/>
        <v>0</v>
      </c>
      <c r="M148" s="930">
        <f t="shared" si="33"/>
        <v>0</v>
      </c>
      <c r="N148" s="100"/>
      <c r="O148" s="462"/>
    </row>
    <row r="149" spans="1:15" outlineLevel="1">
      <c r="A149" s="648">
        <f>ROW()</f>
        <v>149</v>
      </c>
      <c r="B149" s="281"/>
      <c r="C149" s="233" t="s">
        <v>456</v>
      </c>
      <c r="D149" s="233" t="s">
        <v>480</v>
      </c>
      <c r="E149" s="235">
        <v>0</v>
      </c>
      <c r="F149" s="282"/>
      <c r="G149" s="930">
        <f t="shared" si="33"/>
        <v>0</v>
      </c>
      <c r="H149" s="930">
        <f t="shared" si="33"/>
        <v>0</v>
      </c>
      <c r="I149" s="930">
        <f t="shared" si="33"/>
        <v>0</v>
      </c>
      <c r="J149" s="930">
        <f t="shared" si="33"/>
        <v>0</v>
      </c>
      <c r="K149" s="930">
        <f t="shared" si="33"/>
        <v>0</v>
      </c>
      <c r="L149" s="930">
        <f t="shared" si="33"/>
        <v>0</v>
      </c>
      <c r="M149" s="930">
        <f t="shared" si="33"/>
        <v>0</v>
      </c>
      <c r="O149" s="462"/>
    </row>
    <row r="150" spans="1:15" outlineLevel="1">
      <c r="A150" s="648">
        <f>ROW()</f>
        <v>150</v>
      </c>
      <c r="B150" s="1997"/>
      <c r="C150" s="1998"/>
      <c r="D150" s="2001"/>
      <c r="E150" s="2002"/>
      <c r="F150" s="2002"/>
      <c r="G150" s="219"/>
      <c r="H150" s="219"/>
      <c r="I150" s="219"/>
      <c r="J150" s="219"/>
      <c r="K150" s="219"/>
      <c r="L150" s="219"/>
      <c r="M150" s="219"/>
      <c r="O150" s="462"/>
    </row>
    <row r="151" spans="1:15" outlineLevel="1">
      <c r="A151" s="648">
        <f>ROW()</f>
        <v>151</v>
      </c>
      <c r="B151" s="281" t="s">
        <v>483</v>
      </c>
      <c r="C151" s="233" t="s">
        <v>456</v>
      </c>
      <c r="D151" s="233" t="s">
        <v>480</v>
      </c>
      <c r="E151" s="440">
        <v>0</v>
      </c>
      <c r="F151" s="282" t="s">
        <v>481</v>
      </c>
      <c r="G151" s="930">
        <f t="shared" ref="G151:M155" si="34">IF($D151&lt;=G$10,1,0)</f>
        <v>0</v>
      </c>
      <c r="H151" s="930">
        <f t="shared" si="34"/>
        <v>0</v>
      </c>
      <c r="I151" s="930">
        <f t="shared" si="34"/>
        <v>0</v>
      </c>
      <c r="J151" s="930">
        <f t="shared" si="34"/>
        <v>0</v>
      </c>
      <c r="K151" s="930">
        <f t="shared" si="34"/>
        <v>0</v>
      </c>
      <c r="L151" s="930">
        <f t="shared" si="34"/>
        <v>0</v>
      </c>
      <c r="M151" s="930">
        <f t="shared" si="34"/>
        <v>0</v>
      </c>
      <c r="N151" s="100"/>
      <c r="O151" s="462"/>
    </row>
    <row r="152" spans="1:15" outlineLevel="1">
      <c r="A152" s="648">
        <f>ROW()</f>
        <v>152</v>
      </c>
      <c r="B152" s="281" t="s">
        <v>483</v>
      </c>
      <c r="C152" s="233" t="s">
        <v>456</v>
      </c>
      <c r="D152" s="233" t="s">
        <v>480</v>
      </c>
      <c r="E152" s="235">
        <v>0</v>
      </c>
      <c r="F152" s="282" t="s">
        <v>481</v>
      </c>
      <c r="G152" s="930">
        <f t="shared" si="34"/>
        <v>0</v>
      </c>
      <c r="H152" s="930">
        <f t="shared" si="34"/>
        <v>0</v>
      </c>
      <c r="I152" s="930">
        <f t="shared" si="34"/>
        <v>0</v>
      </c>
      <c r="J152" s="930">
        <f t="shared" si="34"/>
        <v>0</v>
      </c>
      <c r="K152" s="930">
        <f t="shared" si="34"/>
        <v>0</v>
      </c>
      <c r="L152" s="930">
        <f t="shared" si="34"/>
        <v>0</v>
      </c>
      <c r="M152" s="930">
        <f t="shared" si="34"/>
        <v>0</v>
      </c>
      <c r="N152" s="100"/>
      <c r="O152" s="462"/>
    </row>
    <row r="153" spans="1:15" outlineLevel="1">
      <c r="A153" s="648">
        <f>ROW()</f>
        <v>153</v>
      </c>
      <c r="B153" s="281" t="s">
        <v>483</v>
      </c>
      <c r="C153" s="233" t="s">
        <v>456</v>
      </c>
      <c r="D153" s="233" t="s">
        <v>480</v>
      </c>
      <c r="E153" s="235">
        <v>0</v>
      </c>
      <c r="F153" s="282" t="s">
        <v>481</v>
      </c>
      <c r="G153" s="930">
        <f t="shared" si="34"/>
        <v>0</v>
      </c>
      <c r="H153" s="930">
        <f t="shared" si="34"/>
        <v>0</v>
      </c>
      <c r="I153" s="930">
        <f t="shared" si="34"/>
        <v>0</v>
      </c>
      <c r="J153" s="930">
        <f t="shared" si="34"/>
        <v>0</v>
      </c>
      <c r="K153" s="930">
        <f t="shared" si="34"/>
        <v>0</v>
      </c>
      <c r="L153" s="930">
        <f t="shared" si="34"/>
        <v>0</v>
      </c>
      <c r="M153" s="930">
        <f t="shared" si="34"/>
        <v>0</v>
      </c>
      <c r="N153" s="100"/>
      <c r="O153" s="462"/>
    </row>
    <row r="154" spans="1:15" outlineLevel="1">
      <c r="A154" s="648">
        <f>ROW()</f>
        <v>154</v>
      </c>
      <c r="B154" s="281" t="s">
        <v>483</v>
      </c>
      <c r="C154" s="233" t="s">
        <v>456</v>
      </c>
      <c r="D154" s="233" t="s">
        <v>480</v>
      </c>
      <c r="E154" s="235">
        <v>0</v>
      </c>
      <c r="F154" s="282" t="s">
        <v>481</v>
      </c>
      <c r="G154" s="930">
        <f t="shared" si="34"/>
        <v>0</v>
      </c>
      <c r="H154" s="930">
        <f t="shared" si="34"/>
        <v>0</v>
      </c>
      <c r="I154" s="930">
        <f t="shared" si="34"/>
        <v>0</v>
      </c>
      <c r="J154" s="930">
        <f t="shared" si="34"/>
        <v>0</v>
      </c>
      <c r="K154" s="930">
        <f t="shared" si="34"/>
        <v>0</v>
      </c>
      <c r="L154" s="930">
        <f t="shared" si="34"/>
        <v>0</v>
      </c>
      <c r="M154" s="930">
        <f t="shared" si="34"/>
        <v>0</v>
      </c>
      <c r="N154" s="100"/>
      <c r="O154" s="462"/>
    </row>
    <row r="155" spans="1:15" outlineLevel="1">
      <c r="A155" s="648">
        <f>ROW()</f>
        <v>155</v>
      </c>
      <c r="B155" s="281"/>
      <c r="C155" s="233" t="s">
        <v>456</v>
      </c>
      <c r="D155" s="233" t="s">
        <v>480</v>
      </c>
      <c r="E155" s="235">
        <v>0</v>
      </c>
      <c r="F155" s="282"/>
      <c r="G155" s="930">
        <f t="shared" si="34"/>
        <v>0</v>
      </c>
      <c r="H155" s="930">
        <f t="shared" si="34"/>
        <v>0</v>
      </c>
      <c r="I155" s="930">
        <f t="shared" si="34"/>
        <v>0</v>
      </c>
      <c r="J155" s="930">
        <f t="shared" si="34"/>
        <v>0</v>
      </c>
      <c r="K155" s="930">
        <f t="shared" si="34"/>
        <v>0</v>
      </c>
      <c r="L155" s="930">
        <f t="shared" si="34"/>
        <v>0</v>
      </c>
      <c r="M155" s="930">
        <f t="shared" si="34"/>
        <v>0</v>
      </c>
      <c r="N155" s="100"/>
      <c r="O155" s="462"/>
    </row>
    <row r="156" spans="1:15" outlineLevel="1">
      <c r="A156" s="648">
        <f>ROW()</f>
        <v>156</v>
      </c>
      <c r="B156" s="1997"/>
      <c r="C156" s="1998"/>
      <c r="D156" s="2000"/>
      <c r="E156" s="2002"/>
      <c r="F156" s="2002"/>
      <c r="G156" s="219"/>
      <c r="H156" s="219"/>
      <c r="I156" s="219"/>
      <c r="J156" s="219"/>
      <c r="K156" s="219"/>
      <c r="L156" s="219"/>
      <c r="M156" s="219"/>
      <c r="N156" s="100"/>
      <c r="O156" s="462"/>
    </row>
    <row r="157" spans="1:15" outlineLevel="1">
      <c r="A157" s="648">
        <f>ROW()</f>
        <v>157</v>
      </c>
      <c r="B157" s="281" t="s">
        <v>484</v>
      </c>
      <c r="C157" s="233" t="s">
        <v>456</v>
      </c>
      <c r="D157" s="233" t="s">
        <v>480</v>
      </c>
      <c r="E157" s="440">
        <v>0</v>
      </c>
      <c r="F157" s="282" t="s">
        <v>481</v>
      </c>
      <c r="G157" s="930">
        <f t="shared" ref="G157:M161" si="35">IF($D157&lt;=G$10,1,0)</f>
        <v>0</v>
      </c>
      <c r="H157" s="930">
        <f t="shared" si="35"/>
        <v>0</v>
      </c>
      <c r="I157" s="930">
        <f t="shared" si="35"/>
        <v>0</v>
      </c>
      <c r="J157" s="930">
        <f t="shared" si="35"/>
        <v>0</v>
      </c>
      <c r="K157" s="930">
        <f t="shared" si="35"/>
        <v>0</v>
      </c>
      <c r="L157" s="930">
        <f t="shared" si="35"/>
        <v>0</v>
      </c>
      <c r="M157" s="930">
        <f t="shared" si="35"/>
        <v>0</v>
      </c>
      <c r="N157" s="100"/>
      <c r="O157" s="462"/>
    </row>
    <row r="158" spans="1:15" outlineLevel="1">
      <c r="A158" s="648">
        <f>ROW()</f>
        <v>158</v>
      </c>
      <c r="B158" s="281" t="s">
        <v>484</v>
      </c>
      <c r="C158" s="233" t="s">
        <v>456</v>
      </c>
      <c r="D158" s="233" t="s">
        <v>480</v>
      </c>
      <c r="E158" s="235">
        <v>0</v>
      </c>
      <c r="F158" s="282" t="s">
        <v>481</v>
      </c>
      <c r="G158" s="930">
        <f t="shared" si="35"/>
        <v>0</v>
      </c>
      <c r="H158" s="930">
        <f t="shared" si="35"/>
        <v>0</v>
      </c>
      <c r="I158" s="930">
        <f t="shared" si="35"/>
        <v>0</v>
      </c>
      <c r="J158" s="930">
        <f t="shared" si="35"/>
        <v>0</v>
      </c>
      <c r="K158" s="930">
        <f t="shared" si="35"/>
        <v>0</v>
      </c>
      <c r="L158" s="930">
        <f t="shared" si="35"/>
        <v>0</v>
      </c>
      <c r="M158" s="930">
        <f t="shared" si="35"/>
        <v>0</v>
      </c>
      <c r="N158" s="100"/>
      <c r="O158" s="462"/>
    </row>
    <row r="159" spans="1:15" outlineLevel="1">
      <c r="A159" s="648">
        <f>ROW()</f>
        <v>159</v>
      </c>
      <c r="B159" s="281" t="s">
        <v>484</v>
      </c>
      <c r="C159" s="233" t="s">
        <v>456</v>
      </c>
      <c r="D159" s="233" t="s">
        <v>480</v>
      </c>
      <c r="E159" s="235">
        <v>0</v>
      </c>
      <c r="F159" s="282" t="s">
        <v>481</v>
      </c>
      <c r="G159" s="930">
        <f t="shared" si="35"/>
        <v>0</v>
      </c>
      <c r="H159" s="930">
        <f t="shared" si="35"/>
        <v>0</v>
      </c>
      <c r="I159" s="930">
        <f t="shared" si="35"/>
        <v>0</v>
      </c>
      <c r="J159" s="930">
        <f t="shared" si="35"/>
        <v>0</v>
      </c>
      <c r="K159" s="930">
        <f t="shared" si="35"/>
        <v>0</v>
      </c>
      <c r="L159" s="930">
        <f t="shared" si="35"/>
        <v>0</v>
      </c>
      <c r="M159" s="930">
        <f t="shared" si="35"/>
        <v>0</v>
      </c>
      <c r="N159" s="100"/>
      <c r="O159" s="462"/>
    </row>
    <row r="160" spans="1:15" outlineLevel="1">
      <c r="A160" s="648">
        <f>ROW()</f>
        <v>160</v>
      </c>
      <c r="B160" s="281" t="s">
        <v>484</v>
      </c>
      <c r="C160" s="233" t="s">
        <v>456</v>
      </c>
      <c r="D160" s="233" t="s">
        <v>480</v>
      </c>
      <c r="E160" s="235">
        <v>0</v>
      </c>
      <c r="F160" s="282" t="s">
        <v>481</v>
      </c>
      <c r="G160" s="930">
        <f t="shared" si="35"/>
        <v>0</v>
      </c>
      <c r="H160" s="930">
        <f t="shared" si="35"/>
        <v>0</v>
      </c>
      <c r="I160" s="930">
        <f t="shared" si="35"/>
        <v>0</v>
      </c>
      <c r="J160" s="930">
        <f t="shared" si="35"/>
        <v>0</v>
      </c>
      <c r="K160" s="930">
        <f t="shared" si="35"/>
        <v>0</v>
      </c>
      <c r="L160" s="930">
        <f t="shared" si="35"/>
        <v>0</v>
      </c>
      <c r="M160" s="930">
        <f t="shared" si="35"/>
        <v>0</v>
      </c>
      <c r="N160" s="100"/>
      <c r="O160" s="462"/>
    </row>
    <row r="161" spans="1:15" outlineLevel="1">
      <c r="A161" s="648">
        <f>ROW()</f>
        <v>161</v>
      </c>
      <c r="B161" s="281"/>
      <c r="C161" s="233" t="s">
        <v>456</v>
      </c>
      <c r="D161" s="233" t="s">
        <v>480</v>
      </c>
      <c r="E161" s="235">
        <v>0</v>
      </c>
      <c r="F161" s="282"/>
      <c r="G161" s="930">
        <f t="shared" si="35"/>
        <v>0</v>
      </c>
      <c r="H161" s="930">
        <f t="shared" si="35"/>
        <v>0</v>
      </c>
      <c r="I161" s="930">
        <f t="shared" si="35"/>
        <v>0</v>
      </c>
      <c r="J161" s="930">
        <f t="shared" si="35"/>
        <v>0</v>
      </c>
      <c r="K161" s="930">
        <f t="shared" si="35"/>
        <v>0</v>
      </c>
      <c r="L161" s="930">
        <f t="shared" si="35"/>
        <v>0</v>
      </c>
      <c r="M161" s="930">
        <f t="shared" si="35"/>
        <v>0</v>
      </c>
      <c r="O161" s="462"/>
    </row>
    <row r="162" spans="1:15" outlineLevel="1">
      <c r="A162" s="648">
        <f>ROW()</f>
        <v>162</v>
      </c>
      <c r="B162" s="1997"/>
      <c r="C162" s="1998"/>
      <c r="D162" s="1998"/>
      <c r="E162" s="2003"/>
      <c r="F162" s="2003"/>
      <c r="G162" s="219"/>
      <c r="H162" s="219"/>
      <c r="I162" s="219"/>
      <c r="J162" s="219"/>
      <c r="K162" s="219"/>
      <c r="L162" s="219"/>
      <c r="M162" s="219"/>
      <c r="N162" s="100"/>
      <c r="O162" s="462"/>
    </row>
    <row r="163" spans="1:15" outlineLevel="1">
      <c r="A163" s="648">
        <f>ROW()</f>
        <v>163</v>
      </c>
      <c r="B163" s="281" t="s">
        <v>485</v>
      </c>
      <c r="C163" s="233" t="s">
        <v>456</v>
      </c>
      <c r="D163" s="233" t="s">
        <v>480</v>
      </c>
      <c r="E163" s="440">
        <v>0</v>
      </c>
      <c r="F163" s="282" t="s">
        <v>481</v>
      </c>
      <c r="G163" s="930">
        <f t="shared" ref="G163:M167" si="36">IF($D163&lt;=G$10,1,0)</f>
        <v>0</v>
      </c>
      <c r="H163" s="930">
        <f t="shared" si="36"/>
        <v>0</v>
      </c>
      <c r="I163" s="930">
        <f t="shared" si="36"/>
        <v>0</v>
      </c>
      <c r="J163" s="930">
        <f t="shared" si="36"/>
        <v>0</v>
      </c>
      <c r="K163" s="930">
        <f t="shared" si="36"/>
        <v>0</v>
      </c>
      <c r="L163" s="930">
        <f t="shared" si="36"/>
        <v>0</v>
      </c>
      <c r="M163" s="930">
        <f t="shared" si="36"/>
        <v>0</v>
      </c>
      <c r="N163" s="100"/>
      <c r="O163" s="462"/>
    </row>
    <row r="164" spans="1:15" outlineLevel="1">
      <c r="A164" s="648">
        <f>ROW()</f>
        <v>164</v>
      </c>
      <c r="B164" s="281" t="s">
        <v>485</v>
      </c>
      <c r="C164" s="233" t="s">
        <v>456</v>
      </c>
      <c r="D164" s="233" t="s">
        <v>480</v>
      </c>
      <c r="E164" s="235">
        <v>0</v>
      </c>
      <c r="F164" s="282" t="s">
        <v>481</v>
      </c>
      <c r="G164" s="930">
        <f t="shared" si="36"/>
        <v>0</v>
      </c>
      <c r="H164" s="930">
        <f t="shared" si="36"/>
        <v>0</v>
      </c>
      <c r="I164" s="930">
        <f t="shared" si="36"/>
        <v>0</v>
      </c>
      <c r="J164" s="930">
        <f t="shared" si="36"/>
        <v>0</v>
      </c>
      <c r="K164" s="930">
        <f t="shared" si="36"/>
        <v>0</v>
      </c>
      <c r="L164" s="930">
        <f t="shared" si="36"/>
        <v>0</v>
      </c>
      <c r="M164" s="930">
        <f t="shared" si="36"/>
        <v>0</v>
      </c>
      <c r="N164" s="100"/>
      <c r="O164" s="462"/>
    </row>
    <row r="165" spans="1:15" outlineLevel="1">
      <c r="A165" s="648">
        <f>ROW()</f>
        <v>165</v>
      </c>
      <c r="B165" s="281" t="s">
        <v>485</v>
      </c>
      <c r="C165" s="233" t="s">
        <v>456</v>
      </c>
      <c r="D165" s="233" t="s">
        <v>480</v>
      </c>
      <c r="E165" s="235">
        <v>0</v>
      </c>
      <c r="F165" s="282" t="s">
        <v>481</v>
      </c>
      <c r="G165" s="930">
        <f t="shared" si="36"/>
        <v>0</v>
      </c>
      <c r="H165" s="930">
        <f t="shared" si="36"/>
        <v>0</v>
      </c>
      <c r="I165" s="930">
        <f t="shared" si="36"/>
        <v>0</v>
      </c>
      <c r="J165" s="930">
        <f t="shared" si="36"/>
        <v>0</v>
      </c>
      <c r="K165" s="930">
        <f t="shared" si="36"/>
        <v>0</v>
      </c>
      <c r="L165" s="930">
        <f t="shared" si="36"/>
        <v>0</v>
      </c>
      <c r="M165" s="930">
        <f t="shared" si="36"/>
        <v>0</v>
      </c>
      <c r="N165" s="100"/>
      <c r="O165" s="462"/>
    </row>
    <row r="166" spans="1:15" outlineLevel="1">
      <c r="A166" s="648">
        <f>ROW()</f>
        <v>166</v>
      </c>
      <c r="B166" s="281" t="s">
        <v>485</v>
      </c>
      <c r="C166" s="233" t="s">
        <v>456</v>
      </c>
      <c r="D166" s="233" t="s">
        <v>480</v>
      </c>
      <c r="E166" s="235">
        <v>0</v>
      </c>
      <c r="F166" s="282" t="s">
        <v>481</v>
      </c>
      <c r="G166" s="930">
        <f t="shared" si="36"/>
        <v>0</v>
      </c>
      <c r="H166" s="930">
        <f t="shared" si="36"/>
        <v>0</v>
      </c>
      <c r="I166" s="930">
        <f t="shared" si="36"/>
        <v>0</v>
      </c>
      <c r="J166" s="930">
        <f t="shared" si="36"/>
        <v>0</v>
      </c>
      <c r="K166" s="930">
        <f t="shared" si="36"/>
        <v>0</v>
      </c>
      <c r="L166" s="930">
        <f t="shared" si="36"/>
        <v>0</v>
      </c>
      <c r="M166" s="930">
        <f t="shared" si="36"/>
        <v>0</v>
      </c>
      <c r="N166" s="100"/>
      <c r="O166" s="462"/>
    </row>
    <row r="167" spans="1:15" outlineLevel="1">
      <c r="A167" s="648">
        <f>ROW()</f>
        <v>167</v>
      </c>
      <c r="B167" s="281"/>
      <c r="C167" s="233" t="s">
        <v>456</v>
      </c>
      <c r="D167" s="233" t="s">
        <v>480</v>
      </c>
      <c r="E167" s="235">
        <v>0</v>
      </c>
      <c r="F167" s="282"/>
      <c r="G167" s="930">
        <f t="shared" si="36"/>
        <v>0</v>
      </c>
      <c r="H167" s="930">
        <f t="shared" si="36"/>
        <v>0</v>
      </c>
      <c r="I167" s="930">
        <f t="shared" si="36"/>
        <v>0</v>
      </c>
      <c r="J167" s="930">
        <f t="shared" si="36"/>
        <v>0</v>
      </c>
      <c r="K167" s="930">
        <f t="shared" si="36"/>
        <v>0</v>
      </c>
      <c r="L167" s="930">
        <f t="shared" si="36"/>
        <v>0</v>
      </c>
      <c r="M167" s="930">
        <f t="shared" si="36"/>
        <v>0</v>
      </c>
      <c r="N167" s="100"/>
      <c r="O167" s="462"/>
    </row>
    <row r="168" spans="1:15" outlineLevel="1">
      <c r="A168" s="648">
        <f>ROW()</f>
        <v>168</v>
      </c>
      <c r="B168" s="1997"/>
      <c r="C168" s="1998"/>
      <c r="D168" s="2000"/>
      <c r="E168" s="2002"/>
      <c r="F168" s="2003"/>
      <c r="G168" s="219"/>
      <c r="H168" s="219"/>
      <c r="I168" s="219"/>
      <c r="J168" s="219"/>
      <c r="K168" s="219"/>
      <c r="L168" s="219"/>
      <c r="M168" s="219"/>
      <c r="N168" s="100"/>
      <c r="O168" s="462"/>
    </row>
    <row r="169" spans="1:15" outlineLevel="1">
      <c r="A169" s="648">
        <f>ROW()</f>
        <v>169</v>
      </c>
      <c r="B169" s="281" t="s">
        <v>486</v>
      </c>
      <c r="C169" s="233" t="s">
        <v>456</v>
      </c>
      <c r="D169" s="233" t="s">
        <v>480</v>
      </c>
      <c r="E169" s="440">
        <v>0</v>
      </c>
      <c r="F169" s="282" t="s">
        <v>481</v>
      </c>
      <c r="G169" s="930">
        <f t="shared" ref="G169:M173" si="37">IF($D169&lt;=G$10,1,0)</f>
        <v>0</v>
      </c>
      <c r="H169" s="930">
        <f t="shared" si="37"/>
        <v>0</v>
      </c>
      <c r="I169" s="930">
        <f t="shared" si="37"/>
        <v>0</v>
      </c>
      <c r="J169" s="930">
        <f t="shared" si="37"/>
        <v>0</v>
      </c>
      <c r="K169" s="930">
        <f t="shared" si="37"/>
        <v>0</v>
      </c>
      <c r="L169" s="930">
        <f t="shared" si="37"/>
        <v>0</v>
      </c>
      <c r="M169" s="930">
        <f t="shared" si="37"/>
        <v>0</v>
      </c>
      <c r="N169" s="100"/>
      <c r="O169" s="462"/>
    </row>
    <row r="170" spans="1:15" outlineLevel="1">
      <c r="A170" s="648">
        <f>ROW()</f>
        <v>170</v>
      </c>
      <c r="B170" s="281" t="s">
        <v>486</v>
      </c>
      <c r="C170" s="233" t="s">
        <v>456</v>
      </c>
      <c r="D170" s="233" t="s">
        <v>480</v>
      </c>
      <c r="E170" s="235">
        <v>0</v>
      </c>
      <c r="F170" s="282" t="s">
        <v>481</v>
      </c>
      <c r="G170" s="930">
        <f t="shared" si="37"/>
        <v>0</v>
      </c>
      <c r="H170" s="930">
        <f t="shared" si="37"/>
        <v>0</v>
      </c>
      <c r="I170" s="930">
        <f t="shared" si="37"/>
        <v>0</v>
      </c>
      <c r="J170" s="930">
        <f t="shared" si="37"/>
        <v>0</v>
      </c>
      <c r="K170" s="930">
        <f t="shared" si="37"/>
        <v>0</v>
      </c>
      <c r="L170" s="930">
        <f t="shared" si="37"/>
        <v>0</v>
      </c>
      <c r="M170" s="930">
        <f t="shared" si="37"/>
        <v>0</v>
      </c>
      <c r="N170" s="100"/>
      <c r="O170" s="462"/>
    </row>
    <row r="171" spans="1:15" outlineLevel="1">
      <c r="A171" s="648">
        <f>ROW()</f>
        <v>171</v>
      </c>
      <c r="B171" s="281" t="s">
        <v>486</v>
      </c>
      <c r="C171" s="233" t="s">
        <v>456</v>
      </c>
      <c r="D171" s="233" t="s">
        <v>480</v>
      </c>
      <c r="E171" s="235">
        <v>0</v>
      </c>
      <c r="F171" s="282" t="s">
        <v>481</v>
      </c>
      <c r="G171" s="930">
        <f t="shared" si="37"/>
        <v>0</v>
      </c>
      <c r="H171" s="930">
        <f t="shared" si="37"/>
        <v>0</v>
      </c>
      <c r="I171" s="930">
        <f t="shared" si="37"/>
        <v>0</v>
      </c>
      <c r="J171" s="930">
        <f t="shared" si="37"/>
        <v>0</v>
      </c>
      <c r="K171" s="930">
        <f t="shared" si="37"/>
        <v>0</v>
      </c>
      <c r="L171" s="930">
        <f t="shared" si="37"/>
        <v>0</v>
      </c>
      <c r="M171" s="930">
        <f t="shared" si="37"/>
        <v>0</v>
      </c>
      <c r="N171" s="100"/>
      <c r="O171" s="462"/>
    </row>
    <row r="172" spans="1:15" outlineLevel="1">
      <c r="A172" s="648">
        <f>ROW()</f>
        <v>172</v>
      </c>
      <c r="B172" s="281" t="s">
        <v>486</v>
      </c>
      <c r="C172" s="233" t="s">
        <v>456</v>
      </c>
      <c r="D172" s="233" t="s">
        <v>480</v>
      </c>
      <c r="E172" s="235">
        <v>0</v>
      </c>
      <c r="F172" s="282" t="s">
        <v>481</v>
      </c>
      <c r="G172" s="930">
        <f t="shared" si="37"/>
        <v>0</v>
      </c>
      <c r="H172" s="930">
        <f t="shared" si="37"/>
        <v>0</v>
      </c>
      <c r="I172" s="930">
        <f t="shared" si="37"/>
        <v>0</v>
      </c>
      <c r="J172" s="930">
        <f t="shared" si="37"/>
        <v>0</v>
      </c>
      <c r="K172" s="930">
        <f t="shared" si="37"/>
        <v>0</v>
      </c>
      <c r="L172" s="930">
        <f t="shared" si="37"/>
        <v>0</v>
      </c>
      <c r="M172" s="930">
        <f t="shared" si="37"/>
        <v>0</v>
      </c>
      <c r="N172" s="100"/>
      <c r="O172" s="462"/>
    </row>
    <row r="173" spans="1:15" outlineLevel="1">
      <c r="A173" s="648">
        <f>ROW()</f>
        <v>173</v>
      </c>
      <c r="B173" s="281"/>
      <c r="C173" s="233" t="s">
        <v>456</v>
      </c>
      <c r="D173" s="233" t="s">
        <v>480</v>
      </c>
      <c r="E173" s="235">
        <v>0</v>
      </c>
      <c r="F173" s="282"/>
      <c r="G173" s="930">
        <f t="shared" si="37"/>
        <v>0</v>
      </c>
      <c r="H173" s="930">
        <f t="shared" si="37"/>
        <v>0</v>
      </c>
      <c r="I173" s="930">
        <f t="shared" si="37"/>
        <v>0</v>
      </c>
      <c r="J173" s="930">
        <f t="shared" si="37"/>
        <v>0</v>
      </c>
      <c r="K173" s="930">
        <f t="shared" si="37"/>
        <v>0</v>
      </c>
      <c r="L173" s="930">
        <f t="shared" si="37"/>
        <v>0</v>
      </c>
      <c r="M173" s="930">
        <f t="shared" si="37"/>
        <v>0</v>
      </c>
      <c r="O173" s="462"/>
    </row>
    <row r="174" spans="1:15" outlineLevel="1">
      <c r="A174" s="648">
        <f>ROW()</f>
        <v>174</v>
      </c>
      <c r="B174" s="1997"/>
      <c r="C174" s="1998"/>
      <c r="D174" s="2001"/>
      <c r="E174" s="2002"/>
      <c r="F174" s="2003"/>
      <c r="G174" s="219"/>
      <c r="H174" s="219"/>
      <c r="I174" s="219"/>
      <c r="J174" s="219"/>
      <c r="K174" s="219"/>
      <c r="L174" s="219"/>
      <c r="M174" s="219"/>
      <c r="N174" s="100"/>
      <c r="O174" s="462"/>
    </row>
    <row r="175" spans="1:15" outlineLevel="1">
      <c r="A175" s="648">
        <f>ROW()</f>
        <v>175</v>
      </c>
      <c r="B175" s="281" t="s">
        <v>487</v>
      </c>
      <c r="C175" s="233" t="s">
        <v>456</v>
      </c>
      <c r="D175" s="233" t="s">
        <v>480</v>
      </c>
      <c r="E175" s="440">
        <v>0</v>
      </c>
      <c r="F175" s="282" t="s">
        <v>481</v>
      </c>
      <c r="G175" s="930">
        <f t="shared" ref="G175:M179" si="38">IF($D175&lt;=G$10,1,0)</f>
        <v>0</v>
      </c>
      <c r="H175" s="930">
        <f t="shared" si="38"/>
        <v>0</v>
      </c>
      <c r="I175" s="930">
        <f t="shared" si="38"/>
        <v>0</v>
      </c>
      <c r="J175" s="930">
        <f t="shared" si="38"/>
        <v>0</v>
      </c>
      <c r="K175" s="930">
        <f t="shared" si="38"/>
        <v>0</v>
      </c>
      <c r="L175" s="930">
        <f t="shared" si="38"/>
        <v>0</v>
      </c>
      <c r="M175" s="930">
        <f t="shared" si="38"/>
        <v>0</v>
      </c>
      <c r="N175" s="100"/>
      <c r="O175" s="462"/>
    </row>
    <row r="176" spans="1:15" outlineLevel="1">
      <c r="A176" s="648">
        <f>ROW()</f>
        <v>176</v>
      </c>
      <c r="B176" s="281" t="s">
        <v>487</v>
      </c>
      <c r="C176" s="233" t="s">
        <v>456</v>
      </c>
      <c r="D176" s="233" t="s">
        <v>480</v>
      </c>
      <c r="E176" s="235">
        <v>0</v>
      </c>
      <c r="F176" s="282" t="s">
        <v>481</v>
      </c>
      <c r="G176" s="930">
        <f t="shared" si="38"/>
        <v>0</v>
      </c>
      <c r="H176" s="930">
        <f t="shared" si="38"/>
        <v>0</v>
      </c>
      <c r="I176" s="930">
        <f t="shared" si="38"/>
        <v>0</v>
      </c>
      <c r="J176" s="930">
        <f t="shared" si="38"/>
        <v>0</v>
      </c>
      <c r="K176" s="930">
        <f t="shared" si="38"/>
        <v>0</v>
      </c>
      <c r="L176" s="930">
        <f t="shared" si="38"/>
        <v>0</v>
      </c>
      <c r="M176" s="930">
        <f t="shared" si="38"/>
        <v>0</v>
      </c>
      <c r="N176" s="100"/>
      <c r="O176" s="462"/>
    </row>
    <row r="177" spans="1:15" outlineLevel="1">
      <c r="A177" s="648">
        <f>ROW()</f>
        <v>177</v>
      </c>
      <c r="B177" s="281" t="s">
        <v>487</v>
      </c>
      <c r="C177" s="233" t="s">
        <v>456</v>
      </c>
      <c r="D177" s="233" t="s">
        <v>480</v>
      </c>
      <c r="E177" s="235">
        <v>0</v>
      </c>
      <c r="F177" s="282" t="s">
        <v>481</v>
      </c>
      <c r="G177" s="930">
        <f t="shared" si="38"/>
        <v>0</v>
      </c>
      <c r="H177" s="930">
        <f t="shared" si="38"/>
        <v>0</v>
      </c>
      <c r="I177" s="930">
        <f t="shared" si="38"/>
        <v>0</v>
      </c>
      <c r="J177" s="930">
        <f t="shared" si="38"/>
        <v>0</v>
      </c>
      <c r="K177" s="930">
        <f t="shared" si="38"/>
        <v>0</v>
      </c>
      <c r="L177" s="930">
        <f t="shared" si="38"/>
        <v>0</v>
      </c>
      <c r="M177" s="930">
        <f t="shared" si="38"/>
        <v>0</v>
      </c>
      <c r="N177" s="100"/>
      <c r="O177" s="462"/>
    </row>
    <row r="178" spans="1:15" outlineLevel="1">
      <c r="A178" s="648">
        <f>ROW()</f>
        <v>178</v>
      </c>
      <c r="B178" s="281" t="s">
        <v>487</v>
      </c>
      <c r="C178" s="233" t="s">
        <v>456</v>
      </c>
      <c r="D178" s="233" t="s">
        <v>480</v>
      </c>
      <c r="E178" s="235">
        <v>0</v>
      </c>
      <c r="F178" s="282" t="s">
        <v>481</v>
      </c>
      <c r="G178" s="930">
        <f t="shared" si="38"/>
        <v>0</v>
      </c>
      <c r="H178" s="930">
        <f t="shared" si="38"/>
        <v>0</v>
      </c>
      <c r="I178" s="930">
        <f t="shared" si="38"/>
        <v>0</v>
      </c>
      <c r="J178" s="930">
        <f t="shared" si="38"/>
        <v>0</v>
      </c>
      <c r="K178" s="930">
        <f t="shared" si="38"/>
        <v>0</v>
      </c>
      <c r="L178" s="930">
        <f t="shared" si="38"/>
        <v>0</v>
      </c>
      <c r="M178" s="930">
        <f t="shared" si="38"/>
        <v>0</v>
      </c>
      <c r="N178" s="100"/>
      <c r="O178" s="462"/>
    </row>
    <row r="179" spans="1:15" outlineLevel="1">
      <c r="A179" s="648">
        <f>ROW()</f>
        <v>179</v>
      </c>
      <c r="B179" s="281"/>
      <c r="C179" s="233" t="s">
        <v>456</v>
      </c>
      <c r="D179" s="233" t="s">
        <v>480</v>
      </c>
      <c r="E179" s="235">
        <v>0</v>
      </c>
      <c r="F179" s="282"/>
      <c r="G179" s="930">
        <f t="shared" si="38"/>
        <v>0</v>
      </c>
      <c r="H179" s="930">
        <f t="shared" si="38"/>
        <v>0</v>
      </c>
      <c r="I179" s="930">
        <f t="shared" si="38"/>
        <v>0</v>
      </c>
      <c r="J179" s="930">
        <f t="shared" si="38"/>
        <v>0</v>
      </c>
      <c r="K179" s="930">
        <f t="shared" si="38"/>
        <v>0</v>
      </c>
      <c r="L179" s="930">
        <f t="shared" si="38"/>
        <v>0</v>
      </c>
      <c r="M179" s="930">
        <f t="shared" si="38"/>
        <v>0</v>
      </c>
      <c r="N179" s="100"/>
      <c r="O179" s="462"/>
    </row>
    <row r="180" spans="1:15" outlineLevel="1">
      <c r="A180" s="648">
        <f>ROW()</f>
        <v>180</v>
      </c>
      <c r="B180" s="1997"/>
      <c r="C180" s="2004"/>
      <c r="D180" s="2000"/>
      <c r="E180" s="2002"/>
      <c r="F180" s="2003"/>
      <c r="G180" s="219"/>
      <c r="H180" s="219"/>
      <c r="I180" s="219"/>
      <c r="J180" s="219"/>
      <c r="K180" s="219"/>
      <c r="L180" s="219"/>
      <c r="M180" s="219"/>
      <c r="N180" s="100"/>
      <c r="O180" s="462"/>
    </row>
    <row r="181" spans="1:15" outlineLevel="1">
      <c r="A181" s="648">
        <f>ROW()</f>
        <v>181</v>
      </c>
      <c r="B181" s="281" t="s">
        <v>488</v>
      </c>
      <c r="C181" s="233" t="s">
        <v>456</v>
      </c>
      <c r="D181" s="233" t="s">
        <v>480</v>
      </c>
      <c r="E181" s="440">
        <v>0</v>
      </c>
      <c r="F181" s="282" t="s">
        <v>481</v>
      </c>
      <c r="G181" s="930">
        <f t="shared" ref="G181:M185" si="39">IF($D181&lt;=G$10,1,0)</f>
        <v>0</v>
      </c>
      <c r="H181" s="930">
        <f t="shared" si="39"/>
        <v>0</v>
      </c>
      <c r="I181" s="930">
        <f t="shared" si="39"/>
        <v>0</v>
      </c>
      <c r="J181" s="930">
        <f t="shared" si="39"/>
        <v>0</v>
      </c>
      <c r="K181" s="930">
        <f t="shared" si="39"/>
        <v>0</v>
      </c>
      <c r="L181" s="930">
        <f t="shared" si="39"/>
        <v>0</v>
      </c>
      <c r="M181" s="930">
        <f t="shared" si="39"/>
        <v>0</v>
      </c>
      <c r="N181" s="100"/>
      <c r="O181" s="462"/>
    </row>
    <row r="182" spans="1:15" outlineLevel="1">
      <c r="A182" s="648">
        <f>ROW()</f>
        <v>182</v>
      </c>
      <c r="B182" s="281" t="s">
        <v>488</v>
      </c>
      <c r="C182" s="233" t="s">
        <v>456</v>
      </c>
      <c r="D182" s="233" t="s">
        <v>480</v>
      </c>
      <c r="E182" s="235">
        <v>0</v>
      </c>
      <c r="F182" s="282" t="s">
        <v>481</v>
      </c>
      <c r="G182" s="930">
        <f t="shared" si="39"/>
        <v>0</v>
      </c>
      <c r="H182" s="930">
        <f t="shared" si="39"/>
        <v>0</v>
      </c>
      <c r="I182" s="930">
        <f t="shared" si="39"/>
        <v>0</v>
      </c>
      <c r="J182" s="930">
        <f t="shared" si="39"/>
        <v>0</v>
      </c>
      <c r="K182" s="930">
        <f t="shared" si="39"/>
        <v>0</v>
      </c>
      <c r="L182" s="930">
        <f t="shared" si="39"/>
        <v>0</v>
      </c>
      <c r="M182" s="930">
        <f t="shared" si="39"/>
        <v>0</v>
      </c>
      <c r="N182" s="100"/>
      <c r="O182" s="462"/>
    </row>
    <row r="183" spans="1:15" outlineLevel="1">
      <c r="A183" s="648">
        <f>ROW()</f>
        <v>183</v>
      </c>
      <c r="B183" s="281" t="s">
        <v>488</v>
      </c>
      <c r="C183" s="233" t="s">
        <v>456</v>
      </c>
      <c r="D183" s="233" t="s">
        <v>480</v>
      </c>
      <c r="E183" s="235">
        <v>0</v>
      </c>
      <c r="F183" s="282" t="s">
        <v>481</v>
      </c>
      <c r="G183" s="930">
        <f t="shared" si="39"/>
        <v>0</v>
      </c>
      <c r="H183" s="930">
        <f t="shared" si="39"/>
        <v>0</v>
      </c>
      <c r="I183" s="930">
        <f t="shared" si="39"/>
        <v>0</v>
      </c>
      <c r="J183" s="930">
        <f t="shared" si="39"/>
        <v>0</v>
      </c>
      <c r="K183" s="930">
        <f t="shared" si="39"/>
        <v>0</v>
      </c>
      <c r="L183" s="930">
        <f t="shared" si="39"/>
        <v>0</v>
      </c>
      <c r="M183" s="930">
        <f t="shared" si="39"/>
        <v>0</v>
      </c>
      <c r="N183" s="100"/>
      <c r="O183" s="462"/>
    </row>
    <row r="184" spans="1:15" outlineLevel="1">
      <c r="A184" s="648">
        <f>ROW()</f>
        <v>184</v>
      </c>
      <c r="B184" s="281" t="s">
        <v>488</v>
      </c>
      <c r="C184" s="233" t="s">
        <v>456</v>
      </c>
      <c r="D184" s="233" t="s">
        <v>480</v>
      </c>
      <c r="E184" s="235">
        <v>0</v>
      </c>
      <c r="F184" s="282" t="s">
        <v>481</v>
      </c>
      <c r="G184" s="930">
        <f t="shared" si="39"/>
        <v>0</v>
      </c>
      <c r="H184" s="930">
        <f t="shared" si="39"/>
        <v>0</v>
      </c>
      <c r="I184" s="930">
        <f t="shared" si="39"/>
        <v>0</v>
      </c>
      <c r="J184" s="930">
        <f t="shared" si="39"/>
        <v>0</v>
      </c>
      <c r="K184" s="930">
        <f t="shared" si="39"/>
        <v>0</v>
      </c>
      <c r="L184" s="930">
        <f t="shared" si="39"/>
        <v>0</v>
      </c>
      <c r="M184" s="930">
        <f t="shared" si="39"/>
        <v>0</v>
      </c>
      <c r="N184" s="100"/>
      <c r="O184" s="462"/>
    </row>
    <row r="185" spans="1:15" outlineLevel="1">
      <c r="A185" s="648">
        <f>ROW()</f>
        <v>185</v>
      </c>
      <c r="B185" s="281"/>
      <c r="C185" s="233" t="s">
        <v>456</v>
      </c>
      <c r="D185" s="233" t="s">
        <v>480</v>
      </c>
      <c r="E185" s="235">
        <v>0</v>
      </c>
      <c r="F185" s="282" t="s">
        <v>481</v>
      </c>
      <c r="G185" s="930">
        <f t="shared" si="39"/>
        <v>0</v>
      </c>
      <c r="H185" s="930">
        <f t="shared" si="39"/>
        <v>0</v>
      </c>
      <c r="I185" s="930">
        <f t="shared" si="39"/>
        <v>0</v>
      </c>
      <c r="J185" s="930">
        <f t="shared" si="39"/>
        <v>0</v>
      </c>
      <c r="K185" s="930">
        <f t="shared" si="39"/>
        <v>0</v>
      </c>
      <c r="L185" s="930">
        <f t="shared" si="39"/>
        <v>0</v>
      </c>
      <c r="M185" s="930">
        <f t="shared" si="39"/>
        <v>0</v>
      </c>
      <c r="O185" s="462"/>
    </row>
    <row r="186" spans="1:15" outlineLevel="1">
      <c r="A186" s="648">
        <f>ROW()</f>
        <v>186</v>
      </c>
      <c r="B186" s="1997"/>
      <c r="C186" s="1998"/>
      <c r="D186" s="2001"/>
      <c r="E186" s="2002"/>
      <c r="F186" s="2003"/>
      <c r="G186" s="219"/>
      <c r="H186" s="219"/>
      <c r="I186" s="219"/>
      <c r="J186" s="219"/>
      <c r="K186" s="219"/>
      <c r="L186" s="219"/>
      <c r="M186" s="219"/>
      <c r="N186" s="100"/>
      <c r="O186" s="462"/>
    </row>
    <row r="187" spans="1:15" outlineLevel="1">
      <c r="A187" s="648">
        <f>ROW()</f>
        <v>187</v>
      </c>
      <c r="B187" s="281" t="s">
        <v>489</v>
      </c>
      <c r="C187" s="233" t="s">
        <v>456</v>
      </c>
      <c r="D187" s="233" t="s">
        <v>480</v>
      </c>
      <c r="E187" s="440">
        <v>0</v>
      </c>
      <c r="F187" s="282" t="s">
        <v>481</v>
      </c>
      <c r="G187" s="930">
        <f t="shared" ref="G187:M192" si="40">IF($D187&lt;=G$10,1,0)</f>
        <v>0</v>
      </c>
      <c r="H187" s="930">
        <f t="shared" si="40"/>
        <v>0</v>
      </c>
      <c r="I187" s="930">
        <f t="shared" si="40"/>
        <v>0</v>
      </c>
      <c r="J187" s="930">
        <f t="shared" si="40"/>
        <v>0</v>
      </c>
      <c r="K187" s="930">
        <f t="shared" si="40"/>
        <v>0</v>
      </c>
      <c r="L187" s="930">
        <f t="shared" si="40"/>
        <v>0</v>
      </c>
      <c r="M187" s="930">
        <f t="shared" si="40"/>
        <v>0</v>
      </c>
      <c r="N187" s="100"/>
      <c r="O187" s="462"/>
    </row>
    <row r="188" spans="1:15" outlineLevel="1">
      <c r="A188" s="648">
        <f>ROW()</f>
        <v>188</v>
      </c>
      <c r="B188" s="281" t="s">
        <v>489</v>
      </c>
      <c r="C188" s="233" t="s">
        <v>456</v>
      </c>
      <c r="D188" s="233" t="s">
        <v>480</v>
      </c>
      <c r="E188" s="235">
        <v>0</v>
      </c>
      <c r="F188" s="282" t="s">
        <v>481</v>
      </c>
      <c r="G188" s="930">
        <f t="shared" si="40"/>
        <v>0</v>
      </c>
      <c r="H188" s="930">
        <f t="shared" si="40"/>
        <v>0</v>
      </c>
      <c r="I188" s="930">
        <f t="shared" si="40"/>
        <v>0</v>
      </c>
      <c r="J188" s="930">
        <f t="shared" si="40"/>
        <v>0</v>
      </c>
      <c r="K188" s="930">
        <f t="shared" si="40"/>
        <v>0</v>
      </c>
      <c r="L188" s="930">
        <f t="shared" si="40"/>
        <v>0</v>
      </c>
      <c r="M188" s="930">
        <f t="shared" si="40"/>
        <v>0</v>
      </c>
      <c r="N188" s="100"/>
      <c r="O188" s="462"/>
    </row>
    <row r="189" spans="1:15" outlineLevel="1">
      <c r="A189" s="648">
        <f>ROW()</f>
        <v>189</v>
      </c>
      <c r="B189" s="281" t="s">
        <v>489</v>
      </c>
      <c r="C189" s="233" t="s">
        <v>456</v>
      </c>
      <c r="D189" s="233" t="s">
        <v>480</v>
      </c>
      <c r="E189" s="235">
        <v>0</v>
      </c>
      <c r="F189" s="282" t="s">
        <v>481</v>
      </c>
      <c r="G189" s="930">
        <f t="shared" si="40"/>
        <v>0</v>
      </c>
      <c r="H189" s="930">
        <f t="shared" si="40"/>
        <v>0</v>
      </c>
      <c r="I189" s="930">
        <f t="shared" si="40"/>
        <v>0</v>
      </c>
      <c r="J189" s="930">
        <f t="shared" si="40"/>
        <v>0</v>
      </c>
      <c r="K189" s="930">
        <f t="shared" si="40"/>
        <v>0</v>
      </c>
      <c r="L189" s="930">
        <f t="shared" si="40"/>
        <v>0</v>
      </c>
      <c r="M189" s="930">
        <f t="shared" si="40"/>
        <v>0</v>
      </c>
      <c r="N189" s="100"/>
      <c r="O189" s="462"/>
    </row>
    <row r="190" spans="1:15" outlineLevel="1">
      <c r="A190" s="648">
        <f>ROW()</f>
        <v>190</v>
      </c>
      <c r="B190" s="281" t="s">
        <v>489</v>
      </c>
      <c r="C190" s="233" t="s">
        <v>456</v>
      </c>
      <c r="D190" s="233" t="s">
        <v>480</v>
      </c>
      <c r="E190" s="235">
        <v>0</v>
      </c>
      <c r="F190" s="282" t="s">
        <v>481</v>
      </c>
      <c r="G190" s="930">
        <f t="shared" si="40"/>
        <v>0</v>
      </c>
      <c r="H190" s="930">
        <f t="shared" si="40"/>
        <v>0</v>
      </c>
      <c r="I190" s="930">
        <f t="shared" si="40"/>
        <v>0</v>
      </c>
      <c r="J190" s="930">
        <f t="shared" si="40"/>
        <v>0</v>
      </c>
      <c r="K190" s="930">
        <f t="shared" si="40"/>
        <v>0</v>
      </c>
      <c r="L190" s="930">
        <f t="shared" si="40"/>
        <v>0</v>
      </c>
      <c r="M190" s="930">
        <f t="shared" si="40"/>
        <v>0</v>
      </c>
      <c r="N190" s="100"/>
      <c r="O190" s="462"/>
    </row>
    <row r="191" spans="1:15" outlineLevel="1">
      <c r="A191" s="648">
        <f>ROW()</f>
        <v>191</v>
      </c>
      <c r="B191" s="281"/>
      <c r="C191" s="233" t="s">
        <v>456</v>
      </c>
      <c r="D191" s="233" t="s">
        <v>480</v>
      </c>
      <c r="E191" s="235">
        <v>0</v>
      </c>
      <c r="F191" s="282" t="s">
        <v>481</v>
      </c>
      <c r="G191" s="930">
        <f t="shared" si="40"/>
        <v>0</v>
      </c>
      <c r="H191" s="930">
        <f t="shared" si="40"/>
        <v>0</v>
      </c>
      <c r="I191" s="930">
        <f t="shared" si="40"/>
        <v>0</v>
      </c>
      <c r="J191" s="930">
        <f t="shared" si="40"/>
        <v>0</v>
      </c>
      <c r="K191" s="930">
        <f t="shared" si="40"/>
        <v>0</v>
      </c>
      <c r="L191" s="930">
        <f t="shared" si="40"/>
        <v>0</v>
      </c>
      <c r="M191" s="930">
        <f t="shared" si="40"/>
        <v>0</v>
      </c>
      <c r="N191" s="100"/>
      <c r="O191" s="462"/>
    </row>
    <row r="192" spans="1:15" outlineLevel="1">
      <c r="A192" s="648">
        <f>ROW()</f>
        <v>192</v>
      </c>
      <c r="B192" s="281"/>
      <c r="C192" s="233" t="s">
        <v>456</v>
      </c>
      <c r="D192" s="233" t="s">
        <v>480</v>
      </c>
      <c r="E192" s="282"/>
      <c r="F192" s="282" t="s">
        <v>481</v>
      </c>
      <c r="G192" s="930">
        <f t="shared" si="40"/>
        <v>0</v>
      </c>
      <c r="H192" s="930">
        <f t="shared" si="40"/>
        <v>0</v>
      </c>
      <c r="I192" s="930">
        <f t="shared" si="40"/>
        <v>0</v>
      </c>
      <c r="J192" s="930">
        <f t="shared" si="40"/>
        <v>0</v>
      </c>
      <c r="K192" s="930">
        <f t="shared" si="40"/>
        <v>0</v>
      </c>
      <c r="L192" s="930">
        <f t="shared" si="40"/>
        <v>0</v>
      </c>
      <c r="M192" s="930">
        <f t="shared" si="40"/>
        <v>0</v>
      </c>
      <c r="N192" s="100"/>
      <c r="O192" s="462"/>
    </row>
    <row r="193" spans="1:15" outlineLevel="1">
      <c r="A193" s="648">
        <f>ROW()</f>
        <v>193</v>
      </c>
      <c r="B193" s="1963"/>
      <c r="C193" s="2005"/>
      <c r="D193" s="2005"/>
      <c r="E193" s="2006"/>
      <c r="F193" s="2004"/>
      <c r="G193" s="219"/>
      <c r="H193" s="219"/>
      <c r="I193" s="219"/>
      <c r="J193" s="219"/>
      <c r="K193" s="219"/>
      <c r="L193" s="219"/>
      <c r="M193" s="219"/>
      <c r="N193" s="100"/>
      <c r="O193" s="462"/>
    </row>
    <row r="194" spans="1:15" outlineLevel="1">
      <c r="A194" s="648">
        <f>ROW()</f>
        <v>194</v>
      </c>
      <c r="B194" s="281" t="s">
        <v>490</v>
      </c>
      <c r="C194" s="233" t="s">
        <v>456</v>
      </c>
      <c r="D194" s="233" t="s">
        <v>480</v>
      </c>
      <c r="E194" s="440">
        <v>0</v>
      </c>
      <c r="F194" s="282" t="s">
        <v>481</v>
      </c>
      <c r="G194" s="930">
        <f t="shared" ref="G194:M198" si="41">IF($D194&lt;=G$10,1,0)</f>
        <v>0</v>
      </c>
      <c r="H194" s="930">
        <f t="shared" si="41"/>
        <v>0</v>
      </c>
      <c r="I194" s="930">
        <f t="shared" si="41"/>
        <v>0</v>
      </c>
      <c r="J194" s="930">
        <f t="shared" si="41"/>
        <v>0</v>
      </c>
      <c r="K194" s="930">
        <f t="shared" si="41"/>
        <v>0</v>
      </c>
      <c r="L194" s="930">
        <f t="shared" si="41"/>
        <v>0</v>
      </c>
      <c r="M194" s="930">
        <f t="shared" si="41"/>
        <v>0</v>
      </c>
      <c r="N194" s="100"/>
      <c r="O194" s="462"/>
    </row>
    <row r="195" spans="1:15" outlineLevel="1">
      <c r="A195" s="648">
        <f>ROW()</f>
        <v>195</v>
      </c>
      <c r="B195" s="281" t="s">
        <v>490</v>
      </c>
      <c r="C195" s="233" t="s">
        <v>456</v>
      </c>
      <c r="D195" s="233" t="s">
        <v>480</v>
      </c>
      <c r="E195" s="235">
        <v>0</v>
      </c>
      <c r="F195" s="282" t="s">
        <v>481</v>
      </c>
      <c r="G195" s="930">
        <f t="shared" si="41"/>
        <v>0</v>
      </c>
      <c r="H195" s="930">
        <f t="shared" si="41"/>
        <v>0</v>
      </c>
      <c r="I195" s="930">
        <f t="shared" si="41"/>
        <v>0</v>
      </c>
      <c r="J195" s="930">
        <f t="shared" si="41"/>
        <v>0</v>
      </c>
      <c r="K195" s="930">
        <f t="shared" si="41"/>
        <v>0</v>
      </c>
      <c r="L195" s="930">
        <f t="shared" si="41"/>
        <v>0</v>
      </c>
      <c r="M195" s="930">
        <f t="shared" si="41"/>
        <v>0</v>
      </c>
      <c r="N195" s="100"/>
      <c r="O195" s="462"/>
    </row>
    <row r="196" spans="1:15" outlineLevel="1">
      <c r="A196" s="648">
        <f>ROW()</f>
        <v>196</v>
      </c>
      <c r="B196" s="281" t="s">
        <v>490</v>
      </c>
      <c r="C196" s="233" t="s">
        <v>456</v>
      </c>
      <c r="D196" s="233" t="s">
        <v>480</v>
      </c>
      <c r="E196" s="235">
        <v>0</v>
      </c>
      <c r="F196" s="282" t="s">
        <v>481</v>
      </c>
      <c r="G196" s="930">
        <f t="shared" si="41"/>
        <v>0</v>
      </c>
      <c r="H196" s="930">
        <f t="shared" si="41"/>
        <v>0</v>
      </c>
      <c r="I196" s="930">
        <f t="shared" si="41"/>
        <v>0</v>
      </c>
      <c r="J196" s="930">
        <f t="shared" si="41"/>
        <v>0</v>
      </c>
      <c r="K196" s="930">
        <f t="shared" si="41"/>
        <v>0</v>
      </c>
      <c r="L196" s="930">
        <f t="shared" si="41"/>
        <v>0</v>
      </c>
      <c r="M196" s="930">
        <f t="shared" si="41"/>
        <v>0</v>
      </c>
      <c r="N196" s="100"/>
      <c r="O196" s="462"/>
    </row>
    <row r="197" spans="1:15" outlineLevel="1">
      <c r="A197" s="648">
        <f>ROW()</f>
        <v>197</v>
      </c>
      <c r="B197" s="281" t="s">
        <v>490</v>
      </c>
      <c r="C197" s="233" t="s">
        <v>456</v>
      </c>
      <c r="D197" s="233" t="s">
        <v>480</v>
      </c>
      <c r="E197" s="235">
        <v>0</v>
      </c>
      <c r="F197" s="282" t="s">
        <v>481</v>
      </c>
      <c r="G197" s="930">
        <f t="shared" si="41"/>
        <v>0</v>
      </c>
      <c r="H197" s="930">
        <f t="shared" si="41"/>
        <v>0</v>
      </c>
      <c r="I197" s="930">
        <f t="shared" si="41"/>
        <v>0</v>
      </c>
      <c r="J197" s="930">
        <f t="shared" si="41"/>
        <v>0</v>
      </c>
      <c r="K197" s="930">
        <f t="shared" si="41"/>
        <v>0</v>
      </c>
      <c r="L197" s="930">
        <f t="shared" si="41"/>
        <v>0</v>
      </c>
      <c r="M197" s="930">
        <f t="shared" si="41"/>
        <v>0</v>
      </c>
      <c r="N197" s="100"/>
      <c r="O197" s="462"/>
    </row>
    <row r="198" spans="1:15" outlineLevel="1">
      <c r="A198" s="648">
        <f>ROW()</f>
        <v>198</v>
      </c>
      <c r="B198" s="281"/>
      <c r="C198" s="233" t="s">
        <v>456</v>
      </c>
      <c r="D198" s="233" t="s">
        <v>480</v>
      </c>
      <c r="E198" s="235">
        <v>0</v>
      </c>
      <c r="F198" s="282" t="s">
        <v>481</v>
      </c>
      <c r="G198" s="930">
        <f t="shared" si="41"/>
        <v>0</v>
      </c>
      <c r="H198" s="930">
        <f t="shared" si="41"/>
        <v>0</v>
      </c>
      <c r="I198" s="930">
        <f t="shared" si="41"/>
        <v>0</v>
      </c>
      <c r="J198" s="930">
        <f t="shared" si="41"/>
        <v>0</v>
      </c>
      <c r="K198" s="930">
        <f t="shared" si="41"/>
        <v>0</v>
      </c>
      <c r="L198" s="930">
        <f t="shared" si="41"/>
        <v>0</v>
      </c>
      <c r="M198" s="930">
        <f t="shared" si="41"/>
        <v>0</v>
      </c>
      <c r="N198" s="100"/>
      <c r="O198" s="462"/>
    </row>
    <row r="199" spans="1:15" outlineLevel="1">
      <c r="A199" s="648">
        <f>ROW()</f>
        <v>199</v>
      </c>
      <c r="B199" s="1957"/>
      <c r="C199" s="2000"/>
      <c r="D199" s="2000"/>
      <c r="E199" s="2002"/>
      <c r="F199" s="2003"/>
      <c r="G199" s="219"/>
      <c r="H199" s="219"/>
      <c r="I199" s="219"/>
      <c r="J199" s="219"/>
      <c r="K199" s="219"/>
      <c r="L199" s="219"/>
      <c r="M199" s="219"/>
      <c r="N199" s="100"/>
      <c r="O199" s="462"/>
    </row>
    <row r="200" spans="1:15" outlineLevel="1">
      <c r="A200" s="648">
        <f>ROW()</f>
        <v>200</v>
      </c>
      <c r="B200" s="281" t="s">
        <v>1486</v>
      </c>
      <c r="C200" s="233">
        <v>2024</v>
      </c>
      <c r="D200" s="233" t="s">
        <v>480</v>
      </c>
      <c r="E200" s="440">
        <v>45000</v>
      </c>
      <c r="F200" s="282" t="s">
        <v>481</v>
      </c>
      <c r="G200" s="930">
        <f t="shared" ref="G200:K204" si="42">IF($D200&lt;=G$10,1,0)</f>
        <v>0</v>
      </c>
      <c r="H200" s="930">
        <f>4+1</f>
        <v>5</v>
      </c>
      <c r="I200" s="930">
        <f>+H200</f>
        <v>5</v>
      </c>
      <c r="J200" s="930">
        <f>+I200</f>
        <v>5</v>
      </c>
      <c r="K200" s="930">
        <f t="shared" ref="K200:M202" si="43">+J200</f>
        <v>5</v>
      </c>
      <c r="L200" s="930">
        <f t="shared" si="43"/>
        <v>5</v>
      </c>
      <c r="M200" s="930">
        <f t="shared" si="43"/>
        <v>5</v>
      </c>
      <c r="N200" s="100"/>
      <c r="O200" s="462"/>
    </row>
    <row r="201" spans="1:15" outlineLevel="1">
      <c r="A201" s="648">
        <f>ROW()</f>
        <v>201</v>
      </c>
      <c r="B201" s="281" t="s">
        <v>1486</v>
      </c>
      <c r="C201" s="233">
        <v>2025</v>
      </c>
      <c r="D201" s="233" t="s">
        <v>480</v>
      </c>
      <c r="E201" s="440">
        <v>45000</v>
      </c>
      <c r="F201" s="282" t="s">
        <v>481</v>
      </c>
      <c r="G201" s="930">
        <f t="shared" si="42"/>
        <v>0</v>
      </c>
      <c r="H201" s="930">
        <f t="shared" si="42"/>
        <v>0</v>
      </c>
      <c r="I201" s="930">
        <v>4</v>
      </c>
      <c r="J201" s="930">
        <f>+I201</f>
        <v>4</v>
      </c>
      <c r="K201" s="930">
        <f t="shared" si="43"/>
        <v>4</v>
      </c>
      <c r="L201" s="930">
        <f t="shared" si="43"/>
        <v>4</v>
      </c>
      <c r="M201" s="930">
        <f t="shared" si="43"/>
        <v>4</v>
      </c>
      <c r="N201" s="100"/>
      <c r="O201" s="462"/>
    </row>
    <row r="202" spans="1:15" outlineLevel="1">
      <c r="A202" s="648">
        <f>ROW()</f>
        <v>202</v>
      </c>
      <c r="B202" s="281" t="s">
        <v>1486</v>
      </c>
      <c r="C202" s="233">
        <v>2026</v>
      </c>
      <c r="D202" s="233" t="s">
        <v>480</v>
      </c>
      <c r="E202" s="440">
        <v>45000</v>
      </c>
      <c r="F202" s="282" t="s">
        <v>481</v>
      </c>
      <c r="G202" s="930">
        <f t="shared" si="42"/>
        <v>0</v>
      </c>
      <c r="H202" s="930">
        <f t="shared" si="42"/>
        <v>0</v>
      </c>
      <c r="I202" s="930">
        <f t="shared" si="42"/>
        <v>0</v>
      </c>
      <c r="J202" s="930">
        <v>4</v>
      </c>
      <c r="K202" s="930">
        <f>+J202</f>
        <v>4</v>
      </c>
      <c r="L202" s="930">
        <f t="shared" si="43"/>
        <v>4</v>
      </c>
      <c r="M202" s="930">
        <f t="shared" si="43"/>
        <v>4</v>
      </c>
      <c r="N202" s="100"/>
      <c r="O202" s="462"/>
    </row>
    <row r="203" spans="1:15" outlineLevel="1">
      <c r="A203" s="648">
        <f>ROW()</f>
        <v>203</v>
      </c>
      <c r="B203" s="281" t="s">
        <v>1486</v>
      </c>
      <c r="C203" s="233">
        <v>2027</v>
      </c>
      <c r="D203" s="233" t="s">
        <v>480</v>
      </c>
      <c r="E203" s="440">
        <v>45000</v>
      </c>
      <c r="F203" s="282" t="s">
        <v>481</v>
      </c>
      <c r="G203" s="930">
        <f t="shared" si="42"/>
        <v>0</v>
      </c>
      <c r="H203" s="930">
        <f t="shared" si="42"/>
        <v>0</v>
      </c>
      <c r="I203" s="930">
        <f t="shared" si="42"/>
        <v>0</v>
      </c>
      <c r="J203" s="930">
        <f t="shared" si="42"/>
        <v>0</v>
      </c>
      <c r="K203" s="930">
        <v>2</v>
      </c>
      <c r="L203" s="930">
        <f>+K203</f>
        <v>2</v>
      </c>
      <c r="M203" s="930">
        <f>+L203</f>
        <v>2</v>
      </c>
      <c r="N203" s="100"/>
      <c r="O203" s="462"/>
    </row>
    <row r="204" spans="1:15" outlineLevel="1">
      <c r="A204" s="648">
        <f>ROW()</f>
        <v>204</v>
      </c>
      <c r="B204" s="281" t="s">
        <v>1486</v>
      </c>
      <c r="C204" s="233">
        <v>2028</v>
      </c>
      <c r="D204" s="233" t="s">
        <v>480</v>
      </c>
      <c r="E204" s="440">
        <v>45000</v>
      </c>
      <c r="F204" s="282" t="s">
        <v>481</v>
      </c>
      <c r="G204" s="930">
        <f t="shared" si="42"/>
        <v>0</v>
      </c>
      <c r="H204" s="930">
        <f t="shared" si="42"/>
        <v>0</v>
      </c>
      <c r="I204" s="930">
        <f t="shared" si="42"/>
        <v>0</v>
      </c>
      <c r="J204" s="930">
        <f t="shared" si="42"/>
        <v>0</v>
      </c>
      <c r="K204" s="930">
        <f t="shared" si="42"/>
        <v>0</v>
      </c>
      <c r="L204" s="930">
        <v>2</v>
      </c>
      <c r="M204" s="930">
        <f>+L204</f>
        <v>2</v>
      </c>
      <c r="N204" s="100"/>
      <c r="O204" s="462"/>
    </row>
    <row r="205" spans="1:15" outlineLevel="1">
      <c r="A205" s="648">
        <f>ROW()</f>
        <v>205</v>
      </c>
      <c r="B205" s="1957"/>
      <c r="C205" s="2000"/>
      <c r="D205" s="2000"/>
      <c r="E205" s="2002"/>
      <c r="F205" s="2003"/>
      <c r="G205" s="219"/>
      <c r="H205" s="219"/>
      <c r="I205" s="219"/>
      <c r="J205" s="219"/>
      <c r="K205" s="219"/>
      <c r="L205" s="219"/>
      <c r="M205" s="219"/>
      <c r="N205" s="100"/>
      <c r="O205" s="462"/>
    </row>
    <row r="206" spans="1:15" outlineLevel="1">
      <c r="A206" s="648">
        <f>ROW()</f>
        <v>206</v>
      </c>
      <c r="B206" s="281" t="s">
        <v>1487</v>
      </c>
      <c r="C206" s="233">
        <v>2024</v>
      </c>
      <c r="D206" s="233" t="s">
        <v>480</v>
      </c>
      <c r="E206" s="440">
        <v>45000</v>
      </c>
      <c r="F206" s="282" t="s">
        <v>481</v>
      </c>
      <c r="G206" s="930">
        <f t="shared" ref="G206:K210" si="44">IF($D206&lt;=G$10,1,0)</f>
        <v>0</v>
      </c>
      <c r="H206" s="930">
        <f>2-1</f>
        <v>1</v>
      </c>
      <c r="I206" s="930">
        <f>+H206</f>
        <v>1</v>
      </c>
      <c r="J206" s="930">
        <f>+I206</f>
        <v>1</v>
      </c>
      <c r="K206" s="930">
        <f t="shared" ref="K206:M208" si="45">+J206</f>
        <v>1</v>
      </c>
      <c r="L206" s="930">
        <f t="shared" si="45"/>
        <v>1</v>
      </c>
      <c r="M206" s="930">
        <f t="shared" si="45"/>
        <v>1</v>
      </c>
      <c r="N206" s="100"/>
      <c r="O206" s="462"/>
    </row>
    <row r="207" spans="1:15" outlineLevel="1">
      <c r="A207" s="648">
        <f>ROW()</f>
        <v>207</v>
      </c>
      <c r="B207" s="281" t="s">
        <v>1487</v>
      </c>
      <c r="C207" s="233">
        <v>2025</v>
      </c>
      <c r="D207" s="233" t="s">
        <v>480</v>
      </c>
      <c r="E207" s="440">
        <v>45000</v>
      </c>
      <c r="F207" s="282" t="s">
        <v>481</v>
      </c>
      <c r="G207" s="930">
        <f t="shared" si="44"/>
        <v>0</v>
      </c>
      <c r="H207" s="930">
        <f t="shared" si="44"/>
        <v>0</v>
      </c>
      <c r="I207" s="930">
        <v>3</v>
      </c>
      <c r="J207" s="930">
        <f>+I207</f>
        <v>3</v>
      </c>
      <c r="K207" s="930">
        <f t="shared" si="45"/>
        <v>3</v>
      </c>
      <c r="L207" s="930">
        <f t="shared" si="45"/>
        <v>3</v>
      </c>
      <c r="M207" s="930">
        <f t="shared" si="45"/>
        <v>3</v>
      </c>
      <c r="N207" s="100"/>
      <c r="O207" s="462"/>
    </row>
    <row r="208" spans="1:15" outlineLevel="1">
      <c r="A208" s="648">
        <f>ROW()</f>
        <v>208</v>
      </c>
      <c r="B208" s="281" t="s">
        <v>1487</v>
      </c>
      <c r="C208" s="233">
        <v>2026</v>
      </c>
      <c r="D208" s="233" t="s">
        <v>480</v>
      </c>
      <c r="E208" s="440">
        <v>45000</v>
      </c>
      <c r="F208" s="282" t="s">
        <v>481</v>
      </c>
      <c r="G208" s="930">
        <f t="shared" si="44"/>
        <v>0</v>
      </c>
      <c r="H208" s="930">
        <f t="shared" si="44"/>
        <v>0</v>
      </c>
      <c r="I208" s="930">
        <f t="shared" si="44"/>
        <v>0</v>
      </c>
      <c r="J208" s="930">
        <v>3</v>
      </c>
      <c r="K208" s="930">
        <f>+J208</f>
        <v>3</v>
      </c>
      <c r="L208" s="930">
        <f t="shared" si="45"/>
        <v>3</v>
      </c>
      <c r="M208" s="930">
        <f t="shared" si="45"/>
        <v>3</v>
      </c>
      <c r="N208" s="100"/>
      <c r="O208" s="462"/>
    </row>
    <row r="209" spans="1:15" outlineLevel="1">
      <c r="A209" s="648">
        <f>ROW()</f>
        <v>209</v>
      </c>
      <c r="B209" s="281" t="s">
        <v>1487</v>
      </c>
      <c r="C209" s="233">
        <v>2027</v>
      </c>
      <c r="D209" s="233" t="s">
        <v>480</v>
      </c>
      <c r="E209" s="440">
        <v>45000</v>
      </c>
      <c r="F209" s="282" t="s">
        <v>481</v>
      </c>
      <c r="G209" s="930">
        <f t="shared" si="44"/>
        <v>0</v>
      </c>
      <c r="H209" s="930">
        <f t="shared" si="44"/>
        <v>0</v>
      </c>
      <c r="I209" s="930">
        <f t="shared" si="44"/>
        <v>0</v>
      </c>
      <c r="J209" s="930">
        <f t="shared" si="44"/>
        <v>0</v>
      </c>
      <c r="K209" s="930">
        <v>2</v>
      </c>
      <c r="L209" s="930">
        <f>+K209</f>
        <v>2</v>
      </c>
      <c r="M209" s="930">
        <f>+L209</f>
        <v>2</v>
      </c>
      <c r="N209" s="100"/>
      <c r="O209" s="462"/>
    </row>
    <row r="210" spans="1:15" outlineLevel="1">
      <c r="A210" s="648">
        <f>ROW()</f>
        <v>210</v>
      </c>
      <c r="B210" s="281" t="s">
        <v>1487</v>
      </c>
      <c r="C210" s="233">
        <v>2028</v>
      </c>
      <c r="D210" s="233" t="s">
        <v>480</v>
      </c>
      <c r="E210" s="440">
        <v>45000</v>
      </c>
      <c r="F210" s="282" t="s">
        <v>481</v>
      </c>
      <c r="G210" s="930">
        <f t="shared" si="44"/>
        <v>0</v>
      </c>
      <c r="H210" s="930">
        <f t="shared" si="44"/>
        <v>0</v>
      </c>
      <c r="I210" s="930">
        <f t="shared" si="44"/>
        <v>0</v>
      </c>
      <c r="J210" s="930">
        <f t="shared" si="44"/>
        <v>0</v>
      </c>
      <c r="K210" s="930">
        <f t="shared" si="44"/>
        <v>0</v>
      </c>
      <c r="L210" s="930">
        <v>2</v>
      </c>
      <c r="M210" s="930">
        <f>+L210</f>
        <v>2</v>
      </c>
      <c r="N210" s="100"/>
      <c r="O210" s="462"/>
    </row>
    <row r="211" spans="1:15" outlineLevel="1">
      <c r="A211" s="648">
        <f>ROW()</f>
        <v>211</v>
      </c>
      <c r="B211" s="1957"/>
      <c r="C211" s="2003"/>
      <c r="D211" s="2003"/>
      <c r="E211" s="2007"/>
      <c r="F211" s="2003"/>
      <c r="G211" s="219"/>
      <c r="H211" s="219"/>
      <c r="I211" s="219"/>
      <c r="J211" s="219"/>
      <c r="K211" s="219"/>
      <c r="L211" s="219"/>
      <c r="M211" s="219"/>
      <c r="N211" s="100"/>
      <c r="O211" s="462"/>
    </row>
    <row r="212" spans="1:15" outlineLevel="1">
      <c r="A212" s="648">
        <f>ROW()</f>
        <v>212</v>
      </c>
      <c r="B212" s="281" t="s">
        <v>1521</v>
      </c>
      <c r="C212" s="233">
        <v>2024</v>
      </c>
      <c r="D212" s="233">
        <v>2024</v>
      </c>
      <c r="E212" s="440">
        <v>50000</v>
      </c>
      <c r="F212" s="282" t="s">
        <v>481</v>
      </c>
      <c r="G212" s="930">
        <f t="shared" ref="G212:M216" si="46">IF($D212&lt;=G$10,1,0)</f>
        <v>0</v>
      </c>
      <c r="H212" s="930">
        <f t="shared" si="46"/>
        <v>1</v>
      </c>
      <c r="I212" s="930">
        <f t="shared" si="46"/>
        <v>1</v>
      </c>
      <c r="J212" s="930">
        <f t="shared" si="46"/>
        <v>1</v>
      </c>
      <c r="K212" s="930">
        <f t="shared" si="46"/>
        <v>1</v>
      </c>
      <c r="L212" s="930">
        <f t="shared" si="46"/>
        <v>1</v>
      </c>
      <c r="M212" s="930">
        <f t="shared" si="46"/>
        <v>1</v>
      </c>
      <c r="N212" s="100"/>
      <c r="O212" s="462"/>
    </row>
    <row r="213" spans="1:15" outlineLevel="1">
      <c r="A213" s="648">
        <f>ROW()</f>
        <v>213</v>
      </c>
      <c r="B213" s="281" t="s">
        <v>491</v>
      </c>
      <c r="C213" s="233" t="s">
        <v>456</v>
      </c>
      <c r="D213" s="233" t="s">
        <v>480</v>
      </c>
      <c r="E213" s="235">
        <v>0</v>
      </c>
      <c r="F213" s="282" t="s">
        <v>481</v>
      </c>
      <c r="G213" s="930">
        <f t="shared" si="46"/>
        <v>0</v>
      </c>
      <c r="H213" s="930">
        <f t="shared" si="46"/>
        <v>0</v>
      </c>
      <c r="I213" s="930">
        <f t="shared" si="46"/>
        <v>0</v>
      </c>
      <c r="J213" s="930">
        <f t="shared" si="46"/>
        <v>0</v>
      </c>
      <c r="K213" s="930">
        <f t="shared" si="46"/>
        <v>0</v>
      </c>
      <c r="L213" s="930">
        <f t="shared" si="46"/>
        <v>0</v>
      </c>
      <c r="M213" s="930">
        <f t="shared" si="46"/>
        <v>0</v>
      </c>
      <c r="N213" s="100"/>
      <c r="O213" s="462"/>
    </row>
    <row r="214" spans="1:15" outlineLevel="1">
      <c r="A214" s="648">
        <f>ROW()</f>
        <v>214</v>
      </c>
      <c r="B214" s="281" t="s">
        <v>479</v>
      </c>
      <c r="C214" s="233" t="s">
        <v>456</v>
      </c>
      <c r="D214" s="233" t="s">
        <v>480</v>
      </c>
      <c r="E214" s="235">
        <v>0</v>
      </c>
      <c r="F214" s="282" t="s">
        <v>481</v>
      </c>
      <c r="G214" s="930">
        <f t="shared" si="46"/>
        <v>0</v>
      </c>
      <c r="H214" s="930">
        <f t="shared" si="46"/>
        <v>0</v>
      </c>
      <c r="I214" s="930">
        <f t="shared" si="46"/>
        <v>0</v>
      </c>
      <c r="J214" s="930">
        <f t="shared" si="46"/>
        <v>0</v>
      </c>
      <c r="K214" s="930">
        <f t="shared" si="46"/>
        <v>0</v>
      </c>
      <c r="L214" s="930">
        <f t="shared" si="46"/>
        <v>0</v>
      </c>
      <c r="M214" s="930">
        <f t="shared" si="46"/>
        <v>0</v>
      </c>
      <c r="N214" s="100"/>
      <c r="O214" s="462"/>
    </row>
    <row r="215" spans="1:15" outlineLevel="1">
      <c r="A215" s="648">
        <f>ROW()</f>
        <v>215</v>
      </c>
      <c r="B215" s="281" t="s">
        <v>479</v>
      </c>
      <c r="C215" s="233" t="s">
        <v>456</v>
      </c>
      <c r="D215" s="233" t="s">
        <v>480</v>
      </c>
      <c r="E215" s="235">
        <v>0</v>
      </c>
      <c r="F215" s="282" t="s">
        <v>481</v>
      </c>
      <c r="G215" s="930">
        <f t="shared" si="46"/>
        <v>0</v>
      </c>
      <c r="H215" s="930">
        <f t="shared" si="46"/>
        <v>0</v>
      </c>
      <c r="I215" s="930">
        <f t="shared" si="46"/>
        <v>0</v>
      </c>
      <c r="J215" s="930">
        <f t="shared" si="46"/>
        <v>0</v>
      </c>
      <c r="K215" s="930">
        <f t="shared" si="46"/>
        <v>0</v>
      </c>
      <c r="L215" s="930">
        <f t="shared" si="46"/>
        <v>0</v>
      </c>
      <c r="M215" s="930">
        <f t="shared" si="46"/>
        <v>0</v>
      </c>
      <c r="N215" s="100"/>
      <c r="O215" s="462"/>
    </row>
    <row r="216" spans="1:15" outlineLevel="1">
      <c r="A216" s="648">
        <f>ROW()</f>
        <v>216</v>
      </c>
      <c r="B216" s="281" t="s">
        <v>479</v>
      </c>
      <c r="C216" s="233" t="s">
        <v>456</v>
      </c>
      <c r="D216" s="233" t="s">
        <v>480</v>
      </c>
      <c r="E216" s="235">
        <v>0</v>
      </c>
      <c r="F216" s="282" t="s">
        <v>481</v>
      </c>
      <c r="G216" s="930">
        <f t="shared" si="46"/>
        <v>0</v>
      </c>
      <c r="H216" s="930">
        <f t="shared" si="46"/>
        <v>0</v>
      </c>
      <c r="I216" s="930">
        <f t="shared" si="46"/>
        <v>0</v>
      </c>
      <c r="J216" s="930">
        <f t="shared" si="46"/>
        <v>0</v>
      </c>
      <c r="K216" s="930">
        <f t="shared" si="46"/>
        <v>0</v>
      </c>
      <c r="L216" s="930">
        <f t="shared" si="46"/>
        <v>0</v>
      </c>
      <c r="M216" s="930">
        <f t="shared" si="46"/>
        <v>0</v>
      </c>
      <c r="N216" s="100"/>
      <c r="O216" s="462"/>
    </row>
    <row r="217" spans="1:15" outlineLevel="1">
      <c r="A217" s="648">
        <f>ROW()</f>
        <v>217</v>
      </c>
      <c r="B217" s="2008"/>
      <c r="C217" s="2003"/>
      <c r="D217" s="2003"/>
      <c r="E217" s="2002"/>
      <c r="F217" s="2003"/>
      <c r="G217" s="219"/>
      <c r="H217" s="219"/>
      <c r="I217" s="219"/>
      <c r="J217" s="219"/>
      <c r="K217" s="219"/>
      <c r="L217" s="219"/>
      <c r="M217" s="219"/>
      <c r="N217" s="100"/>
      <c r="O217" s="462"/>
    </row>
    <row r="218" spans="1:15" outlineLevel="1">
      <c r="A218" s="648">
        <f>ROW()</f>
        <v>218</v>
      </c>
      <c r="B218" s="281" t="s">
        <v>479</v>
      </c>
      <c r="C218" s="233" t="s">
        <v>456</v>
      </c>
      <c r="D218" s="233" t="s">
        <v>480</v>
      </c>
      <c r="E218" s="440">
        <v>0</v>
      </c>
      <c r="F218" s="282" t="s">
        <v>481</v>
      </c>
      <c r="G218" s="930">
        <f t="shared" ref="G218:M222" si="47">IF($D218&lt;=G$10,1,0)</f>
        <v>0</v>
      </c>
      <c r="H218" s="930">
        <f t="shared" si="47"/>
        <v>0</v>
      </c>
      <c r="I218" s="930">
        <f t="shared" si="47"/>
        <v>0</v>
      </c>
      <c r="J218" s="930">
        <f t="shared" si="47"/>
        <v>0</v>
      </c>
      <c r="K218" s="930">
        <f t="shared" si="47"/>
        <v>0</v>
      </c>
      <c r="L218" s="930">
        <f t="shared" si="47"/>
        <v>0</v>
      </c>
      <c r="M218" s="930">
        <f t="shared" si="47"/>
        <v>0</v>
      </c>
      <c r="N218" s="100"/>
      <c r="O218" s="462"/>
    </row>
    <row r="219" spans="1:15" outlineLevel="1">
      <c r="A219" s="648">
        <f>ROW()</f>
        <v>219</v>
      </c>
      <c r="B219" s="281" t="s">
        <v>479</v>
      </c>
      <c r="C219" s="233" t="s">
        <v>456</v>
      </c>
      <c r="D219" s="233" t="s">
        <v>480</v>
      </c>
      <c r="E219" s="235">
        <v>0</v>
      </c>
      <c r="F219" s="282" t="s">
        <v>481</v>
      </c>
      <c r="G219" s="930">
        <f t="shared" si="47"/>
        <v>0</v>
      </c>
      <c r="H219" s="930">
        <f t="shared" si="47"/>
        <v>0</v>
      </c>
      <c r="I219" s="930">
        <f t="shared" si="47"/>
        <v>0</v>
      </c>
      <c r="J219" s="930">
        <f t="shared" si="47"/>
        <v>0</v>
      </c>
      <c r="K219" s="930">
        <f t="shared" si="47"/>
        <v>0</v>
      </c>
      <c r="L219" s="930">
        <f t="shared" si="47"/>
        <v>0</v>
      </c>
      <c r="M219" s="930">
        <f t="shared" si="47"/>
        <v>0</v>
      </c>
      <c r="N219" s="100"/>
      <c r="O219" s="462"/>
    </row>
    <row r="220" spans="1:15" outlineLevel="1">
      <c r="A220" s="648">
        <f>ROW()</f>
        <v>220</v>
      </c>
      <c r="B220" s="281" t="s">
        <v>479</v>
      </c>
      <c r="C220" s="233" t="s">
        <v>456</v>
      </c>
      <c r="D220" s="233" t="s">
        <v>480</v>
      </c>
      <c r="E220" s="235">
        <v>0</v>
      </c>
      <c r="F220" s="282" t="s">
        <v>481</v>
      </c>
      <c r="G220" s="930">
        <f t="shared" si="47"/>
        <v>0</v>
      </c>
      <c r="H220" s="930">
        <f t="shared" si="47"/>
        <v>0</v>
      </c>
      <c r="I220" s="930">
        <f t="shared" si="47"/>
        <v>0</v>
      </c>
      <c r="J220" s="930">
        <f t="shared" si="47"/>
        <v>0</v>
      </c>
      <c r="K220" s="930">
        <f t="shared" si="47"/>
        <v>0</v>
      </c>
      <c r="L220" s="930">
        <f t="shared" si="47"/>
        <v>0</v>
      </c>
      <c r="M220" s="930">
        <f t="shared" si="47"/>
        <v>0</v>
      </c>
      <c r="N220" s="100"/>
      <c r="O220" s="462"/>
    </row>
    <row r="221" spans="1:15" outlineLevel="1">
      <c r="A221" s="648">
        <f>ROW()</f>
        <v>221</v>
      </c>
      <c r="B221" s="281" t="s">
        <v>479</v>
      </c>
      <c r="C221" s="233" t="s">
        <v>456</v>
      </c>
      <c r="D221" s="233" t="s">
        <v>480</v>
      </c>
      <c r="E221" s="235">
        <v>0</v>
      </c>
      <c r="F221" s="282" t="s">
        <v>481</v>
      </c>
      <c r="G221" s="930">
        <f t="shared" si="47"/>
        <v>0</v>
      </c>
      <c r="H221" s="930">
        <f t="shared" si="47"/>
        <v>0</v>
      </c>
      <c r="I221" s="930">
        <f t="shared" si="47"/>
        <v>0</v>
      </c>
      <c r="J221" s="930">
        <f t="shared" si="47"/>
        <v>0</v>
      </c>
      <c r="K221" s="930">
        <f t="shared" si="47"/>
        <v>0</v>
      </c>
      <c r="L221" s="930">
        <f t="shared" si="47"/>
        <v>0</v>
      </c>
      <c r="M221" s="930">
        <f t="shared" si="47"/>
        <v>0</v>
      </c>
      <c r="N221" s="100"/>
      <c r="O221" s="462"/>
    </row>
    <row r="222" spans="1:15" outlineLevel="1">
      <c r="A222" s="648">
        <f>ROW()</f>
        <v>222</v>
      </c>
      <c r="B222" s="281" t="s">
        <v>479</v>
      </c>
      <c r="C222" s="233" t="s">
        <v>456</v>
      </c>
      <c r="D222" s="233" t="s">
        <v>480</v>
      </c>
      <c r="E222" s="235">
        <v>0</v>
      </c>
      <c r="F222" s="282" t="s">
        <v>481</v>
      </c>
      <c r="G222" s="930">
        <f t="shared" si="47"/>
        <v>0</v>
      </c>
      <c r="H222" s="930">
        <f t="shared" si="47"/>
        <v>0</v>
      </c>
      <c r="I222" s="930">
        <f t="shared" si="47"/>
        <v>0</v>
      </c>
      <c r="J222" s="930">
        <f t="shared" si="47"/>
        <v>0</v>
      </c>
      <c r="K222" s="930">
        <f t="shared" si="47"/>
        <v>0</v>
      </c>
      <c r="L222" s="930">
        <f t="shared" si="47"/>
        <v>0</v>
      </c>
      <c r="M222" s="930">
        <f t="shared" si="47"/>
        <v>0</v>
      </c>
      <c r="N222" s="100"/>
      <c r="O222" s="462"/>
    </row>
    <row r="223" spans="1:15" outlineLevel="1">
      <c r="A223" s="648">
        <f>ROW()</f>
        <v>223</v>
      </c>
      <c r="B223" s="1957"/>
      <c r="C223" s="2000"/>
      <c r="D223" s="2000"/>
      <c r="E223" s="2002"/>
      <c r="F223" s="2003"/>
      <c r="G223" s="219"/>
      <c r="H223" s="219"/>
      <c r="I223" s="219"/>
      <c r="J223" s="219"/>
      <c r="K223" s="219"/>
      <c r="L223" s="219"/>
      <c r="M223" s="219"/>
      <c r="N223" s="100"/>
      <c r="O223" s="462"/>
    </row>
    <row r="224" spans="1:15" outlineLevel="1">
      <c r="A224" s="648">
        <f>ROW()</f>
        <v>224</v>
      </c>
      <c r="B224" s="281" t="s">
        <v>479</v>
      </c>
      <c r="C224" s="233" t="s">
        <v>456</v>
      </c>
      <c r="D224" s="233" t="s">
        <v>480</v>
      </c>
      <c r="E224" s="440">
        <v>0</v>
      </c>
      <c r="F224" s="282" t="s">
        <v>481</v>
      </c>
      <c r="G224" s="930">
        <f t="shared" ref="G224:M228" si="48">IF($D224&lt;=G$10,1,0)</f>
        <v>0</v>
      </c>
      <c r="H224" s="930">
        <f t="shared" si="48"/>
        <v>0</v>
      </c>
      <c r="I224" s="930">
        <f t="shared" si="48"/>
        <v>0</v>
      </c>
      <c r="J224" s="930">
        <f t="shared" si="48"/>
        <v>0</v>
      </c>
      <c r="K224" s="930">
        <f t="shared" si="48"/>
        <v>0</v>
      </c>
      <c r="L224" s="930">
        <f t="shared" si="48"/>
        <v>0</v>
      </c>
      <c r="M224" s="930">
        <f t="shared" si="48"/>
        <v>0</v>
      </c>
      <c r="N224" s="100"/>
      <c r="O224" s="462"/>
    </row>
    <row r="225" spans="1:15" outlineLevel="1">
      <c r="A225" s="648">
        <f>ROW()</f>
        <v>225</v>
      </c>
      <c r="B225" s="281" t="s">
        <v>479</v>
      </c>
      <c r="C225" s="233" t="s">
        <v>456</v>
      </c>
      <c r="D225" s="233" t="s">
        <v>480</v>
      </c>
      <c r="E225" s="235">
        <v>0</v>
      </c>
      <c r="F225" s="282" t="s">
        <v>481</v>
      </c>
      <c r="G225" s="930">
        <f t="shared" si="48"/>
        <v>0</v>
      </c>
      <c r="H225" s="930">
        <f t="shared" si="48"/>
        <v>0</v>
      </c>
      <c r="I225" s="930">
        <f t="shared" si="48"/>
        <v>0</v>
      </c>
      <c r="J225" s="930">
        <f t="shared" si="48"/>
        <v>0</v>
      </c>
      <c r="K225" s="930">
        <f t="shared" si="48"/>
        <v>0</v>
      </c>
      <c r="L225" s="930">
        <f t="shared" si="48"/>
        <v>0</v>
      </c>
      <c r="M225" s="930">
        <f t="shared" si="48"/>
        <v>0</v>
      </c>
      <c r="N225" s="100"/>
      <c r="O225" s="462"/>
    </row>
    <row r="226" spans="1:15" outlineLevel="1">
      <c r="A226" s="648">
        <f>ROW()</f>
        <v>226</v>
      </c>
      <c r="B226" s="281" t="s">
        <v>479</v>
      </c>
      <c r="C226" s="233" t="s">
        <v>456</v>
      </c>
      <c r="D226" s="233" t="s">
        <v>480</v>
      </c>
      <c r="E226" s="235">
        <v>0</v>
      </c>
      <c r="F226" s="282" t="s">
        <v>481</v>
      </c>
      <c r="G226" s="930">
        <f t="shared" si="48"/>
        <v>0</v>
      </c>
      <c r="H226" s="930">
        <f t="shared" si="48"/>
        <v>0</v>
      </c>
      <c r="I226" s="930">
        <f t="shared" si="48"/>
        <v>0</v>
      </c>
      <c r="J226" s="930">
        <f t="shared" si="48"/>
        <v>0</v>
      </c>
      <c r="K226" s="930">
        <f t="shared" si="48"/>
        <v>0</v>
      </c>
      <c r="L226" s="930">
        <f t="shared" si="48"/>
        <v>0</v>
      </c>
      <c r="M226" s="930">
        <f t="shared" si="48"/>
        <v>0</v>
      </c>
      <c r="N226" s="100"/>
      <c r="O226" s="462"/>
    </row>
    <row r="227" spans="1:15" outlineLevel="1">
      <c r="A227" s="648">
        <f>ROW()</f>
        <v>227</v>
      </c>
      <c r="B227" s="281" t="s">
        <v>479</v>
      </c>
      <c r="C227" s="233" t="s">
        <v>456</v>
      </c>
      <c r="D227" s="233" t="s">
        <v>480</v>
      </c>
      <c r="E227" s="235">
        <v>0</v>
      </c>
      <c r="F227" s="282" t="s">
        <v>481</v>
      </c>
      <c r="G227" s="930">
        <f t="shared" si="48"/>
        <v>0</v>
      </c>
      <c r="H227" s="930">
        <f t="shared" si="48"/>
        <v>0</v>
      </c>
      <c r="I227" s="930">
        <f t="shared" si="48"/>
        <v>0</v>
      </c>
      <c r="J227" s="930">
        <f t="shared" si="48"/>
        <v>0</v>
      </c>
      <c r="K227" s="930">
        <f t="shared" si="48"/>
        <v>0</v>
      </c>
      <c r="L227" s="930">
        <f t="shared" si="48"/>
        <v>0</v>
      </c>
      <c r="M227" s="930">
        <f t="shared" si="48"/>
        <v>0</v>
      </c>
      <c r="N227" s="100"/>
      <c r="O227" s="462"/>
    </row>
    <row r="228" spans="1:15" outlineLevel="1">
      <c r="A228" s="648">
        <f>ROW()</f>
        <v>228</v>
      </c>
      <c r="B228" s="281" t="s">
        <v>479</v>
      </c>
      <c r="C228" s="233" t="s">
        <v>456</v>
      </c>
      <c r="D228" s="233" t="s">
        <v>480</v>
      </c>
      <c r="E228" s="235">
        <v>0</v>
      </c>
      <c r="F228" s="282" t="s">
        <v>481</v>
      </c>
      <c r="G228" s="930">
        <f t="shared" si="48"/>
        <v>0</v>
      </c>
      <c r="H228" s="930">
        <f t="shared" si="48"/>
        <v>0</v>
      </c>
      <c r="I228" s="930">
        <f t="shared" si="48"/>
        <v>0</v>
      </c>
      <c r="J228" s="930">
        <f t="shared" si="48"/>
        <v>0</v>
      </c>
      <c r="K228" s="930">
        <f t="shared" si="48"/>
        <v>0</v>
      </c>
      <c r="L228" s="930">
        <f t="shared" si="48"/>
        <v>0</v>
      </c>
      <c r="M228" s="930">
        <f t="shared" si="48"/>
        <v>0</v>
      </c>
      <c r="N228" s="100"/>
      <c r="O228" s="462"/>
    </row>
    <row r="229" spans="1:15" outlineLevel="1">
      <c r="A229" s="648">
        <f>ROW()</f>
        <v>229</v>
      </c>
      <c r="B229" s="1957"/>
      <c r="C229" s="2000"/>
      <c r="D229" s="2000"/>
      <c r="E229" s="2002"/>
      <c r="F229" s="2003"/>
      <c r="G229" s="219"/>
      <c r="H229" s="219"/>
      <c r="I229" s="219"/>
      <c r="J229" s="219"/>
      <c r="K229" s="219"/>
      <c r="L229" s="219"/>
      <c r="M229" s="219"/>
      <c r="N229" s="100"/>
      <c r="O229" s="462"/>
    </row>
    <row r="230" spans="1:15" outlineLevel="1">
      <c r="A230" s="648">
        <f>ROW()</f>
        <v>230</v>
      </c>
      <c r="B230" s="281" t="s">
        <v>479</v>
      </c>
      <c r="C230" s="233" t="s">
        <v>456</v>
      </c>
      <c r="D230" s="233" t="s">
        <v>480</v>
      </c>
      <c r="E230" s="440">
        <v>0</v>
      </c>
      <c r="F230" s="282" t="s">
        <v>481</v>
      </c>
      <c r="G230" s="930">
        <f t="shared" ref="G230:M234" si="49">IF($D230&lt;=G$10,1,0)</f>
        <v>0</v>
      </c>
      <c r="H230" s="930">
        <f t="shared" si="49"/>
        <v>0</v>
      </c>
      <c r="I230" s="930">
        <f t="shared" si="49"/>
        <v>0</v>
      </c>
      <c r="J230" s="930">
        <f t="shared" si="49"/>
        <v>0</v>
      </c>
      <c r="K230" s="930">
        <f t="shared" si="49"/>
        <v>0</v>
      </c>
      <c r="L230" s="930">
        <f t="shared" si="49"/>
        <v>0</v>
      </c>
      <c r="M230" s="930">
        <f t="shared" si="49"/>
        <v>0</v>
      </c>
      <c r="N230" s="100"/>
      <c r="O230" s="462"/>
    </row>
    <row r="231" spans="1:15" outlineLevel="1">
      <c r="A231" s="648">
        <f>ROW()</f>
        <v>231</v>
      </c>
      <c r="B231" s="281" t="s">
        <v>479</v>
      </c>
      <c r="C231" s="233" t="s">
        <v>456</v>
      </c>
      <c r="D231" s="233" t="s">
        <v>480</v>
      </c>
      <c r="E231" s="235">
        <v>0</v>
      </c>
      <c r="F231" s="282" t="s">
        <v>481</v>
      </c>
      <c r="G231" s="930">
        <f t="shared" si="49"/>
        <v>0</v>
      </c>
      <c r="H231" s="930">
        <f t="shared" si="49"/>
        <v>0</v>
      </c>
      <c r="I231" s="930">
        <f t="shared" si="49"/>
        <v>0</v>
      </c>
      <c r="J231" s="930">
        <f t="shared" si="49"/>
        <v>0</v>
      </c>
      <c r="K231" s="930">
        <f t="shared" si="49"/>
        <v>0</v>
      </c>
      <c r="L231" s="930">
        <f t="shared" si="49"/>
        <v>0</v>
      </c>
      <c r="M231" s="930">
        <f t="shared" si="49"/>
        <v>0</v>
      </c>
      <c r="N231" s="100"/>
      <c r="O231" s="462"/>
    </row>
    <row r="232" spans="1:15" outlineLevel="1">
      <c r="A232" s="648">
        <f>ROW()</f>
        <v>232</v>
      </c>
      <c r="B232" s="281" t="s">
        <v>479</v>
      </c>
      <c r="C232" s="233" t="s">
        <v>456</v>
      </c>
      <c r="D232" s="233" t="s">
        <v>480</v>
      </c>
      <c r="E232" s="235">
        <v>0</v>
      </c>
      <c r="F232" s="282" t="s">
        <v>481</v>
      </c>
      <c r="G232" s="930">
        <f t="shared" si="49"/>
        <v>0</v>
      </c>
      <c r="H232" s="930">
        <f t="shared" si="49"/>
        <v>0</v>
      </c>
      <c r="I232" s="930">
        <f t="shared" si="49"/>
        <v>0</v>
      </c>
      <c r="J232" s="930">
        <f t="shared" si="49"/>
        <v>0</v>
      </c>
      <c r="K232" s="930">
        <f t="shared" si="49"/>
        <v>0</v>
      </c>
      <c r="L232" s="930">
        <f t="shared" si="49"/>
        <v>0</v>
      </c>
      <c r="M232" s="930">
        <f t="shared" si="49"/>
        <v>0</v>
      </c>
      <c r="N232" s="100"/>
      <c r="O232" s="462"/>
    </row>
    <row r="233" spans="1:15" outlineLevel="1">
      <c r="A233" s="648">
        <f>ROW()</f>
        <v>233</v>
      </c>
      <c r="B233" s="281" t="s">
        <v>479</v>
      </c>
      <c r="C233" s="233" t="s">
        <v>456</v>
      </c>
      <c r="D233" s="233" t="s">
        <v>480</v>
      </c>
      <c r="E233" s="235">
        <v>0</v>
      </c>
      <c r="F233" s="282" t="s">
        <v>481</v>
      </c>
      <c r="G233" s="930">
        <f t="shared" si="49"/>
        <v>0</v>
      </c>
      <c r="H233" s="930">
        <f t="shared" si="49"/>
        <v>0</v>
      </c>
      <c r="I233" s="930">
        <f t="shared" si="49"/>
        <v>0</v>
      </c>
      <c r="J233" s="930">
        <f t="shared" si="49"/>
        <v>0</v>
      </c>
      <c r="K233" s="930">
        <f t="shared" si="49"/>
        <v>0</v>
      </c>
      <c r="L233" s="930">
        <f t="shared" si="49"/>
        <v>0</v>
      </c>
      <c r="M233" s="930">
        <f t="shared" si="49"/>
        <v>0</v>
      </c>
      <c r="N233" s="100"/>
      <c r="O233" s="462"/>
    </row>
    <row r="234" spans="1:15" outlineLevel="1">
      <c r="A234" s="648">
        <f>ROW()</f>
        <v>234</v>
      </c>
      <c r="B234" s="281" t="s">
        <v>479</v>
      </c>
      <c r="C234" s="233" t="s">
        <v>456</v>
      </c>
      <c r="D234" s="233" t="s">
        <v>480</v>
      </c>
      <c r="E234" s="235">
        <v>0</v>
      </c>
      <c r="F234" s="282" t="s">
        <v>481</v>
      </c>
      <c r="G234" s="930">
        <f t="shared" si="49"/>
        <v>0</v>
      </c>
      <c r="H234" s="930">
        <f t="shared" si="49"/>
        <v>0</v>
      </c>
      <c r="I234" s="930">
        <f t="shared" si="49"/>
        <v>0</v>
      </c>
      <c r="J234" s="930">
        <f t="shared" si="49"/>
        <v>0</v>
      </c>
      <c r="K234" s="930">
        <f t="shared" si="49"/>
        <v>0</v>
      </c>
      <c r="L234" s="930">
        <f t="shared" si="49"/>
        <v>0</v>
      </c>
      <c r="M234" s="930">
        <f t="shared" si="49"/>
        <v>0</v>
      </c>
      <c r="N234" s="100"/>
      <c r="O234" s="462"/>
    </row>
    <row r="235" spans="1:15">
      <c r="A235" s="648">
        <f>ROW()</f>
        <v>235</v>
      </c>
      <c r="B235" s="79"/>
      <c r="C235" s="154"/>
      <c r="D235" s="154"/>
      <c r="E235" s="140"/>
      <c r="F235" s="140"/>
      <c r="G235" s="431"/>
      <c r="H235" s="431"/>
      <c r="I235" s="431"/>
      <c r="J235" s="431"/>
      <c r="K235" s="354"/>
      <c r="L235" s="354"/>
      <c r="M235" s="354"/>
      <c r="N235" s="100"/>
      <c r="O235" s="462"/>
    </row>
    <row r="236" spans="1:15">
      <c r="A236" s="648">
        <f>ROW()</f>
        <v>236</v>
      </c>
      <c r="B236" s="198" t="s">
        <v>492</v>
      </c>
      <c r="C236" s="199"/>
      <c r="D236" s="199"/>
      <c r="E236" s="198"/>
      <c r="F236" s="198"/>
      <c r="G236" s="1615">
        <f t="shared" ref="G236:M236" si="50">SUM(G141:G234)</f>
        <v>0</v>
      </c>
      <c r="H236" s="1616">
        <f t="shared" si="50"/>
        <v>7</v>
      </c>
      <c r="I236" s="1616">
        <f t="shared" si="50"/>
        <v>14</v>
      </c>
      <c r="J236" s="1616">
        <f t="shared" si="50"/>
        <v>21</v>
      </c>
      <c r="K236" s="1616">
        <f t="shared" si="50"/>
        <v>25</v>
      </c>
      <c r="L236" s="1616">
        <f t="shared" si="50"/>
        <v>29</v>
      </c>
      <c r="M236" s="1616">
        <f t="shared" si="50"/>
        <v>29</v>
      </c>
      <c r="N236" s="218"/>
      <c r="O236" s="462"/>
    </row>
    <row r="237" spans="1:15">
      <c r="A237" s="648">
        <f>ROW()</f>
        <v>237</v>
      </c>
      <c r="B237" s="79" t="s">
        <v>493</v>
      </c>
      <c r="C237" s="79"/>
      <c r="D237" s="79"/>
      <c r="E237" s="100"/>
      <c r="F237" s="100"/>
      <c r="G237" s="419">
        <f t="shared" ref="G237:M237" si="51">+G236+G134</f>
        <v>0</v>
      </c>
      <c r="H237" s="419">
        <f t="shared" si="51"/>
        <v>9</v>
      </c>
      <c r="I237" s="419">
        <f t="shared" si="51"/>
        <v>19</v>
      </c>
      <c r="J237" s="419">
        <f t="shared" si="51"/>
        <v>29</v>
      </c>
      <c r="K237" s="419">
        <f t="shared" si="51"/>
        <v>33</v>
      </c>
      <c r="L237" s="419">
        <f t="shared" si="51"/>
        <v>37</v>
      </c>
      <c r="M237" s="419">
        <f t="shared" si="51"/>
        <v>37</v>
      </c>
      <c r="O237" s="462"/>
    </row>
    <row r="238" spans="1:15">
      <c r="A238" s="648">
        <f>ROW()</f>
        <v>238</v>
      </c>
      <c r="B238" s="79"/>
      <c r="C238" s="79"/>
      <c r="D238" s="79"/>
      <c r="E238" s="100"/>
      <c r="F238" s="100"/>
      <c r="G238" s="431"/>
      <c r="H238" s="431"/>
      <c r="I238" s="431"/>
      <c r="J238" s="431"/>
      <c r="K238" s="431"/>
      <c r="L238" s="418"/>
      <c r="M238" s="418"/>
      <c r="O238" s="462"/>
    </row>
    <row r="239" spans="1:15" ht="15.6">
      <c r="A239" s="648">
        <f>ROW()</f>
        <v>239</v>
      </c>
      <c r="B239" s="155" t="s">
        <v>494</v>
      </c>
      <c r="C239" s="155"/>
      <c r="D239" s="155"/>
      <c r="E239" s="155"/>
      <c r="F239" s="155"/>
      <c r="G239" s="432"/>
      <c r="H239" s="432"/>
      <c r="I239" s="432"/>
      <c r="J239" s="432"/>
      <c r="K239" s="432"/>
      <c r="L239" s="433"/>
      <c r="M239" s="433"/>
      <c r="O239" s="462"/>
    </row>
    <row r="240" spans="1:15" outlineLevel="1">
      <c r="A240" s="648">
        <f>ROW()</f>
        <v>240</v>
      </c>
      <c r="B240" s="156"/>
      <c r="C240" s="79"/>
      <c r="D240" s="79"/>
      <c r="E240" s="79"/>
      <c r="F240" s="79"/>
      <c r="G240" s="431"/>
      <c r="H240" s="431"/>
      <c r="I240" s="431"/>
      <c r="J240" s="431"/>
      <c r="K240" s="431"/>
      <c r="L240" s="418"/>
      <c r="M240" s="40"/>
      <c r="N240" s="84"/>
      <c r="O240" s="462"/>
    </row>
    <row r="241" spans="1:15" outlineLevel="1">
      <c r="A241" s="648">
        <f>ROW()</f>
        <v>241</v>
      </c>
      <c r="B241" s="257" t="str">
        <f>$B$79</f>
        <v>Administrators (Full-time &amp; Part-Time w/benefits)</v>
      </c>
      <c r="C241" s="105"/>
      <c r="D241" s="105"/>
      <c r="E241" s="105"/>
      <c r="F241" s="105"/>
      <c r="G241" s="431"/>
      <c r="H241" s="431"/>
      <c r="I241" s="431"/>
      <c r="J241" s="431"/>
      <c r="K241" s="431"/>
      <c r="L241" s="418"/>
      <c r="M241" s="40"/>
      <c r="N241" s="84"/>
      <c r="O241" s="462"/>
    </row>
    <row r="242" spans="1:15" outlineLevel="1">
      <c r="A242" s="648">
        <f>ROW()</f>
        <v>242</v>
      </c>
      <c r="B242" s="79" t="str">
        <f>$B80</f>
        <v>Executive Director</v>
      </c>
      <c r="C242" s="207">
        <f t="shared" ref="C242:C247" si="52">SUM(G242:M242)</f>
        <v>700000</v>
      </c>
      <c r="D242" s="157"/>
      <c r="E242" s="157"/>
      <c r="F242" s="157"/>
      <c r="G242" s="933">
        <f>G80*$D80</f>
        <v>100000</v>
      </c>
      <c r="H242" s="933">
        <f t="shared" ref="H242:M246" si="53">(H80*$D80)</f>
        <v>100000</v>
      </c>
      <c r="I242" s="933">
        <f t="shared" si="53"/>
        <v>100000</v>
      </c>
      <c r="J242" s="933">
        <f t="shared" si="53"/>
        <v>100000</v>
      </c>
      <c r="K242" s="933">
        <f t="shared" si="53"/>
        <v>100000</v>
      </c>
      <c r="L242" s="933">
        <f t="shared" si="53"/>
        <v>100000</v>
      </c>
      <c r="M242" s="933">
        <f t="shared" si="53"/>
        <v>100000</v>
      </c>
      <c r="O242" s="462"/>
    </row>
    <row r="243" spans="1:15" outlineLevel="1">
      <c r="A243" s="648">
        <f>ROW()</f>
        <v>243</v>
      </c>
      <c r="B243" s="79" t="str">
        <f>$B81</f>
        <v>Principal</v>
      </c>
      <c r="C243" s="216">
        <f t="shared" si="52"/>
        <v>480000</v>
      </c>
      <c r="D243" s="84"/>
      <c r="E243" s="84"/>
      <c r="F243" s="157"/>
      <c r="G243" s="875">
        <f>G81*$D81</f>
        <v>0</v>
      </c>
      <c r="H243" s="875">
        <f t="shared" si="53"/>
        <v>80000</v>
      </c>
      <c r="I243" s="875">
        <f t="shared" si="53"/>
        <v>80000</v>
      </c>
      <c r="J243" s="875">
        <f t="shared" si="53"/>
        <v>80000</v>
      </c>
      <c r="K243" s="875">
        <f t="shared" si="53"/>
        <v>80000</v>
      </c>
      <c r="L243" s="875">
        <f t="shared" si="53"/>
        <v>80000</v>
      </c>
      <c r="M243" s="875">
        <f t="shared" si="53"/>
        <v>80000</v>
      </c>
      <c r="O243" s="462"/>
    </row>
    <row r="244" spans="1:15" outlineLevel="1">
      <c r="A244" s="648">
        <f>ROW()</f>
        <v>244</v>
      </c>
      <c r="B244" s="79" t="str">
        <f>$B82</f>
        <v>Assistant Principal</v>
      </c>
      <c r="C244" s="216">
        <f t="shared" si="52"/>
        <v>260000</v>
      </c>
      <c r="D244" s="84"/>
      <c r="E244" s="84"/>
      <c r="F244" s="157"/>
      <c r="G244" s="875">
        <f>G82*$D82</f>
        <v>0</v>
      </c>
      <c r="H244" s="875">
        <f t="shared" si="53"/>
        <v>0</v>
      </c>
      <c r="I244" s="875">
        <f t="shared" si="53"/>
        <v>0</v>
      </c>
      <c r="J244" s="875">
        <f t="shared" si="53"/>
        <v>65000</v>
      </c>
      <c r="K244" s="875">
        <f t="shared" si="53"/>
        <v>65000</v>
      </c>
      <c r="L244" s="875">
        <f t="shared" si="53"/>
        <v>65000</v>
      </c>
      <c r="M244" s="875">
        <f t="shared" si="53"/>
        <v>65000</v>
      </c>
      <c r="O244" s="462"/>
    </row>
    <row r="245" spans="1:15" outlineLevel="1">
      <c r="A245" s="648">
        <f>ROW()</f>
        <v>245</v>
      </c>
      <c r="B245" s="79" t="str">
        <f>$B83</f>
        <v>Assistant Principal</v>
      </c>
      <c r="C245" s="216">
        <f t="shared" si="52"/>
        <v>130000</v>
      </c>
      <c r="D245" s="84"/>
      <c r="E245" s="84"/>
      <c r="F245" s="157"/>
      <c r="G245" s="875">
        <f>G83*$D83</f>
        <v>0</v>
      </c>
      <c r="H245" s="875">
        <f t="shared" si="53"/>
        <v>0</v>
      </c>
      <c r="I245" s="875">
        <f t="shared" si="53"/>
        <v>0</v>
      </c>
      <c r="J245" s="875">
        <f t="shared" si="53"/>
        <v>0</v>
      </c>
      <c r="K245" s="875">
        <f t="shared" si="53"/>
        <v>0</v>
      </c>
      <c r="L245" s="875">
        <f t="shared" si="53"/>
        <v>65000</v>
      </c>
      <c r="M245" s="875">
        <f t="shared" si="53"/>
        <v>65000</v>
      </c>
      <c r="O245" s="462"/>
    </row>
    <row r="246" spans="1:15" outlineLevel="1">
      <c r="A246" s="648">
        <f>ROW()</f>
        <v>246</v>
      </c>
      <c r="B246" s="105">
        <f>$B84</f>
        <v>0</v>
      </c>
      <c r="C246" s="217">
        <f t="shared" si="52"/>
        <v>0</v>
      </c>
      <c r="D246" s="158"/>
      <c r="E246" s="158"/>
      <c r="F246" s="158"/>
      <c r="G246" s="876">
        <f>G84*$D84</f>
        <v>0</v>
      </c>
      <c r="H246" s="876">
        <f t="shared" si="53"/>
        <v>0</v>
      </c>
      <c r="I246" s="876">
        <f t="shared" si="53"/>
        <v>0</v>
      </c>
      <c r="J246" s="876">
        <f t="shared" si="53"/>
        <v>0</v>
      </c>
      <c r="K246" s="876">
        <f t="shared" si="53"/>
        <v>0</v>
      </c>
      <c r="L246" s="876">
        <f t="shared" si="53"/>
        <v>0</v>
      </c>
      <c r="M246" s="876">
        <f t="shared" si="53"/>
        <v>0</v>
      </c>
      <c r="O246" s="462"/>
    </row>
    <row r="247" spans="1:15" outlineLevel="1">
      <c r="A247" s="648">
        <f>ROW()</f>
        <v>247</v>
      </c>
      <c r="B247" s="77" t="s">
        <v>495</v>
      </c>
      <c r="C247" s="216">
        <f t="shared" si="52"/>
        <v>1570000</v>
      </c>
      <c r="D247" s="84"/>
      <c r="E247" s="84"/>
      <c r="F247" s="84"/>
      <c r="G247" s="852">
        <f t="shared" ref="G247:M247" si="54">SUM(G242:G246)</f>
        <v>100000</v>
      </c>
      <c r="H247" s="852">
        <f t="shared" si="54"/>
        <v>180000</v>
      </c>
      <c r="I247" s="852">
        <f t="shared" si="54"/>
        <v>180000</v>
      </c>
      <c r="J247" s="852">
        <f t="shared" si="54"/>
        <v>245000</v>
      </c>
      <c r="K247" s="852">
        <f t="shared" si="54"/>
        <v>245000</v>
      </c>
      <c r="L247" s="852">
        <f t="shared" si="54"/>
        <v>310000</v>
      </c>
      <c r="M247" s="852">
        <f t="shared" si="54"/>
        <v>310000</v>
      </c>
      <c r="O247" s="462"/>
    </row>
    <row r="248" spans="1:15" outlineLevel="1">
      <c r="A248" s="648">
        <f>ROW()</f>
        <v>248</v>
      </c>
      <c r="B248" s="77"/>
      <c r="C248" s="216"/>
      <c r="D248" s="84"/>
      <c r="E248" s="84"/>
      <c r="F248" s="84"/>
      <c r="G248" s="836"/>
      <c r="H248" s="836"/>
      <c r="I248" s="836"/>
      <c r="J248" s="836"/>
      <c r="K248" s="836"/>
      <c r="L248" s="836"/>
      <c r="M248" s="836"/>
      <c r="O248" s="462"/>
    </row>
    <row r="249" spans="1:15" outlineLevel="1">
      <c r="A249" s="648">
        <f>ROW()</f>
        <v>249</v>
      </c>
      <c r="B249" s="257" t="str">
        <f>$B$88</f>
        <v>Office Staff (Full-time &amp; Part-Time w/benefits)</v>
      </c>
      <c r="C249" s="217"/>
      <c r="D249" s="158"/>
      <c r="E249" s="158"/>
      <c r="F249" s="158"/>
      <c r="G249" s="907"/>
      <c r="H249" s="907"/>
      <c r="I249" s="907"/>
      <c r="J249" s="907"/>
      <c r="K249" s="907"/>
      <c r="L249" s="907"/>
      <c r="M249" s="907"/>
      <c r="O249" s="462"/>
    </row>
    <row r="250" spans="1:15" outlineLevel="1">
      <c r="A250" s="648">
        <f>ROW()</f>
        <v>250</v>
      </c>
      <c r="B250" s="79" t="str">
        <f>$B89</f>
        <v>Office Manager</v>
      </c>
      <c r="C250" s="216">
        <f>SUM(G250:M250)</f>
        <v>240000</v>
      </c>
      <c r="D250" s="84"/>
      <c r="E250" s="84"/>
      <c r="F250" s="84"/>
      <c r="G250" s="875">
        <f>G89*$D89</f>
        <v>0</v>
      </c>
      <c r="H250" s="875">
        <f t="shared" ref="H250:M250" si="55">(H89*$D89)</f>
        <v>40000</v>
      </c>
      <c r="I250" s="875">
        <f t="shared" si="55"/>
        <v>40000</v>
      </c>
      <c r="J250" s="875">
        <f t="shared" si="55"/>
        <v>40000</v>
      </c>
      <c r="K250" s="875">
        <f t="shared" si="55"/>
        <v>40000</v>
      </c>
      <c r="L250" s="875">
        <f t="shared" si="55"/>
        <v>40000</v>
      </c>
      <c r="M250" s="875">
        <f t="shared" si="55"/>
        <v>40000</v>
      </c>
      <c r="O250" s="462"/>
    </row>
    <row r="251" spans="1:15" outlineLevel="1">
      <c r="A251" s="648">
        <f>ROW()</f>
        <v>251</v>
      </c>
      <c r="B251" s="79" t="str">
        <f>$B90</f>
        <v>School Operations Support Staff</v>
      </c>
      <c r="C251" s="216">
        <f>SUM(G251:M251)</f>
        <v>231250</v>
      </c>
      <c r="D251" s="84"/>
      <c r="E251" s="84"/>
      <c r="F251" s="84"/>
      <c r="G251" s="875">
        <f>G90*$D90</f>
        <v>0</v>
      </c>
      <c r="H251" s="875">
        <f>(H90*$D90)</f>
        <v>6250</v>
      </c>
      <c r="I251" s="875">
        <f t="shared" ref="I251:M251" si="56">(I90*$D90)</f>
        <v>25000</v>
      </c>
      <c r="J251" s="875">
        <f t="shared" si="56"/>
        <v>50000</v>
      </c>
      <c r="K251" s="875">
        <f t="shared" si="56"/>
        <v>50000</v>
      </c>
      <c r="L251" s="875">
        <f t="shared" si="56"/>
        <v>50000</v>
      </c>
      <c r="M251" s="875">
        <f t="shared" si="56"/>
        <v>50000</v>
      </c>
      <c r="O251" s="462"/>
    </row>
    <row r="252" spans="1:15" outlineLevel="1">
      <c r="A252" s="648"/>
      <c r="B252" s="79" t="str">
        <f>$B91</f>
        <v>Registrar/Attendance</v>
      </c>
      <c r="C252" s="216">
        <f>SUM(G252:M252)</f>
        <v>240000</v>
      </c>
      <c r="D252" s="84"/>
      <c r="E252" s="84"/>
      <c r="F252" s="84"/>
      <c r="G252" s="875">
        <f>G91*$D91</f>
        <v>0</v>
      </c>
      <c r="H252" s="875">
        <f>(H91*$D91)</f>
        <v>40000</v>
      </c>
      <c r="I252" s="875">
        <f t="shared" ref="I252:M253" si="57">(I91*$D91)</f>
        <v>40000</v>
      </c>
      <c r="J252" s="875">
        <f t="shared" si="57"/>
        <v>40000</v>
      </c>
      <c r="K252" s="875">
        <f t="shared" si="57"/>
        <v>40000</v>
      </c>
      <c r="L252" s="875">
        <f t="shared" si="57"/>
        <v>40000</v>
      </c>
      <c r="M252" s="875">
        <f t="shared" si="57"/>
        <v>40000</v>
      </c>
      <c r="O252" s="462"/>
    </row>
    <row r="253" spans="1:15" outlineLevel="1">
      <c r="A253" s="648">
        <f>ROW()</f>
        <v>253</v>
      </c>
      <c r="B253" s="105" t="str">
        <f>$B92</f>
        <v>Office 4</v>
      </c>
      <c r="C253" s="217">
        <f>SUM(G253:M253)</f>
        <v>0</v>
      </c>
      <c r="D253" s="158"/>
      <c r="E253" s="158"/>
      <c r="F253" s="158"/>
      <c r="G253" s="875">
        <f>G92*$D92</f>
        <v>0</v>
      </c>
      <c r="H253" s="875">
        <f>(H92*$D92)</f>
        <v>0</v>
      </c>
      <c r="I253" s="875">
        <f t="shared" si="57"/>
        <v>0</v>
      </c>
      <c r="J253" s="875">
        <f t="shared" si="57"/>
        <v>0</v>
      </c>
      <c r="K253" s="875">
        <f t="shared" si="57"/>
        <v>0</v>
      </c>
      <c r="L253" s="875">
        <f t="shared" si="57"/>
        <v>0</v>
      </c>
      <c r="M253" s="875">
        <f t="shared" si="57"/>
        <v>0</v>
      </c>
      <c r="O253" s="462"/>
    </row>
    <row r="254" spans="1:15" outlineLevel="1">
      <c r="A254" s="648">
        <f>ROW()</f>
        <v>254</v>
      </c>
      <c r="B254" s="77" t="s">
        <v>496</v>
      </c>
      <c r="C254" s="216">
        <f>SUM(G254:M254)</f>
        <v>711250</v>
      </c>
      <c r="D254" s="84"/>
      <c r="E254" s="84"/>
      <c r="F254" s="84"/>
      <c r="G254" s="852">
        <f t="shared" ref="G254:M254" si="58">SUM(G250:G253)</f>
        <v>0</v>
      </c>
      <c r="H254" s="852">
        <f t="shared" si="58"/>
        <v>86250</v>
      </c>
      <c r="I254" s="852">
        <f t="shared" si="58"/>
        <v>105000</v>
      </c>
      <c r="J254" s="852">
        <f t="shared" si="58"/>
        <v>130000</v>
      </c>
      <c r="K254" s="852">
        <f t="shared" si="58"/>
        <v>130000</v>
      </c>
      <c r="L254" s="852">
        <f t="shared" si="58"/>
        <v>130000</v>
      </c>
      <c r="M254" s="852">
        <f t="shared" si="58"/>
        <v>130000</v>
      </c>
      <c r="O254" s="462"/>
    </row>
    <row r="255" spans="1:15" outlineLevel="1">
      <c r="A255" s="648">
        <f>ROW()</f>
        <v>255</v>
      </c>
      <c r="B255" s="79"/>
      <c r="C255" s="216"/>
      <c r="D255" s="84"/>
      <c r="E255" s="84"/>
      <c r="F255" s="84"/>
      <c r="G255" s="836"/>
      <c r="H255" s="836"/>
      <c r="I255" s="836"/>
      <c r="J255" s="836"/>
      <c r="K255" s="836"/>
      <c r="L255" s="836"/>
      <c r="M255" s="836"/>
      <c r="O255" s="462"/>
    </row>
    <row r="256" spans="1:15" outlineLevel="1">
      <c r="A256" s="648">
        <f>ROW()</f>
        <v>256</v>
      </c>
      <c r="B256" s="1274" t="str">
        <f>$B$94</f>
        <v>Total Administrators and Office Staff</v>
      </c>
      <c r="C256" s="1617">
        <f>SUM(G256:M256)</f>
        <v>2281250</v>
      </c>
      <c r="D256" s="1273"/>
      <c r="E256" s="1273"/>
      <c r="F256" s="1273"/>
      <c r="G256" s="1277">
        <f t="shared" ref="G256:M256" si="59">+G247+G254</f>
        <v>100000</v>
      </c>
      <c r="H256" s="1277">
        <f t="shared" si="59"/>
        <v>266250</v>
      </c>
      <c r="I256" s="1277">
        <f t="shared" si="59"/>
        <v>285000</v>
      </c>
      <c r="J256" s="1277">
        <f t="shared" si="59"/>
        <v>375000</v>
      </c>
      <c r="K256" s="1277">
        <f t="shared" si="59"/>
        <v>375000</v>
      </c>
      <c r="L256" s="1277">
        <f t="shared" si="59"/>
        <v>440000</v>
      </c>
      <c r="M256" s="1277">
        <f t="shared" si="59"/>
        <v>440000</v>
      </c>
      <c r="O256" s="462"/>
    </row>
    <row r="257" spans="1:15" outlineLevel="1">
      <c r="A257" s="648">
        <f>ROW()</f>
        <v>257</v>
      </c>
      <c r="G257" s="680"/>
      <c r="H257" s="682"/>
      <c r="I257" s="682"/>
      <c r="J257" s="682"/>
      <c r="K257" s="680"/>
      <c r="L257" s="680"/>
      <c r="M257" s="680"/>
      <c r="O257" s="462"/>
    </row>
    <row r="258" spans="1:15" outlineLevel="1">
      <c r="A258" s="648">
        <f>ROW()</f>
        <v>258</v>
      </c>
      <c r="B258" s="77"/>
      <c r="C258" s="216"/>
      <c r="D258" s="84"/>
      <c r="E258" s="84"/>
      <c r="F258" s="84"/>
      <c r="G258" s="836"/>
      <c r="H258" s="836"/>
      <c r="I258" s="836"/>
      <c r="J258" s="836"/>
      <c r="K258" s="836"/>
      <c r="L258" s="836"/>
      <c r="M258" s="836"/>
      <c r="O258" s="462"/>
    </row>
    <row r="259" spans="1:15" outlineLevel="1">
      <c r="A259" s="648">
        <f>ROW()</f>
        <v>259</v>
      </c>
      <c r="B259" s="257" t="str">
        <f>$B$96</f>
        <v>Special Education (SPED) Teachers (Full-time &amp; Part-Time w/benefits)</v>
      </c>
      <c r="C259" s="217"/>
      <c r="D259" s="158"/>
      <c r="E259" s="158"/>
      <c r="F259" s="158"/>
      <c r="G259" s="907"/>
      <c r="H259" s="907"/>
      <c r="I259" s="907"/>
      <c r="J259" s="907"/>
      <c r="K259" s="907"/>
      <c r="L259" s="907"/>
      <c r="M259" s="907"/>
      <c r="O259" s="462"/>
    </row>
    <row r="260" spans="1:15" outlineLevel="1">
      <c r="A260" s="648">
        <f>ROW()</f>
        <v>260</v>
      </c>
      <c r="B260" s="248" t="str">
        <f>$B$97</f>
        <v>Special Ed Teacher</v>
      </c>
      <c r="C260" s="216">
        <f t="shared" ref="C260:C269" si="60">SUM(G260:M260)</f>
        <v>270000</v>
      </c>
      <c r="D260" s="84"/>
      <c r="E260" s="84"/>
      <c r="F260" s="84"/>
      <c r="G260" s="875">
        <f t="shared" ref="G260:G268" si="61">G97*$D97</f>
        <v>0</v>
      </c>
      <c r="H260" s="875">
        <f t="shared" ref="H260:M268" si="62">(H97*$D97)</f>
        <v>45000</v>
      </c>
      <c r="I260" s="875">
        <f t="shared" si="62"/>
        <v>45000</v>
      </c>
      <c r="J260" s="875">
        <f t="shared" si="62"/>
        <v>45000</v>
      </c>
      <c r="K260" s="875">
        <f t="shared" si="62"/>
        <v>45000</v>
      </c>
      <c r="L260" s="875">
        <f t="shared" si="62"/>
        <v>45000</v>
      </c>
      <c r="M260" s="875">
        <f t="shared" si="62"/>
        <v>45000</v>
      </c>
      <c r="O260" s="462"/>
    </row>
    <row r="261" spans="1:15" outlineLevel="1">
      <c r="A261" s="648">
        <f>ROW()</f>
        <v>261</v>
      </c>
      <c r="B261" s="248" t="str">
        <f>$B$98</f>
        <v>Special Ed Teacher</v>
      </c>
      <c r="C261" s="216">
        <f t="shared" si="60"/>
        <v>225000</v>
      </c>
      <c r="D261" s="84"/>
      <c r="E261" s="84"/>
      <c r="F261" s="84"/>
      <c r="G261" s="875">
        <f t="shared" si="61"/>
        <v>0</v>
      </c>
      <c r="H261" s="875">
        <f t="shared" si="62"/>
        <v>0</v>
      </c>
      <c r="I261" s="875">
        <f t="shared" si="62"/>
        <v>45000</v>
      </c>
      <c r="J261" s="875">
        <f t="shared" si="62"/>
        <v>45000</v>
      </c>
      <c r="K261" s="875">
        <f t="shared" si="62"/>
        <v>45000</v>
      </c>
      <c r="L261" s="875">
        <f t="shared" si="62"/>
        <v>45000</v>
      </c>
      <c r="M261" s="875">
        <f t="shared" si="62"/>
        <v>45000</v>
      </c>
      <c r="O261" s="462"/>
    </row>
    <row r="262" spans="1:15" outlineLevel="1">
      <c r="A262" s="648">
        <f>ROW()</f>
        <v>262</v>
      </c>
      <c r="B262" s="248" t="str">
        <f>$B$99</f>
        <v>Special Ed Teacher</v>
      </c>
      <c r="C262" s="216">
        <f t="shared" si="60"/>
        <v>180000</v>
      </c>
      <c r="D262" s="84"/>
      <c r="E262" s="84"/>
      <c r="F262" s="84"/>
      <c r="G262" s="875">
        <f t="shared" si="61"/>
        <v>0</v>
      </c>
      <c r="H262" s="875">
        <f t="shared" si="62"/>
        <v>0</v>
      </c>
      <c r="I262" s="875">
        <f t="shared" si="62"/>
        <v>0</v>
      </c>
      <c r="J262" s="875">
        <f t="shared" si="62"/>
        <v>45000</v>
      </c>
      <c r="K262" s="875">
        <f t="shared" si="62"/>
        <v>45000</v>
      </c>
      <c r="L262" s="875">
        <f t="shared" si="62"/>
        <v>45000</v>
      </c>
      <c r="M262" s="875">
        <f t="shared" si="62"/>
        <v>45000</v>
      </c>
      <c r="O262" s="462"/>
    </row>
    <row r="263" spans="1:15" outlineLevel="1">
      <c r="A263" s="648">
        <f>ROW()</f>
        <v>263</v>
      </c>
      <c r="B263" s="248" t="str">
        <f>$B$100</f>
        <v>Special Education Coordinator 4</v>
      </c>
      <c r="C263" s="216">
        <f t="shared" si="60"/>
        <v>0</v>
      </c>
      <c r="D263" s="84"/>
      <c r="E263" s="84"/>
      <c r="F263" s="84"/>
      <c r="G263" s="875">
        <f t="shared" si="61"/>
        <v>0</v>
      </c>
      <c r="H263" s="875">
        <f t="shared" si="62"/>
        <v>0</v>
      </c>
      <c r="I263" s="875">
        <f t="shared" si="62"/>
        <v>0</v>
      </c>
      <c r="J263" s="875">
        <f t="shared" si="62"/>
        <v>0</v>
      </c>
      <c r="K263" s="875">
        <f t="shared" si="62"/>
        <v>0</v>
      </c>
      <c r="L263" s="875">
        <f t="shared" si="62"/>
        <v>0</v>
      </c>
      <c r="M263" s="875">
        <f t="shared" si="62"/>
        <v>0</v>
      </c>
      <c r="O263" s="462"/>
    </row>
    <row r="264" spans="1:15" outlineLevel="1">
      <c r="A264" s="648">
        <f>ROW()</f>
        <v>264</v>
      </c>
      <c r="B264" s="248" t="str">
        <f>$B$101</f>
        <v>Special Education Coordinator 5</v>
      </c>
      <c r="C264" s="216">
        <f t="shared" si="60"/>
        <v>0</v>
      </c>
      <c r="D264" s="84"/>
      <c r="E264" s="84"/>
      <c r="F264" s="84"/>
      <c r="G264" s="875">
        <f t="shared" si="61"/>
        <v>0</v>
      </c>
      <c r="H264" s="875">
        <f t="shared" si="62"/>
        <v>0</v>
      </c>
      <c r="I264" s="875">
        <f t="shared" si="62"/>
        <v>0</v>
      </c>
      <c r="J264" s="875">
        <f t="shared" si="62"/>
        <v>0</v>
      </c>
      <c r="K264" s="875">
        <f t="shared" si="62"/>
        <v>0</v>
      </c>
      <c r="L264" s="875">
        <f t="shared" si="62"/>
        <v>0</v>
      </c>
      <c r="M264" s="875">
        <f t="shared" si="62"/>
        <v>0</v>
      </c>
      <c r="O264" s="462"/>
    </row>
    <row r="265" spans="1:15" outlineLevel="1">
      <c r="A265" s="648">
        <f>ROW()</f>
        <v>265</v>
      </c>
      <c r="B265" s="248" t="str">
        <f>$B102</f>
        <v>SPED Specialist Assistant 6</v>
      </c>
      <c r="C265" s="216">
        <f t="shared" si="60"/>
        <v>0</v>
      </c>
      <c r="D265" s="84"/>
      <c r="E265" s="84"/>
      <c r="F265" s="84"/>
      <c r="G265" s="875">
        <f t="shared" si="61"/>
        <v>0</v>
      </c>
      <c r="H265" s="875">
        <f t="shared" si="62"/>
        <v>0</v>
      </c>
      <c r="I265" s="875">
        <f t="shared" si="62"/>
        <v>0</v>
      </c>
      <c r="J265" s="875">
        <f t="shared" si="62"/>
        <v>0</v>
      </c>
      <c r="K265" s="875">
        <f t="shared" si="62"/>
        <v>0</v>
      </c>
      <c r="L265" s="875">
        <f t="shared" si="62"/>
        <v>0</v>
      </c>
      <c r="M265" s="875">
        <f t="shared" si="62"/>
        <v>0</v>
      </c>
      <c r="O265" s="462"/>
    </row>
    <row r="266" spans="1:15" outlineLevel="1">
      <c r="A266" s="648">
        <f>ROW()</f>
        <v>266</v>
      </c>
      <c r="B266" s="248" t="str">
        <f>$B103</f>
        <v>SPED Specialist Assistant 7</v>
      </c>
      <c r="C266" s="216">
        <f t="shared" si="60"/>
        <v>0</v>
      </c>
      <c r="D266" s="84"/>
      <c r="E266" s="84"/>
      <c r="F266" s="84"/>
      <c r="G266" s="875">
        <f t="shared" si="61"/>
        <v>0</v>
      </c>
      <c r="H266" s="875">
        <f t="shared" si="62"/>
        <v>0</v>
      </c>
      <c r="I266" s="875">
        <f t="shared" si="62"/>
        <v>0</v>
      </c>
      <c r="J266" s="875">
        <f t="shared" si="62"/>
        <v>0</v>
      </c>
      <c r="K266" s="875">
        <f t="shared" si="62"/>
        <v>0</v>
      </c>
      <c r="L266" s="875">
        <f t="shared" si="62"/>
        <v>0</v>
      </c>
      <c r="M266" s="875">
        <f t="shared" si="62"/>
        <v>0</v>
      </c>
      <c r="O266" s="462"/>
    </row>
    <row r="267" spans="1:15" outlineLevel="1">
      <c r="A267" s="648">
        <f>ROW()</f>
        <v>267</v>
      </c>
      <c r="B267" s="248" t="str">
        <f>$B104</f>
        <v>SPED Specialist Assistant 7</v>
      </c>
      <c r="C267" s="216">
        <f t="shared" si="60"/>
        <v>0</v>
      </c>
      <c r="D267" s="84"/>
      <c r="E267" s="84"/>
      <c r="F267" s="84"/>
      <c r="G267" s="875">
        <f t="shared" si="61"/>
        <v>0</v>
      </c>
      <c r="H267" s="875">
        <f t="shared" si="62"/>
        <v>0</v>
      </c>
      <c r="I267" s="875">
        <f t="shared" si="62"/>
        <v>0</v>
      </c>
      <c r="J267" s="875">
        <f t="shared" si="62"/>
        <v>0</v>
      </c>
      <c r="K267" s="875">
        <f t="shared" si="62"/>
        <v>0</v>
      </c>
      <c r="L267" s="875">
        <f t="shared" si="62"/>
        <v>0</v>
      </c>
      <c r="M267" s="875">
        <f t="shared" si="62"/>
        <v>0</v>
      </c>
      <c r="O267" s="462"/>
    </row>
    <row r="268" spans="1:15" outlineLevel="1">
      <c r="A268" s="648">
        <f>ROW()</f>
        <v>268</v>
      </c>
      <c r="B268" s="248" t="str">
        <f>$B105</f>
        <v>SPED Specialist Assistant 7</v>
      </c>
      <c r="C268" s="216">
        <f t="shared" si="60"/>
        <v>0</v>
      </c>
      <c r="D268" s="84"/>
      <c r="E268" s="84"/>
      <c r="F268" s="84"/>
      <c r="G268" s="875">
        <f t="shared" si="61"/>
        <v>0</v>
      </c>
      <c r="H268" s="875">
        <f t="shared" si="62"/>
        <v>0</v>
      </c>
      <c r="I268" s="875">
        <f t="shared" si="62"/>
        <v>0</v>
      </c>
      <c r="J268" s="875">
        <f t="shared" si="62"/>
        <v>0</v>
      </c>
      <c r="K268" s="875">
        <f t="shared" si="62"/>
        <v>0</v>
      </c>
      <c r="L268" s="875">
        <f t="shared" si="62"/>
        <v>0</v>
      </c>
      <c r="M268" s="875">
        <f t="shared" si="62"/>
        <v>0</v>
      </c>
      <c r="O268" s="462"/>
    </row>
    <row r="269" spans="1:15" outlineLevel="1">
      <c r="A269" s="648">
        <f>ROW()</f>
        <v>269</v>
      </c>
      <c r="B269" s="1274" t="str">
        <f>$B106</f>
        <v>Total Special EducationTeachers</v>
      </c>
      <c r="C269" s="1275">
        <f t="shared" si="60"/>
        <v>675000</v>
      </c>
      <c r="D269" s="1276"/>
      <c r="E269" s="1276"/>
      <c r="F269" s="1276"/>
      <c r="G269" s="1277">
        <f t="shared" ref="G269:M269" si="63">SUM(G260:G268)</f>
        <v>0</v>
      </c>
      <c r="H269" s="1277">
        <f t="shared" si="63"/>
        <v>45000</v>
      </c>
      <c r="I269" s="1277">
        <f t="shared" si="63"/>
        <v>90000</v>
      </c>
      <c r="J269" s="1277">
        <f t="shared" si="63"/>
        <v>135000</v>
      </c>
      <c r="K269" s="1277">
        <f t="shared" si="63"/>
        <v>135000</v>
      </c>
      <c r="L269" s="1277">
        <f t="shared" si="63"/>
        <v>135000</v>
      </c>
      <c r="M269" s="1277">
        <f t="shared" si="63"/>
        <v>135000</v>
      </c>
      <c r="O269" s="462"/>
    </row>
    <row r="270" spans="1:15" outlineLevel="1">
      <c r="A270" s="648">
        <f>ROW()</f>
        <v>270</v>
      </c>
      <c r="B270" s="79"/>
      <c r="C270" s="216"/>
      <c r="D270" s="84"/>
      <c r="E270" s="84"/>
      <c r="F270" s="84"/>
      <c r="G270" s="836"/>
      <c r="H270" s="836"/>
      <c r="I270" s="836"/>
      <c r="J270" s="836"/>
      <c r="K270" s="836"/>
      <c r="L270" s="836"/>
      <c r="M270" s="836"/>
      <c r="O270" s="462"/>
    </row>
    <row r="271" spans="1:15" outlineLevel="1">
      <c r="A271" s="648">
        <f>ROW()</f>
        <v>271</v>
      </c>
      <c r="B271" s="257" t="str">
        <f t="shared" ref="B271:B281" si="64">$B110</f>
        <v>English Language Learner (ELL) Teachers (Full-time &amp; Part-Time w/benefits)</v>
      </c>
      <c r="C271" s="217"/>
      <c r="D271" s="158"/>
      <c r="E271" s="158"/>
      <c r="F271" s="158"/>
      <c r="G271" s="907"/>
      <c r="H271" s="907"/>
      <c r="I271" s="907"/>
      <c r="J271" s="907"/>
      <c r="K271" s="907"/>
      <c r="L271" s="907"/>
      <c r="M271" s="907"/>
      <c r="O271" s="462"/>
    </row>
    <row r="272" spans="1:15" outlineLevel="1">
      <c r="A272" s="648">
        <f>ROW()</f>
        <v>272</v>
      </c>
      <c r="B272" s="248" t="str">
        <f t="shared" si="64"/>
        <v>ELL/TESOL Teacher</v>
      </c>
      <c r="C272" s="216">
        <f t="shared" ref="C272:C281" si="65">SUM(G272:M272)</f>
        <v>225000</v>
      </c>
      <c r="D272" s="84"/>
      <c r="E272" s="84"/>
      <c r="F272" s="84"/>
      <c r="G272" s="875">
        <f t="shared" ref="G272:G280" si="66">G111*$D111</f>
        <v>0</v>
      </c>
      <c r="H272" s="875">
        <f t="shared" ref="H272:M280" si="67">(H111*$D111)</f>
        <v>0</v>
      </c>
      <c r="I272" s="875">
        <f t="shared" si="67"/>
        <v>45000</v>
      </c>
      <c r="J272" s="875">
        <f t="shared" si="67"/>
        <v>45000</v>
      </c>
      <c r="K272" s="875">
        <f t="shared" si="67"/>
        <v>45000</v>
      </c>
      <c r="L272" s="875">
        <f t="shared" si="67"/>
        <v>45000</v>
      </c>
      <c r="M272" s="875">
        <f t="shared" si="67"/>
        <v>45000</v>
      </c>
      <c r="O272" s="462"/>
    </row>
    <row r="273" spans="1:15" outlineLevel="1">
      <c r="A273" s="648">
        <f>ROW()</f>
        <v>273</v>
      </c>
      <c r="B273" s="248" t="str">
        <f t="shared" si="64"/>
        <v>ELL/TESOL Teacher</v>
      </c>
      <c r="C273" s="216">
        <f t="shared" si="65"/>
        <v>180000</v>
      </c>
      <c r="D273" s="84"/>
      <c r="E273" s="84"/>
      <c r="F273" s="84"/>
      <c r="G273" s="875">
        <f t="shared" si="66"/>
        <v>0</v>
      </c>
      <c r="H273" s="875">
        <f t="shared" si="67"/>
        <v>0</v>
      </c>
      <c r="I273" s="875">
        <f t="shared" si="67"/>
        <v>0</v>
      </c>
      <c r="J273" s="875">
        <f t="shared" si="67"/>
        <v>45000</v>
      </c>
      <c r="K273" s="875">
        <f t="shared" si="67"/>
        <v>45000</v>
      </c>
      <c r="L273" s="875">
        <f t="shared" si="67"/>
        <v>45000</v>
      </c>
      <c r="M273" s="875">
        <f t="shared" si="67"/>
        <v>45000</v>
      </c>
      <c r="O273" s="462"/>
    </row>
    <row r="274" spans="1:15" outlineLevel="1">
      <c r="A274" s="648">
        <f>ROW()</f>
        <v>274</v>
      </c>
      <c r="B274" s="248">
        <f t="shared" si="64"/>
        <v>0</v>
      </c>
      <c r="C274" s="216">
        <f t="shared" si="65"/>
        <v>0</v>
      </c>
      <c r="D274" s="84"/>
      <c r="E274" s="84"/>
      <c r="F274" s="84"/>
      <c r="G274" s="875">
        <f t="shared" si="66"/>
        <v>0</v>
      </c>
      <c r="H274" s="875">
        <f t="shared" si="67"/>
        <v>0</v>
      </c>
      <c r="I274" s="875">
        <f t="shared" si="67"/>
        <v>0</v>
      </c>
      <c r="J274" s="875">
        <f t="shared" si="67"/>
        <v>0</v>
      </c>
      <c r="K274" s="875">
        <f t="shared" si="67"/>
        <v>0</v>
      </c>
      <c r="L274" s="875">
        <f t="shared" si="67"/>
        <v>0</v>
      </c>
      <c r="M274" s="875">
        <f t="shared" si="67"/>
        <v>0</v>
      </c>
      <c r="O274" s="462"/>
    </row>
    <row r="275" spans="1:15" outlineLevel="1">
      <c r="A275" s="648">
        <f>ROW()</f>
        <v>275</v>
      </c>
      <c r="B275" s="248">
        <f t="shared" si="64"/>
        <v>0</v>
      </c>
      <c r="C275" s="216">
        <f t="shared" si="65"/>
        <v>0</v>
      </c>
      <c r="D275" s="84"/>
      <c r="E275" s="84"/>
      <c r="F275" s="84"/>
      <c r="G275" s="875">
        <f t="shared" si="66"/>
        <v>0</v>
      </c>
      <c r="H275" s="875">
        <f t="shared" si="67"/>
        <v>0</v>
      </c>
      <c r="I275" s="875">
        <f t="shared" si="67"/>
        <v>0</v>
      </c>
      <c r="J275" s="875">
        <f t="shared" si="67"/>
        <v>0</v>
      </c>
      <c r="K275" s="875">
        <f t="shared" si="67"/>
        <v>0</v>
      </c>
      <c r="L275" s="875">
        <f t="shared" si="67"/>
        <v>0</v>
      </c>
      <c r="M275" s="875">
        <f t="shared" si="67"/>
        <v>0</v>
      </c>
      <c r="O275" s="462"/>
    </row>
    <row r="276" spans="1:15" outlineLevel="1">
      <c r="A276" s="648">
        <f>ROW()</f>
        <v>276</v>
      </c>
      <c r="B276" s="248">
        <f t="shared" si="64"/>
        <v>0</v>
      </c>
      <c r="C276" s="216">
        <f t="shared" si="65"/>
        <v>0</v>
      </c>
      <c r="D276" s="84"/>
      <c r="E276" s="84"/>
      <c r="F276" s="84"/>
      <c r="G276" s="875">
        <f t="shared" si="66"/>
        <v>0</v>
      </c>
      <c r="H276" s="875">
        <f t="shared" si="67"/>
        <v>0</v>
      </c>
      <c r="I276" s="875">
        <f t="shared" si="67"/>
        <v>0</v>
      </c>
      <c r="J276" s="875">
        <f t="shared" si="67"/>
        <v>0</v>
      </c>
      <c r="K276" s="875">
        <f t="shared" si="67"/>
        <v>0</v>
      </c>
      <c r="L276" s="875">
        <f t="shared" si="67"/>
        <v>0</v>
      </c>
      <c r="M276" s="875">
        <f t="shared" si="67"/>
        <v>0</v>
      </c>
      <c r="O276" s="462"/>
    </row>
    <row r="277" spans="1:15" outlineLevel="1">
      <c r="A277" s="648">
        <f>ROW()</f>
        <v>277</v>
      </c>
      <c r="B277" s="248">
        <f t="shared" si="64"/>
        <v>0</v>
      </c>
      <c r="C277" s="216">
        <f t="shared" si="65"/>
        <v>0</v>
      </c>
      <c r="D277" s="84"/>
      <c r="E277" s="84"/>
      <c r="F277" s="84"/>
      <c r="G277" s="875">
        <f t="shared" si="66"/>
        <v>0</v>
      </c>
      <c r="H277" s="875">
        <f t="shared" si="67"/>
        <v>0</v>
      </c>
      <c r="I277" s="875">
        <f t="shared" si="67"/>
        <v>0</v>
      </c>
      <c r="J277" s="875">
        <f t="shared" si="67"/>
        <v>0</v>
      </c>
      <c r="K277" s="875">
        <f t="shared" si="67"/>
        <v>0</v>
      </c>
      <c r="L277" s="875">
        <f t="shared" si="67"/>
        <v>0</v>
      </c>
      <c r="M277" s="875">
        <f t="shared" si="67"/>
        <v>0</v>
      </c>
      <c r="O277" s="462"/>
    </row>
    <row r="278" spans="1:15" outlineLevel="1">
      <c r="A278" s="648">
        <f>ROW()</f>
        <v>278</v>
      </c>
      <c r="B278" s="248">
        <f t="shared" si="64"/>
        <v>0</v>
      </c>
      <c r="C278" s="216">
        <f t="shared" si="65"/>
        <v>0</v>
      </c>
      <c r="D278" s="84"/>
      <c r="E278" s="84"/>
      <c r="F278" s="84"/>
      <c r="G278" s="875">
        <f t="shared" si="66"/>
        <v>0</v>
      </c>
      <c r="H278" s="875">
        <f t="shared" si="67"/>
        <v>0</v>
      </c>
      <c r="I278" s="875">
        <f t="shared" si="67"/>
        <v>0</v>
      </c>
      <c r="J278" s="875">
        <f t="shared" si="67"/>
        <v>0</v>
      </c>
      <c r="K278" s="875">
        <f t="shared" si="67"/>
        <v>0</v>
      </c>
      <c r="L278" s="875">
        <f t="shared" si="67"/>
        <v>0</v>
      </c>
      <c r="M278" s="875">
        <f t="shared" si="67"/>
        <v>0</v>
      </c>
      <c r="O278" s="462"/>
    </row>
    <row r="279" spans="1:15" outlineLevel="1">
      <c r="A279" s="648">
        <f>ROW()</f>
        <v>279</v>
      </c>
      <c r="B279" s="248">
        <f t="shared" si="64"/>
        <v>0</v>
      </c>
      <c r="C279" s="216">
        <f t="shared" si="65"/>
        <v>0</v>
      </c>
      <c r="D279" s="84"/>
      <c r="E279" s="84"/>
      <c r="F279" s="84"/>
      <c r="G279" s="875">
        <f t="shared" si="66"/>
        <v>0</v>
      </c>
      <c r="H279" s="875">
        <f t="shared" si="67"/>
        <v>0</v>
      </c>
      <c r="I279" s="875">
        <f t="shared" si="67"/>
        <v>0</v>
      </c>
      <c r="J279" s="875">
        <f t="shared" si="67"/>
        <v>0</v>
      </c>
      <c r="K279" s="875">
        <f t="shared" si="67"/>
        <v>0</v>
      </c>
      <c r="L279" s="875">
        <f t="shared" si="67"/>
        <v>0</v>
      </c>
      <c r="M279" s="875">
        <f t="shared" si="67"/>
        <v>0</v>
      </c>
      <c r="O279" s="462"/>
    </row>
    <row r="280" spans="1:15" outlineLevel="1">
      <c r="A280" s="648">
        <f>ROW()</f>
        <v>280</v>
      </c>
      <c r="B280" s="248">
        <f t="shared" si="64"/>
        <v>0</v>
      </c>
      <c r="C280" s="216">
        <f t="shared" si="65"/>
        <v>0</v>
      </c>
      <c r="D280" s="84"/>
      <c r="E280" s="84"/>
      <c r="F280" s="84"/>
      <c r="G280" s="875">
        <f t="shared" si="66"/>
        <v>0</v>
      </c>
      <c r="H280" s="875">
        <f t="shared" si="67"/>
        <v>0</v>
      </c>
      <c r="I280" s="875">
        <f t="shared" si="67"/>
        <v>0</v>
      </c>
      <c r="J280" s="875">
        <f t="shared" si="67"/>
        <v>0</v>
      </c>
      <c r="K280" s="875">
        <f t="shared" si="67"/>
        <v>0</v>
      </c>
      <c r="L280" s="875">
        <f t="shared" si="67"/>
        <v>0</v>
      </c>
      <c r="M280" s="875">
        <f t="shared" si="67"/>
        <v>0</v>
      </c>
      <c r="O280" s="462"/>
    </row>
    <row r="281" spans="1:15" outlineLevel="1">
      <c r="A281" s="648">
        <f>ROW()</f>
        <v>281</v>
      </c>
      <c r="B281" s="1274" t="str">
        <f t="shared" si="64"/>
        <v>Total ELL Teachers</v>
      </c>
      <c r="C281" s="1275">
        <f t="shared" si="65"/>
        <v>405000</v>
      </c>
      <c r="D281" s="1273"/>
      <c r="E281" s="1273"/>
      <c r="F281" s="1273"/>
      <c r="G281" s="1277">
        <f t="shared" ref="G281:M281" si="68">SUM(G272:G280)</f>
        <v>0</v>
      </c>
      <c r="H281" s="1277">
        <f t="shared" si="68"/>
        <v>0</v>
      </c>
      <c r="I281" s="1277">
        <f t="shared" si="68"/>
        <v>45000</v>
      </c>
      <c r="J281" s="1277">
        <f t="shared" si="68"/>
        <v>90000</v>
      </c>
      <c r="K281" s="1277">
        <f t="shared" si="68"/>
        <v>90000</v>
      </c>
      <c r="L281" s="1277">
        <f t="shared" si="68"/>
        <v>90000</v>
      </c>
      <c r="M281" s="1277">
        <f t="shared" si="68"/>
        <v>90000</v>
      </c>
      <c r="O281" s="462"/>
    </row>
    <row r="282" spans="1:15" outlineLevel="1">
      <c r="A282" s="648">
        <f>ROW()</f>
        <v>282</v>
      </c>
      <c r="B282" s="79"/>
      <c r="C282" s="216"/>
      <c r="D282" s="84"/>
      <c r="E282" s="84"/>
      <c r="F282" s="84"/>
      <c r="G282" s="836"/>
      <c r="H282" s="836"/>
      <c r="I282" s="836"/>
      <c r="J282" s="836"/>
      <c r="K282" s="836"/>
      <c r="L282" s="836"/>
      <c r="M282" s="836"/>
      <c r="O282" s="462"/>
    </row>
    <row r="283" spans="1:15" outlineLevel="1">
      <c r="A283" s="648">
        <f>ROW()</f>
        <v>283</v>
      </c>
      <c r="B283" s="257" t="str">
        <f t="shared" ref="B283:B293" si="69">$B122</f>
        <v>Guidance Counselor &amp; Other Staff (Full-time &amp; Part-Time w/benefits)</v>
      </c>
      <c r="C283" s="217"/>
      <c r="D283" s="158"/>
      <c r="E283" s="158"/>
      <c r="F283" s="158"/>
      <c r="G283" s="907"/>
      <c r="H283" s="907"/>
      <c r="I283" s="907"/>
      <c r="J283" s="907"/>
      <c r="K283" s="907"/>
      <c r="L283" s="907"/>
      <c r="M283" s="907"/>
      <c r="O283" s="462"/>
    </row>
    <row r="284" spans="1:15" outlineLevel="1">
      <c r="A284" s="648">
        <f>ROW()</f>
        <v>284</v>
      </c>
      <c r="B284" s="248" t="str">
        <f t="shared" si="69"/>
        <v>Student Support position (Counselor)</v>
      </c>
      <c r="C284" s="216">
        <f t="shared" ref="C284:C293" si="70">SUM(G284:M284)</f>
        <v>200000</v>
      </c>
      <c r="D284" s="84"/>
      <c r="E284" s="84"/>
      <c r="F284" s="84"/>
      <c r="G284" s="875">
        <f t="shared" ref="G284:G292" si="71">G123*$D123</f>
        <v>0</v>
      </c>
      <c r="H284" s="875">
        <f t="shared" ref="H284:M292" si="72">(H123*$D123)</f>
        <v>0</v>
      </c>
      <c r="I284" s="875">
        <f t="shared" si="72"/>
        <v>40000</v>
      </c>
      <c r="J284" s="875">
        <f t="shared" si="72"/>
        <v>40000</v>
      </c>
      <c r="K284" s="875">
        <f t="shared" si="72"/>
        <v>40000</v>
      </c>
      <c r="L284" s="875">
        <f t="shared" si="72"/>
        <v>40000</v>
      </c>
      <c r="M284" s="875">
        <f t="shared" si="72"/>
        <v>40000</v>
      </c>
      <c r="O284" s="462"/>
    </row>
    <row r="285" spans="1:15" outlineLevel="1">
      <c r="A285" s="648">
        <f>ROW()</f>
        <v>285</v>
      </c>
      <c r="B285" s="248" t="str">
        <f t="shared" si="69"/>
        <v>Job/Academic Counselor</v>
      </c>
      <c r="C285" s="216">
        <f t="shared" si="70"/>
        <v>260000</v>
      </c>
      <c r="D285" s="84"/>
      <c r="E285" s="84"/>
      <c r="F285" s="84"/>
      <c r="G285" s="875">
        <f t="shared" si="71"/>
        <v>0</v>
      </c>
      <c r="H285" s="875">
        <f t="shared" si="72"/>
        <v>0</v>
      </c>
      <c r="I285" s="875">
        <f t="shared" si="72"/>
        <v>0</v>
      </c>
      <c r="J285" s="875">
        <f t="shared" si="72"/>
        <v>65000</v>
      </c>
      <c r="K285" s="875">
        <f t="shared" si="72"/>
        <v>65000</v>
      </c>
      <c r="L285" s="875">
        <f t="shared" si="72"/>
        <v>65000</v>
      </c>
      <c r="M285" s="875">
        <f t="shared" si="72"/>
        <v>65000</v>
      </c>
      <c r="O285" s="462"/>
    </row>
    <row r="286" spans="1:15" outlineLevel="1">
      <c r="A286" s="648">
        <f>ROW()</f>
        <v>286</v>
      </c>
      <c r="B286" s="248" t="str">
        <f t="shared" si="69"/>
        <v>Driver/Custodian/Lunch</v>
      </c>
      <c r="C286" s="216">
        <f t="shared" si="70"/>
        <v>144000</v>
      </c>
      <c r="D286" s="84"/>
      <c r="E286" s="84"/>
      <c r="F286" s="84"/>
      <c r="G286" s="875">
        <f t="shared" si="71"/>
        <v>0</v>
      </c>
      <c r="H286" s="875">
        <f t="shared" si="72"/>
        <v>24000</v>
      </c>
      <c r="I286" s="875">
        <f t="shared" si="72"/>
        <v>24000</v>
      </c>
      <c r="J286" s="875">
        <f t="shared" si="72"/>
        <v>24000</v>
      </c>
      <c r="K286" s="875">
        <f t="shared" si="72"/>
        <v>24000</v>
      </c>
      <c r="L286" s="875">
        <f t="shared" si="72"/>
        <v>24000</v>
      </c>
      <c r="M286" s="875">
        <f t="shared" si="72"/>
        <v>24000</v>
      </c>
      <c r="O286" s="462"/>
    </row>
    <row r="287" spans="1:15" outlineLevel="1">
      <c r="A287" s="648">
        <f>ROW()</f>
        <v>287</v>
      </c>
      <c r="B287" s="248">
        <f t="shared" si="69"/>
        <v>0</v>
      </c>
      <c r="C287" s="216">
        <f t="shared" si="70"/>
        <v>0</v>
      </c>
      <c r="D287" s="84"/>
      <c r="E287" s="84"/>
      <c r="F287" s="84"/>
      <c r="G287" s="875">
        <f t="shared" si="71"/>
        <v>0</v>
      </c>
      <c r="H287" s="875">
        <f t="shared" si="72"/>
        <v>0</v>
      </c>
      <c r="I287" s="875">
        <f t="shared" si="72"/>
        <v>0</v>
      </c>
      <c r="J287" s="875">
        <f t="shared" si="72"/>
        <v>0</v>
      </c>
      <c r="K287" s="875">
        <f t="shared" si="72"/>
        <v>0</v>
      </c>
      <c r="L287" s="875">
        <f t="shared" si="72"/>
        <v>0</v>
      </c>
      <c r="M287" s="875">
        <f t="shared" si="72"/>
        <v>0</v>
      </c>
      <c r="O287" s="462"/>
    </row>
    <row r="288" spans="1:15" outlineLevel="1">
      <c r="A288" s="648">
        <f>ROW()</f>
        <v>288</v>
      </c>
      <c r="B288" s="248">
        <f t="shared" si="69"/>
        <v>0</v>
      </c>
      <c r="C288" s="216">
        <f t="shared" si="70"/>
        <v>0</v>
      </c>
      <c r="D288" s="84"/>
      <c r="E288" s="84"/>
      <c r="F288" s="84"/>
      <c r="G288" s="875">
        <f t="shared" si="71"/>
        <v>0</v>
      </c>
      <c r="H288" s="875">
        <f t="shared" si="72"/>
        <v>0</v>
      </c>
      <c r="I288" s="875">
        <f t="shared" si="72"/>
        <v>0</v>
      </c>
      <c r="J288" s="875">
        <f t="shared" si="72"/>
        <v>0</v>
      </c>
      <c r="K288" s="875">
        <f t="shared" si="72"/>
        <v>0</v>
      </c>
      <c r="L288" s="875">
        <f t="shared" si="72"/>
        <v>0</v>
      </c>
      <c r="M288" s="875">
        <f t="shared" si="72"/>
        <v>0</v>
      </c>
      <c r="O288" s="462"/>
    </row>
    <row r="289" spans="1:15" outlineLevel="1">
      <c r="A289" s="648">
        <f>ROW()</f>
        <v>289</v>
      </c>
      <c r="B289" s="248">
        <f t="shared" si="69"/>
        <v>0</v>
      </c>
      <c r="C289" s="216">
        <f t="shared" si="70"/>
        <v>0</v>
      </c>
      <c r="D289" s="84"/>
      <c r="E289" s="84"/>
      <c r="F289" s="84"/>
      <c r="G289" s="875">
        <f t="shared" si="71"/>
        <v>0</v>
      </c>
      <c r="H289" s="875">
        <f t="shared" si="72"/>
        <v>0</v>
      </c>
      <c r="I289" s="875">
        <f t="shared" si="72"/>
        <v>0</v>
      </c>
      <c r="J289" s="875">
        <f t="shared" si="72"/>
        <v>0</v>
      </c>
      <c r="K289" s="875">
        <f t="shared" si="72"/>
        <v>0</v>
      </c>
      <c r="L289" s="875">
        <f t="shared" si="72"/>
        <v>0</v>
      </c>
      <c r="M289" s="875">
        <f t="shared" si="72"/>
        <v>0</v>
      </c>
      <c r="O289" s="462"/>
    </row>
    <row r="290" spans="1:15" outlineLevel="1">
      <c r="A290" s="648">
        <f>ROW()</f>
        <v>290</v>
      </c>
      <c r="B290" s="248">
        <f t="shared" si="69"/>
        <v>0</v>
      </c>
      <c r="C290" s="216">
        <f t="shared" si="70"/>
        <v>0</v>
      </c>
      <c r="D290" s="84"/>
      <c r="E290" s="84"/>
      <c r="F290" s="84"/>
      <c r="G290" s="875">
        <f t="shared" si="71"/>
        <v>0</v>
      </c>
      <c r="H290" s="875">
        <f t="shared" si="72"/>
        <v>0</v>
      </c>
      <c r="I290" s="875">
        <f t="shared" si="72"/>
        <v>0</v>
      </c>
      <c r="J290" s="875">
        <f t="shared" si="72"/>
        <v>0</v>
      </c>
      <c r="K290" s="875">
        <f t="shared" si="72"/>
        <v>0</v>
      </c>
      <c r="L290" s="875">
        <f t="shared" si="72"/>
        <v>0</v>
      </c>
      <c r="M290" s="875">
        <f t="shared" si="72"/>
        <v>0</v>
      </c>
      <c r="O290" s="462"/>
    </row>
    <row r="291" spans="1:15" outlineLevel="1">
      <c r="A291" s="648">
        <f>ROW()</f>
        <v>291</v>
      </c>
      <c r="B291" s="248">
        <f t="shared" si="69"/>
        <v>0</v>
      </c>
      <c r="C291" s="216">
        <f t="shared" si="70"/>
        <v>0</v>
      </c>
      <c r="D291" s="84"/>
      <c r="E291" s="84"/>
      <c r="F291" s="84"/>
      <c r="G291" s="875">
        <f t="shared" si="71"/>
        <v>0</v>
      </c>
      <c r="H291" s="875">
        <f t="shared" si="72"/>
        <v>0</v>
      </c>
      <c r="I291" s="875">
        <f t="shared" si="72"/>
        <v>0</v>
      </c>
      <c r="J291" s="875">
        <f t="shared" si="72"/>
        <v>0</v>
      </c>
      <c r="K291" s="875">
        <f t="shared" si="72"/>
        <v>0</v>
      </c>
      <c r="L291" s="875">
        <f t="shared" si="72"/>
        <v>0</v>
      </c>
      <c r="M291" s="875">
        <f t="shared" si="72"/>
        <v>0</v>
      </c>
      <c r="O291" s="462"/>
    </row>
    <row r="292" spans="1:15" outlineLevel="1">
      <c r="A292" s="648">
        <f>ROW()</f>
        <v>292</v>
      </c>
      <c r="B292" s="248">
        <f t="shared" si="69"/>
        <v>0</v>
      </c>
      <c r="C292" s="216">
        <f t="shared" si="70"/>
        <v>0</v>
      </c>
      <c r="D292" s="84"/>
      <c r="E292" s="84"/>
      <c r="F292" s="84"/>
      <c r="G292" s="875">
        <f t="shared" si="71"/>
        <v>0</v>
      </c>
      <c r="H292" s="875">
        <f t="shared" si="72"/>
        <v>0</v>
      </c>
      <c r="I292" s="875">
        <f t="shared" si="72"/>
        <v>0</v>
      </c>
      <c r="J292" s="875">
        <f t="shared" si="72"/>
        <v>0</v>
      </c>
      <c r="K292" s="875">
        <f t="shared" si="72"/>
        <v>0</v>
      </c>
      <c r="L292" s="875">
        <f t="shared" si="72"/>
        <v>0</v>
      </c>
      <c r="M292" s="875">
        <f t="shared" si="72"/>
        <v>0</v>
      </c>
      <c r="O292" s="462"/>
    </row>
    <row r="293" spans="1:15" outlineLevel="1">
      <c r="A293" s="648">
        <f>ROW()</f>
        <v>293</v>
      </c>
      <c r="B293" s="1278" t="str">
        <f t="shared" si="69"/>
        <v>Total Guidance Counselors/Other</v>
      </c>
      <c r="C293" s="1275">
        <f t="shared" si="70"/>
        <v>604000</v>
      </c>
      <c r="D293" s="1276"/>
      <c r="E293" s="1276"/>
      <c r="F293" s="1276"/>
      <c r="G293" s="1277">
        <f t="shared" ref="G293:H293" si="73">SUM(G284:G292)</f>
        <v>0</v>
      </c>
      <c r="H293" s="1277">
        <f t="shared" si="73"/>
        <v>24000</v>
      </c>
      <c r="I293" s="1277">
        <f t="shared" ref="I293:M293" si="74">SUM(I284:I292)</f>
        <v>64000</v>
      </c>
      <c r="J293" s="1277">
        <f t="shared" si="74"/>
        <v>129000</v>
      </c>
      <c r="K293" s="1277">
        <f t="shared" si="74"/>
        <v>129000</v>
      </c>
      <c r="L293" s="1277">
        <f t="shared" si="74"/>
        <v>129000</v>
      </c>
      <c r="M293" s="1277">
        <f t="shared" si="74"/>
        <v>129000</v>
      </c>
      <c r="O293" s="462"/>
    </row>
    <row r="294" spans="1:15" outlineLevel="1">
      <c r="A294" s="648">
        <f>ROW()</f>
        <v>294</v>
      </c>
      <c r="B294" s="79"/>
      <c r="C294" s="84"/>
      <c r="D294" s="84"/>
      <c r="E294" s="84"/>
      <c r="F294" s="84"/>
      <c r="G294" s="836"/>
      <c r="H294" s="836"/>
      <c r="I294" s="836"/>
      <c r="J294" s="836"/>
      <c r="K294" s="836"/>
      <c r="L294" s="836"/>
      <c r="M294" s="836"/>
      <c r="O294" s="462"/>
    </row>
    <row r="295" spans="1:15" outlineLevel="1">
      <c r="A295" s="648">
        <f>ROW()</f>
        <v>295</v>
      </c>
      <c r="B295" s="267" t="str">
        <f>$B141</f>
        <v>Grade Level Teacher</v>
      </c>
      <c r="C295" s="162">
        <f t="shared" ref="C295:C326" si="75">SUM(G295:M295)</f>
        <v>0</v>
      </c>
      <c r="D295" s="162"/>
      <c r="E295" s="162"/>
      <c r="F295" s="162"/>
      <c r="G295" s="875">
        <f>G141*$E141</f>
        <v>0</v>
      </c>
      <c r="H295" s="875">
        <f t="shared" ref="H295:M297" si="76">(H141*$E141)</f>
        <v>0</v>
      </c>
      <c r="I295" s="875">
        <f t="shared" si="76"/>
        <v>0</v>
      </c>
      <c r="J295" s="875">
        <f t="shared" si="76"/>
        <v>0</v>
      </c>
      <c r="K295" s="875">
        <f t="shared" si="76"/>
        <v>0</v>
      </c>
      <c r="L295" s="875">
        <f t="shared" si="76"/>
        <v>0</v>
      </c>
      <c r="M295" s="875">
        <f t="shared" si="76"/>
        <v>0</v>
      </c>
      <c r="N295" s="160"/>
      <c r="O295" s="462"/>
    </row>
    <row r="296" spans="1:15" outlineLevel="1">
      <c r="A296" s="648">
        <f>ROW()</f>
        <v>296</v>
      </c>
      <c r="B296" s="267" t="str">
        <f>$B142</f>
        <v>Grade Level Teacher</v>
      </c>
      <c r="C296" s="162">
        <f t="shared" si="75"/>
        <v>0</v>
      </c>
      <c r="D296" s="162"/>
      <c r="E296" s="162"/>
      <c r="F296" s="162"/>
      <c r="G296" s="875">
        <f>G142*$E142</f>
        <v>0</v>
      </c>
      <c r="H296" s="875">
        <f t="shared" si="76"/>
        <v>0</v>
      </c>
      <c r="I296" s="875">
        <f t="shared" si="76"/>
        <v>0</v>
      </c>
      <c r="J296" s="875">
        <f t="shared" si="76"/>
        <v>0</v>
      </c>
      <c r="K296" s="875">
        <f t="shared" si="76"/>
        <v>0</v>
      </c>
      <c r="L296" s="875">
        <f t="shared" si="76"/>
        <v>0</v>
      </c>
      <c r="M296" s="875">
        <f t="shared" si="76"/>
        <v>0</v>
      </c>
      <c r="N296" s="160"/>
      <c r="O296" s="462"/>
    </row>
    <row r="297" spans="1:15" outlineLevel="1">
      <c r="A297" s="648">
        <f>ROW()</f>
        <v>297</v>
      </c>
      <c r="B297" s="267" t="str">
        <f>$B143</f>
        <v>Grade Level Teacher</v>
      </c>
      <c r="C297" s="162">
        <f t="shared" si="75"/>
        <v>0</v>
      </c>
      <c r="D297" s="162"/>
      <c r="E297" s="162"/>
      <c r="F297" s="162"/>
      <c r="G297" s="875">
        <f>G143*$E143</f>
        <v>0</v>
      </c>
      <c r="H297" s="875">
        <f t="shared" si="76"/>
        <v>0</v>
      </c>
      <c r="I297" s="875">
        <f t="shared" si="76"/>
        <v>0</v>
      </c>
      <c r="J297" s="875">
        <f t="shared" si="76"/>
        <v>0</v>
      </c>
      <c r="K297" s="875">
        <f t="shared" si="76"/>
        <v>0</v>
      </c>
      <c r="L297" s="875">
        <f t="shared" si="76"/>
        <v>0</v>
      </c>
      <c r="M297" s="875">
        <f t="shared" si="76"/>
        <v>0</v>
      </c>
      <c r="N297" s="160"/>
      <c r="O297" s="462"/>
    </row>
    <row r="298" spans="1:15" outlineLevel="1">
      <c r="A298" s="648">
        <f>ROW()</f>
        <v>298</v>
      </c>
      <c r="B298" s="267"/>
      <c r="C298" s="162">
        <f t="shared" si="75"/>
        <v>0</v>
      </c>
      <c r="D298" s="162"/>
      <c r="E298" s="162"/>
      <c r="F298" s="162"/>
      <c r="G298" s="875"/>
      <c r="H298" s="875"/>
      <c r="I298" s="875"/>
      <c r="J298" s="875"/>
      <c r="K298" s="875"/>
      <c r="L298" s="875"/>
      <c r="M298" s="875"/>
      <c r="N298" s="160"/>
      <c r="O298" s="462"/>
    </row>
    <row r="299" spans="1:15" outlineLevel="1">
      <c r="A299" s="648">
        <f>ROW()</f>
        <v>299</v>
      </c>
      <c r="B299" s="267" t="str">
        <f>$B145</f>
        <v>Kindergarten Teacher</v>
      </c>
      <c r="C299" s="162">
        <f t="shared" si="75"/>
        <v>0</v>
      </c>
      <c r="D299" s="162"/>
      <c r="E299" s="162"/>
      <c r="F299" s="162"/>
      <c r="G299" s="875">
        <f>G145*$E145</f>
        <v>0</v>
      </c>
      <c r="H299" s="875">
        <f t="shared" ref="H299:M303" si="77">(H145*$E145)</f>
        <v>0</v>
      </c>
      <c r="I299" s="875">
        <f t="shared" si="77"/>
        <v>0</v>
      </c>
      <c r="J299" s="875">
        <f t="shared" si="77"/>
        <v>0</v>
      </c>
      <c r="K299" s="875">
        <f t="shared" si="77"/>
        <v>0</v>
      </c>
      <c r="L299" s="875">
        <f t="shared" si="77"/>
        <v>0</v>
      </c>
      <c r="M299" s="875">
        <f t="shared" si="77"/>
        <v>0</v>
      </c>
      <c r="N299" s="160"/>
      <c r="O299" s="462"/>
    </row>
    <row r="300" spans="1:15" outlineLevel="1">
      <c r="A300" s="648">
        <f>ROW()</f>
        <v>300</v>
      </c>
      <c r="B300" s="267" t="str">
        <f>$B146</f>
        <v>Kindergarten Teacher</v>
      </c>
      <c r="C300" s="162">
        <f t="shared" si="75"/>
        <v>0</v>
      </c>
      <c r="D300" s="162"/>
      <c r="E300" s="162"/>
      <c r="F300" s="162"/>
      <c r="G300" s="875">
        <f>G146*$E146</f>
        <v>0</v>
      </c>
      <c r="H300" s="875">
        <f t="shared" si="77"/>
        <v>0</v>
      </c>
      <c r="I300" s="875">
        <f t="shared" si="77"/>
        <v>0</v>
      </c>
      <c r="J300" s="875">
        <f t="shared" si="77"/>
        <v>0</v>
      </c>
      <c r="K300" s="875">
        <f t="shared" si="77"/>
        <v>0</v>
      </c>
      <c r="L300" s="875">
        <f t="shared" si="77"/>
        <v>0</v>
      </c>
      <c r="M300" s="875">
        <f t="shared" si="77"/>
        <v>0</v>
      </c>
      <c r="N300" s="160"/>
      <c r="O300" s="462"/>
    </row>
    <row r="301" spans="1:15" outlineLevel="1">
      <c r="A301" s="648">
        <f>ROW()</f>
        <v>301</v>
      </c>
      <c r="B301" s="267" t="str">
        <f>$B147</f>
        <v>Kindergarten Teacher</v>
      </c>
      <c r="C301" s="162">
        <f t="shared" si="75"/>
        <v>0</v>
      </c>
      <c r="D301" s="162"/>
      <c r="E301" s="162"/>
      <c r="F301" s="162"/>
      <c r="G301" s="875">
        <f>G147*$E147</f>
        <v>0</v>
      </c>
      <c r="H301" s="875">
        <f t="shared" si="77"/>
        <v>0</v>
      </c>
      <c r="I301" s="875">
        <f t="shared" si="77"/>
        <v>0</v>
      </c>
      <c r="J301" s="875">
        <f t="shared" si="77"/>
        <v>0</v>
      </c>
      <c r="K301" s="875">
        <f t="shared" si="77"/>
        <v>0</v>
      </c>
      <c r="L301" s="875">
        <f t="shared" si="77"/>
        <v>0</v>
      </c>
      <c r="M301" s="875">
        <f t="shared" si="77"/>
        <v>0</v>
      </c>
      <c r="N301" s="160"/>
      <c r="O301" s="462"/>
    </row>
    <row r="302" spans="1:15" outlineLevel="1">
      <c r="A302" s="648">
        <f>ROW()</f>
        <v>302</v>
      </c>
      <c r="B302" s="267" t="str">
        <f>$B148</f>
        <v>Kindergarten Teacher</v>
      </c>
      <c r="C302" s="162">
        <f t="shared" si="75"/>
        <v>0</v>
      </c>
      <c r="D302" s="162"/>
      <c r="E302" s="162"/>
      <c r="F302" s="162"/>
      <c r="G302" s="875">
        <f>G148*$E148</f>
        <v>0</v>
      </c>
      <c r="H302" s="875">
        <f t="shared" si="77"/>
        <v>0</v>
      </c>
      <c r="I302" s="875">
        <f t="shared" si="77"/>
        <v>0</v>
      </c>
      <c r="J302" s="875">
        <f t="shared" si="77"/>
        <v>0</v>
      </c>
      <c r="K302" s="875">
        <f t="shared" si="77"/>
        <v>0</v>
      </c>
      <c r="L302" s="875">
        <f t="shared" si="77"/>
        <v>0</v>
      </c>
      <c r="M302" s="875">
        <f t="shared" si="77"/>
        <v>0</v>
      </c>
      <c r="N302" s="160"/>
      <c r="O302" s="462"/>
    </row>
    <row r="303" spans="1:15" outlineLevel="1">
      <c r="A303" s="648">
        <f>ROW()</f>
        <v>303</v>
      </c>
      <c r="B303" s="267">
        <f>$B149</f>
        <v>0</v>
      </c>
      <c r="C303" s="162">
        <f t="shared" si="75"/>
        <v>0</v>
      </c>
      <c r="D303" s="162"/>
      <c r="E303" s="162"/>
      <c r="F303" s="162"/>
      <c r="G303" s="875">
        <f>G149*$E149</f>
        <v>0</v>
      </c>
      <c r="H303" s="875">
        <f t="shared" si="77"/>
        <v>0</v>
      </c>
      <c r="I303" s="875">
        <f t="shared" si="77"/>
        <v>0</v>
      </c>
      <c r="J303" s="875">
        <f t="shared" si="77"/>
        <v>0</v>
      </c>
      <c r="K303" s="875">
        <f t="shared" si="77"/>
        <v>0</v>
      </c>
      <c r="L303" s="875">
        <f t="shared" si="77"/>
        <v>0</v>
      </c>
      <c r="M303" s="875">
        <f t="shared" si="77"/>
        <v>0</v>
      </c>
      <c r="N303" s="163"/>
      <c r="O303" s="462"/>
    </row>
    <row r="304" spans="1:15" outlineLevel="1">
      <c r="A304" s="648">
        <f>ROW()</f>
        <v>304</v>
      </c>
      <c r="B304" s="267"/>
      <c r="C304" s="162">
        <f t="shared" si="75"/>
        <v>0</v>
      </c>
      <c r="D304" s="162"/>
      <c r="E304" s="162"/>
      <c r="F304" s="162"/>
      <c r="G304" s="875"/>
      <c r="H304" s="875"/>
      <c r="I304" s="875"/>
      <c r="J304" s="875"/>
      <c r="K304" s="875"/>
      <c r="L304" s="875"/>
      <c r="M304" s="875"/>
      <c r="N304" s="163"/>
      <c r="O304" s="462"/>
    </row>
    <row r="305" spans="1:15" outlineLevel="1">
      <c r="A305" s="648">
        <f>ROW()</f>
        <v>305</v>
      </c>
      <c r="B305" s="267" t="str">
        <f>$B151</f>
        <v>1st Grade Teacher</v>
      </c>
      <c r="C305" s="162">
        <f t="shared" si="75"/>
        <v>0</v>
      </c>
      <c r="D305" s="162"/>
      <c r="E305" s="162"/>
      <c r="F305" s="162"/>
      <c r="G305" s="875">
        <f>G151*$E151</f>
        <v>0</v>
      </c>
      <c r="H305" s="875">
        <f t="shared" ref="H305:M309" si="78">(H151*$E151)</f>
        <v>0</v>
      </c>
      <c r="I305" s="875">
        <f t="shared" si="78"/>
        <v>0</v>
      </c>
      <c r="J305" s="875">
        <f t="shared" si="78"/>
        <v>0</v>
      </c>
      <c r="K305" s="875">
        <f t="shared" si="78"/>
        <v>0</v>
      </c>
      <c r="L305" s="875">
        <f t="shared" si="78"/>
        <v>0</v>
      </c>
      <c r="M305" s="875">
        <f t="shared" si="78"/>
        <v>0</v>
      </c>
      <c r="N305" s="160"/>
      <c r="O305" s="462"/>
    </row>
    <row r="306" spans="1:15" outlineLevel="1">
      <c r="A306" s="648">
        <f>ROW()</f>
        <v>306</v>
      </c>
      <c r="B306" s="267" t="str">
        <f>$B152</f>
        <v>1st Grade Teacher</v>
      </c>
      <c r="C306" s="162">
        <f t="shared" si="75"/>
        <v>0</v>
      </c>
      <c r="D306" s="162"/>
      <c r="E306" s="162"/>
      <c r="F306" s="162"/>
      <c r="G306" s="875">
        <f>G152*$E152</f>
        <v>0</v>
      </c>
      <c r="H306" s="875">
        <f t="shared" si="78"/>
        <v>0</v>
      </c>
      <c r="I306" s="875">
        <f t="shared" si="78"/>
        <v>0</v>
      </c>
      <c r="J306" s="875">
        <f t="shared" si="78"/>
        <v>0</v>
      </c>
      <c r="K306" s="875">
        <f t="shared" si="78"/>
        <v>0</v>
      </c>
      <c r="L306" s="875">
        <f t="shared" si="78"/>
        <v>0</v>
      </c>
      <c r="M306" s="875">
        <f t="shared" si="78"/>
        <v>0</v>
      </c>
      <c r="N306" s="160"/>
      <c r="O306" s="462"/>
    </row>
    <row r="307" spans="1:15" outlineLevel="1">
      <c r="A307" s="648">
        <f>ROW()</f>
        <v>307</v>
      </c>
      <c r="B307" s="267" t="str">
        <f>$B153</f>
        <v>1st Grade Teacher</v>
      </c>
      <c r="C307" s="162">
        <f t="shared" si="75"/>
        <v>0</v>
      </c>
      <c r="D307" s="162"/>
      <c r="E307" s="162"/>
      <c r="F307" s="162"/>
      <c r="G307" s="875">
        <f>G153*$E153</f>
        <v>0</v>
      </c>
      <c r="H307" s="875">
        <f t="shared" si="78"/>
        <v>0</v>
      </c>
      <c r="I307" s="875">
        <f t="shared" si="78"/>
        <v>0</v>
      </c>
      <c r="J307" s="875">
        <f t="shared" si="78"/>
        <v>0</v>
      </c>
      <c r="K307" s="875">
        <f t="shared" si="78"/>
        <v>0</v>
      </c>
      <c r="L307" s="875">
        <f t="shared" si="78"/>
        <v>0</v>
      </c>
      <c r="M307" s="875">
        <f t="shared" si="78"/>
        <v>0</v>
      </c>
      <c r="N307" s="160"/>
      <c r="O307" s="462"/>
    </row>
    <row r="308" spans="1:15" outlineLevel="1">
      <c r="A308" s="648">
        <f>ROW()</f>
        <v>308</v>
      </c>
      <c r="B308" s="267" t="str">
        <f>$B154</f>
        <v>1st Grade Teacher</v>
      </c>
      <c r="C308" s="162">
        <f t="shared" si="75"/>
        <v>0</v>
      </c>
      <c r="D308" s="162"/>
      <c r="E308" s="162"/>
      <c r="F308" s="162"/>
      <c r="G308" s="875">
        <f>G154*$E154</f>
        <v>0</v>
      </c>
      <c r="H308" s="875">
        <f t="shared" si="78"/>
        <v>0</v>
      </c>
      <c r="I308" s="875">
        <f t="shared" si="78"/>
        <v>0</v>
      </c>
      <c r="J308" s="875">
        <f t="shared" si="78"/>
        <v>0</v>
      </c>
      <c r="K308" s="875">
        <f t="shared" si="78"/>
        <v>0</v>
      </c>
      <c r="L308" s="875">
        <f t="shared" si="78"/>
        <v>0</v>
      </c>
      <c r="M308" s="875">
        <f t="shared" si="78"/>
        <v>0</v>
      </c>
      <c r="N308" s="160"/>
      <c r="O308" s="462"/>
    </row>
    <row r="309" spans="1:15" outlineLevel="1">
      <c r="A309" s="648">
        <f>ROW()</f>
        <v>309</v>
      </c>
      <c r="B309" s="267">
        <f>$B155</f>
        <v>0</v>
      </c>
      <c r="C309" s="162">
        <f t="shared" si="75"/>
        <v>0</v>
      </c>
      <c r="D309" s="162"/>
      <c r="E309" s="162"/>
      <c r="F309" s="162"/>
      <c r="G309" s="875">
        <f>G155*$E155</f>
        <v>0</v>
      </c>
      <c r="H309" s="875">
        <f t="shared" si="78"/>
        <v>0</v>
      </c>
      <c r="I309" s="875">
        <f t="shared" si="78"/>
        <v>0</v>
      </c>
      <c r="J309" s="875">
        <f t="shared" si="78"/>
        <v>0</v>
      </c>
      <c r="K309" s="875">
        <f t="shared" si="78"/>
        <v>0</v>
      </c>
      <c r="L309" s="875">
        <f t="shared" si="78"/>
        <v>0</v>
      </c>
      <c r="M309" s="875">
        <f t="shared" si="78"/>
        <v>0</v>
      </c>
      <c r="N309" s="160"/>
      <c r="O309" s="462"/>
    </row>
    <row r="310" spans="1:15" outlineLevel="1">
      <c r="A310" s="648">
        <f>ROW()</f>
        <v>310</v>
      </c>
      <c r="B310" s="267"/>
      <c r="C310" s="162">
        <f t="shared" si="75"/>
        <v>0</v>
      </c>
      <c r="D310" s="162"/>
      <c r="E310" s="162"/>
      <c r="F310" s="162"/>
      <c r="G310" s="875"/>
      <c r="H310" s="875"/>
      <c r="I310" s="875"/>
      <c r="J310" s="875"/>
      <c r="K310" s="875"/>
      <c r="L310" s="875"/>
      <c r="M310" s="875"/>
      <c r="N310" s="160"/>
      <c r="O310" s="462"/>
    </row>
    <row r="311" spans="1:15" outlineLevel="1">
      <c r="A311" s="648">
        <f>ROW()</f>
        <v>311</v>
      </c>
      <c r="B311" s="267" t="str">
        <f>$B157</f>
        <v>2nd Grade Teacher</v>
      </c>
      <c r="C311" s="162">
        <f t="shared" si="75"/>
        <v>0</v>
      </c>
      <c r="D311" s="162"/>
      <c r="E311" s="162"/>
      <c r="F311" s="162"/>
      <c r="G311" s="875">
        <f>G157*$E157</f>
        <v>0</v>
      </c>
      <c r="H311" s="875">
        <f t="shared" ref="H311:M315" si="79">(H157*$E157)</f>
        <v>0</v>
      </c>
      <c r="I311" s="875">
        <f t="shared" si="79"/>
        <v>0</v>
      </c>
      <c r="J311" s="875">
        <f t="shared" si="79"/>
        <v>0</v>
      </c>
      <c r="K311" s="875">
        <f t="shared" si="79"/>
        <v>0</v>
      </c>
      <c r="L311" s="875">
        <f t="shared" si="79"/>
        <v>0</v>
      </c>
      <c r="M311" s="875">
        <f t="shared" si="79"/>
        <v>0</v>
      </c>
      <c r="N311" s="160"/>
      <c r="O311" s="462"/>
    </row>
    <row r="312" spans="1:15" outlineLevel="1">
      <c r="A312" s="648">
        <f>ROW()</f>
        <v>312</v>
      </c>
      <c r="B312" s="267" t="str">
        <f>$B158</f>
        <v>2nd Grade Teacher</v>
      </c>
      <c r="C312" s="162">
        <f t="shared" si="75"/>
        <v>0</v>
      </c>
      <c r="D312" s="162"/>
      <c r="E312" s="162"/>
      <c r="F312" s="162"/>
      <c r="G312" s="875">
        <f>G158*$E158</f>
        <v>0</v>
      </c>
      <c r="H312" s="875">
        <f t="shared" si="79"/>
        <v>0</v>
      </c>
      <c r="I312" s="875">
        <f t="shared" si="79"/>
        <v>0</v>
      </c>
      <c r="J312" s="875">
        <f t="shared" si="79"/>
        <v>0</v>
      </c>
      <c r="K312" s="875">
        <f t="shared" si="79"/>
        <v>0</v>
      </c>
      <c r="L312" s="875">
        <f t="shared" si="79"/>
        <v>0</v>
      </c>
      <c r="M312" s="875">
        <f t="shared" si="79"/>
        <v>0</v>
      </c>
      <c r="N312" s="160"/>
      <c r="O312" s="462"/>
    </row>
    <row r="313" spans="1:15" outlineLevel="1">
      <c r="A313" s="648">
        <f>ROW()</f>
        <v>313</v>
      </c>
      <c r="B313" s="267" t="str">
        <f>$B159</f>
        <v>2nd Grade Teacher</v>
      </c>
      <c r="C313" s="162">
        <f t="shared" si="75"/>
        <v>0</v>
      </c>
      <c r="D313" s="162"/>
      <c r="E313" s="162"/>
      <c r="F313" s="162"/>
      <c r="G313" s="875">
        <f>G159*$E159</f>
        <v>0</v>
      </c>
      <c r="H313" s="875">
        <f t="shared" si="79"/>
        <v>0</v>
      </c>
      <c r="I313" s="875">
        <f t="shared" si="79"/>
        <v>0</v>
      </c>
      <c r="J313" s="875">
        <f t="shared" si="79"/>
        <v>0</v>
      </c>
      <c r="K313" s="875">
        <f t="shared" si="79"/>
        <v>0</v>
      </c>
      <c r="L313" s="875">
        <f t="shared" si="79"/>
        <v>0</v>
      </c>
      <c r="M313" s="875">
        <f t="shared" si="79"/>
        <v>0</v>
      </c>
      <c r="N313" s="160"/>
      <c r="O313" s="462"/>
    </row>
    <row r="314" spans="1:15" outlineLevel="1">
      <c r="A314" s="648">
        <f>ROW()</f>
        <v>314</v>
      </c>
      <c r="B314" s="267" t="str">
        <f>$B160</f>
        <v>2nd Grade Teacher</v>
      </c>
      <c r="C314" s="162">
        <f t="shared" si="75"/>
        <v>0</v>
      </c>
      <c r="D314" s="162"/>
      <c r="E314" s="162"/>
      <c r="F314" s="162"/>
      <c r="G314" s="875">
        <f>G160*$E160</f>
        <v>0</v>
      </c>
      <c r="H314" s="875">
        <f t="shared" si="79"/>
        <v>0</v>
      </c>
      <c r="I314" s="875">
        <f t="shared" si="79"/>
        <v>0</v>
      </c>
      <c r="J314" s="875">
        <f t="shared" si="79"/>
        <v>0</v>
      </c>
      <c r="K314" s="875">
        <f t="shared" si="79"/>
        <v>0</v>
      </c>
      <c r="L314" s="875">
        <f t="shared" si="79"/>
        <v>0</v>
      </c>
      <c r="M314" s="875">
        <f t="shared" si="79"/>
        <v>0</v>
      </c>
      <c r="N314" s="160"/>
      <c r="O314" s="462"/>
    </row>
    <row r="315" spans="1:15" outlineLevel="1">
      <c r="A315" s="648">
        <f>ROW()</f>
        <v>315</v>
      </c>
      <c r="B315" s="267">
        <f>$B161</f>
        <v>0</v>
      </c>
      <c r="C315" s="162">
        <f t="shared" si="75"/>
        <v>0</v>
      </c>
      <c r="D315" s="162"/>
      <c r="E315" s="162"/>
      <c r="F315" s="162"/>
      <c r="G315" s="875">
        <f>G161*$E161</f>
        <v>0</v>
      </c>
      <c r="H315" s="875">
        <f t="shared" si="79"/>
        <v>0</v>
      </c>
      <c r="I315" s="875">
        <f t="shared" si="79"/>
        <v>0</v>
      </c>
      <c r="J315" s="875">
        <f t="shared" si="79"/>
        <v>0</v>
      </c>
      <c r="K315" s="875">
        <f t="shared" si="79"/>
        <v>0</v>
      </c>
      <c r="L315" s="875">
        <f t="shared" si="79"/>
        <v>0</v>
      </c>
      <c r="M315" s="875">
        <f t="shared" si="79"/>
        <v>0</v>
      </c>
      <c r="N315" s="163"/>
      <c r="O315" s="462"/>
    </row>
    <row r="316" spans="1:15" outlineLevel="1">
      <c r="A316" s="648">
        <f>ROW()</f>
        <v>316</v>
      </c>
      <c r="B316" s="267"/>
      <c r="C316" s="162">
        <f t="shared" si="75"/>
        <v>0</v>
      </c>
      <c r="D316" s="162"/>
      <c r="E316" s="162"/>
      <c r="F316" s="162"/>
      <c r="G316" s="875"/>
      <c r="H316" s="875"/>
      <c r="I316" s="875"/>
      <c r="J316" s="875"/>
      <c r="K316" s="875"/>
      <c r="L316" s="875"/>
      <c r="M316" s="875"/>
      <c r="N316" s="163"/>
      <c r="O316" s="462"/>
    </row>
    <row r="317" spans="1:15" outlineLevel="1">
      <c r="A317" s="648">
        <f>ROW()</f>
        <v>317</v>
      </c>
      <c r="B317" s="267" t="str">
        <f>$B163</f>
        <v>3rd Grade Teacher</v>
      </c>
      <c r="C317" s="162">
        <f t="shared" si="75"/>
        <v>0</v>
      </c>
      <c r="D317" s="162"/>
      <c r="E317" s="162"/>
      <c r="F317" s="162"/>
      <c r="G317" s="875">
        <f>G163*$E163</f>
        <v>0</v>
      </c>
      <c r="H317" s="875">
        <f t="shared" ref="H317:M321" si="80">(H163*$E163)</f>
        <v>0</v>
      </c>
      <c r="I317" s="875">
        <f t="shared" si="80"/>
        <v>0</v>
      </c>
      <c r="J317" s="875">
        <f t="shared" si="80"/>
        <v>0</v>
      </c>
      <c r="K317" s="875">
        <f t="shared" si="80"/>
        <v>0</v>
      </c>
      <c r="L317" s="875">
        <f t="shared" si="80"/>
        <v>0</v>
      </c>
      <c r="M317" s="875">
        <f t="shared" si="80"/>
        <v>0</v>
      </c>
      <c r="N317" s="160"/>
      <c r="O317" s="462"/>
    </row>
    <row r="318" spans="1:15" outlineLevel="1">
      <c r="A318" s="648">
        <f>ROW()</f>
        <v>318</v>
      </c>
      <c r="B318" s="267" t="str">
        <f>$B164</f>
        <v>3rd Grade Teacher</v>
      </c>
      <c r="C318" s="162">
        <f t="shared" si="75"/>
        <v>0</v>
      </c>
      <c r="D318" s="162"/>
      <c r="E318" s="162"/>
      <c r="F318" s="162"/>
      <c r="G318" s="875">
        <f>G164*$E164</f>
        <v>0</v>
      </c>
      <c r="H318" s="875">
        <f t="shared" si="80"/>
        <v>0</v>
      </c>
      <c r="I318" s="875">
        <f t="shared" si="80"/>
        <v>0</v>
      </c>
      <c r="J318" s="875">
        <f t="shared" si="80"/>
        <v>0</v>
      </c>
      <c r="K318" s="875">
        <f t="shared" si="80"/>
        <v>0</v>
      </c>
      <c r="L318" s="875">
        <f t="shared" si="80"/>
        <v>0</v>
      </c>
      <c r="M318" s="875">
        <f t="shared" si="80"/>
        <v>0</v>
      </c>
      <c r="N318" s="160"/>
      <c r="O318" s="462"/>
    </row>
    <row r="319" spans="1:15" outlineLevel="1">
      <c r="A319" s="648">
        <f>ROW()</f>
        <v>319</v>
      </c>
      <c r="B319" s="267" t="str">
        <f>$B165</f>
        <v>3rd Grade Teacher</v>
      </c>
      <c r="C319" s="162">
        <f t="shared" si="75"/>
        <v>0</v>
      </c>
      <c r="D319" s="162"/>
      <c r="E319" s="162"/>
      <c r="F319" s="162"/>
      <c r="G319" s="875">
        <f>G165*$E165</f>
        <v>0</v>
      </c>
      <c r="H319" s="875">
        <f t="shared" si="80"/>
        <v>0</v>
      </c>
      <c r="I319" s="875">
        <f t="shared" si="80"/>
        <v>0</v>
      </c>
      <c r="J319" s="875">
        <f t="shared" si="80"/>
        <v>0</v>
      </c>
      <c r="K319" s="875">
        <f t="shared" si="80"/>
        <v>0</v>
      </c>
      <c r="L319" s="875">
        <f t="shared" si="80"/>
        <v>0</v>
      </c>
      <c r="M319" s="875">
        <f t="shared" si="80"/>
        <v>0</v>
      </c>
      <c r="N319" s="160"/>
      <c r="O319" s="462"/>
    </row>
    <row r="320" spans="1:15" outlineLevel="1">
      <c r="A320" s="648">
        <f>ROW()</f>
        <v>320</v>
      </c>
      <c r="B320" s="267" t="str">
        <f>$B166</f>
        <v>3rd Grade Teacher</v>
      </c>
      <c r="C320" s="162">
        <f t="shared" si="75"/>
        <v>0</v>
      </c>
      <c r="D320" s="162"/>
      <c r="E320" s="162"/>
      <c r="F320" s="162"/>
      <c r="G320" s="875">
        <f>G166*$E166</f>
        <v>0</v>
      </c>
      <c r="H320" s="875">
        <f t="shared" si="80"/>
        <v>0</v>
      </c>
      <c r="I320" s="875">
        <f t="shared" si="80"/>
        <v>0</v>
      </c>
      <c r="J320" s="875">
        <f t="shared" si="80"/>
        <v>0</v>
      </c>
      <c r="K320" s="875">
        <f t="shared" si="80"/>
        <v>0</v>
      </c>
      <c r="L320" s="875">
        <f t="shared" si="80"/>
        <v>0</v>
      </c>
      <c r="M320" s="875">
        <f t="shared" si="80"/>
        <v>0</v>
      </c>
      <c r="N320" s="160"/>
      <c r="O320" s="462"/>
    </row>
    <row r="321" spans="1:15" outlineLevel="1">
      <c r="A321" s="648">
        <f>ROW()</f>
        <v>321</v>
      </c>
      <c r="B321" s="267">
        <f>$B167</f>
        <v>0</v>
      </c>
      <c r="C321" s="162">
        <f t="shared" si="75"/>
        <v>0</v>
      </c>
      <c r="D321" s="162"/>
      <c r="E321" s="162"/>
      <c r="F321" s="162"/>
      <c r="G321" s="875">
        <f>G167*$E167</f>
        <v>0</v>
      </c>
      <c r="H321" s="875">
        <f t="shared" si="80"/>
        <v>0</v>
      </c>
      <c r="I321" s="875">
        <f t="shared" si="80"/>
        <v>0</v>
      </c>
      <c r="J321" s="875">
        <f t="shared" si="80"/>
        <v>0</v>
      </c>
      <c r="K321" s="875">
        <f t="shared" si="80"/>
        <v>0</v>
      </c>
      <c r="L321" s="875">
        <f t="shared" si="80"/>
        <v>0</v>
      </c>
      <c r="M321" s="875">
        <f t="shared" si="80"/>
        <v>0</v>
      </c>
      <c r="N321" s="160"/>
      <c r="O321" s="462"/>
    </row>
    <row r="322" spans="1:15" outlineLevel="1">
      <c r="A322" s="648">
        <f>ROW()</f>
        <v>322</v>
      </c>
      <c r="B322" s="267"/>
      <c r="C322" s="162">
        <f t="shared" si="75"/>
        <v>0</v>
      </c>
      <c r="D322" s="162"/>
      <c r="E322" s="162"/>
      <c r="F322" s="162"/>
      <c r="G322" s="875"/>
      <c r="H322" s="875"/>
      <c r="I322" s="875"/>
      <c r="J322" s="875"/>
      <c r="K322" s="875"/>
      <c r="L322" s="875"/>
      <c r="M322" s="875"/>
      <c r="N322" s="160"/>
      <c r="O322" s="462"/>
    </row>
    <row r="323" spans="1:15" outlineLevel="1">
      <c r="A323" s="648">
        <f>ROW()</f>
        <v>323</v>
      </c>
      <c r="B323" s="267" t="str">
        <f>$B169</f>
        <v>4th Grade Teacher</v>
      </c>
      <c r="C323" s="162">
        <f t="shared" si="75"/>
        <v>0</v>
      </c>
      <c r="D323" s="162"/>
      <c r="E323" s="162"/>
      <c r="F323" s="162"/>
      <c r="G323" s="875">
        <f>G169*$E169</f>
        <v>0</v>
      </c>
      <c r="H323" s="875">
        <f t="shared" ref="H323:M327" si="81">(H169*$E169)</f>
        <v>0</v>
      </c>
      <c r="I323" s="875">
        <f t="shared" si="81"/>
        <v>0</v>
      </c>
      <c r="J323" s="875">
        <f t="shared" si="81"/>
        <v>0</v>
      </c>
      <c r="K323" s="875">
        <f t="shared" si="81"/>
        <v>0</v>
      </c>
      <c r="L323" s="875">
        <f t="shared" si="81"/>
        <v>0</v>
      </c>
      <c r="M323" s="875">
        <f t="shared" si="81"/>
        <v>0</v>
      </c>
      <c r="N323" s="160"/>
      <c r="O323" s="462"/>
    </row>
    <row r="324" spans="1:15" outlineLevel="1">
      <c r="A324" s="648">
        <f>ROW()</f>
        <v>324</v>
      </c>
      <c r="B324" s="267" t="str">
        <f>$B170</f>
        <v>4th Grade Teacher</v>
      </c>
      <c r="C324" s="162">
        <f t="shared" si="75"/>
        <v>0</v>
      </c>
      <c r="D324" s="162"/>
      <c r="E324" s="162"/>
      <c r="F324" s="162"/>
      <c r="G324" s="875">
        <f>G170*$E170</f>
        <v>0</v>
      </c>
      <c r="H324" s="875">
        <f t="shared" si="81"/>
        <v>0</v>
      </c>
      <c r="I324" s="875">
        <f t="shared" si="81"/>
        <v>0</v>
      </c>
      <c r="J324" s="875">
        <f t="shared" si="81"/>
        <v>0</v>
      </c>
      <c r="K324" s="875">
        <f t="shared" si="81"/>
        <v>0</v>
      </c>
      <c r="L324" s="875">
        <f t="shared" si="81"/>
        <v>0</v>
      </c>
      <c r="M324" s="875">
        <f t="shared" si="81"/>
        <v>0</v>
      </c>
      <c r="N324" s="160"/>
      <c r="O324" s="462"/>
    </row>
    <row r="325" spans="1:15" outlineLevel="1">
      <c r="A325" s="648">
        <f>ROW()</f>
        <v>325</v>
      </c>
      <c r="B325" s="267" t="str">
        <f>$B171</f>
        <v>4th Grade Teacher</v>
      </c>
      <c r="C325" s="162">
        <f t="shared" si="75"/>
        <v>0</v>
      </c>
      <c r="D325" s="162"/>
      <c r="E325" s="162"/>
      <c r="F325" s="162"/>
      <c r="G325" s="875">
        <f>G171*$E171</f>
        <v>0</v>
      </c>
      <c r="H325" s="875">
        <f t="shared" si="81"/>
        <v>0</v>
      </c>
      <c r="I325" s="875">
        <f t="shared" si="81"/>
        <v>0</v>
      </c>
      <c r="J325" s="875">
        <f t="shared" si="81"/>
        <v>0</v>
      </c>
      <c r="K325" s="875">
        <f t="shared" si="81"/>
        <v>0</v>
      </c>
      <c r="L325" s="875">
        <f t="shared" si="81"/>
        <v>0</v>
      </c>
      <c r="M325" s="875">
        <f t="shared" si="81"/>
        <v>0</v>
      </c>
      <c r="N325" s="160"/>
      <c r="O325" s="462"/>
    </row>
    <row r="326" spans="1:15" outlineLevel="1">
      <c r="A326" s="648">
        <f>ROW()</f>
        <v>326</v>
      </c>
      <c r="B326" s="267" t="str">
        <f>$B172</f>
        <v>4th Grade Teacher</v>
      </c>
      <c r="C326" s="162">
        <f t="shared" si="75"/>
        <v>0</v>
      </c>
      <c r="D326" s="162"/>
      <c r="E326" s="162"/>
      <c r="F326" s="162"/>
      <c r="G326" s="875">
        <f>G172*$E172</f>
        <v>0</v>
      </c>
      <c r="H326" s="875">
        <f t="shared" si="81"/>
        <v>0</v>
      </c>
      <c r="I326" s="875">
        <f t="shared" si="81"/>
        <v>0</v>
      </c>
      <c r="J326" s="875">
        <f t="shared" si="81"/>
        <v>0</v>
      </c>
      <c r="K326" s="875">
        <f t="shared" si="81"/>
        <v>0</v>
      </c>
      <c r="L326" s="875">
        <f t="shared" si="81"/>
        <v>0</v>
      </c>
      <c r="M326" s="875">
        <f t="shared" si="81"/>
        <v>0</v>
      </c>
      <c r="N326" s="160"/>
      <c r="O326" s="462"/>
    </row>
    <row r="327" spans="1:15" outlineLevel="1">
      <c r="A327" s="648">
        <f>ROW()</f>
        <v>327</v>
      </c>
      <c r="B327" s="267">
        <f>$B173</f>
        <v>0</v>
      </c>
      <c r="C327" s="162">
        <f t="shared" ref="C327:C358" si="82">SUM(G327:M327)</f>
        <v>0</v>
      </c>
      <c r="D327" s="162"/>
      <c r="E327" s="162"/>
      <c r="F327" s="162"/>
      <c r="G327" s="875">
        <f>G173*$E173</f>
        <v>0</v>
      </c>
      <c r="H327" s="875">
        <f t="shared" si="81"/>
        <v>0</v>
      </c>
      <c r="I327" s="875">
        <f t="shared" si="81"/>
        <v>0</v>
      </c>
      <c r="J327" s="875">
        <f t="shared" si="81"/>
        <v>0</v>
      </c>
      <c r="K327" s="875">
        <f t="shared" si="81"/>
        <v>0</v>
      </c>
      <c r="L327" s="875">
        <f t="shared" si="81"/>
        <v>0</v>
      </c>
      <c r="M327" s="875">
        <f t="shared" si="81"/>
        <v>0</v>
      </c>
      <c r="N327" s="163"/>
      <c r="O327" s="462"/>
    </row>
    <row r="328" spans="1:15" outlineLevel="1">
      <c r="A328" s="648">
        <f>ROW()</f>
        <v>328</v>
      </c>
      <c r="B328" s="267"/>
      <c r="C328" s="162">
        <f t="shared" si="82"/>
        <v>0</v>
      </c>
      <c r="D328" s="162"/>
      <c r="E328" s="162"/>
      <c r="F328" s="162"/>
      <c r="G328" s="875"/>
      <c r="H328" s="875"/>
      <c r="I328" s="875"/>
      <c r="J328" s="875"/>
      <c r="K328" s="875"/>
      <c r="L328" s="875"/>
      <c r="M328" s="875"/>
      <c r="N328" s="163"/>
      <c r="O328" s="462"/>
    </row>
    <row r="329" spans="1:15" outlineLevel="1">
      <c r="A329" s="648">
        <f>ROW()</f>
        <v>329</v>
      </c>
      <c r="B329" s="267" t="str">
        <f>$B175</f>
        <v>5th Grade Teacher</v>
      </c>
      <c r="C329" s="162">
        <f t="shared" si="82"/>
        <v>0</v>
      </c>
      <c r="D329" s="162"/>
      <c r="E329" s="162"/>
      <c r="F329" s="162"/>
      <c r="G329" s="875">
        <f>G175*$E175</f>
        <v>0</v>
      </c>
      <c r="H329" s="875">
        <f t="shared" ref="H329:M333" si="83">(H175*$E175)</f>
        <v>0</v>
      </c>
      <c r="I329" s="875">
        <f t="shared" si="83"/>
        <v>0</v>
      </c>
      <c r="J329" s="875">
        <f t="shared" si="83"/>
        <v>0</v>
      </c>
      <c r="K329" s="875">
        <f t="shared" si="83"/>
        <v>0</v>
      </c>
      <c r="L329" s="875">
        <f t="shared" si="83"/>
        <v>0</v>
      </c>
      <c r="M329" s="875">
        <f t="shared" si="83"/>
        <v>0</v>
      </c>
      <c r="N329" s="160"/>
      <c r="O329" s="462"/>
    </row>
    <row r="330" spans="1:15" outlineLevel="1">
      <c r="A330" s="648">
        <f>ROW()</f>
        <v>330</v>
      </c>
      <c r="B330" s="267" t="str">
        <f>$B176</f>
        <v>5th Grade Teacher</v>
      </c>
      <c r="C330" s="162">
        <f t="shared" si="82"/>
        <v>0</v>
      </c>
      <c r="D330" s="162"/>
      <c r="E330" s="162"/>
      <c r="F330" s="162"/>
      <c r="G330" s="875">
        <f>G176*$E176</f>
        <v>0</v>
      </c>
      <c r="H330" s="875">
        <f t="shared" si="83"/>
        <v>0</v>
      </c>
      <c r="I330" s="875">
        <f t="shared" si="83"/>
        <v>0</v>
      </c>
      <c r="J330" s="875">
        <f t="shared" si="83"/>
        <v>0</v>
      </c>
      <c r="K330" s="875">
        <f t="shared" si="83"/>
        <v>0</v>
      </c>
      <c r="L330" s="875">
        <f t="shared" si="83"/>
        <v>0</v>
      </c>
      <c r="M330" s="875">
        <f t="shared" si="83"/>
        <v>0</v>
      </c>
      <c r="N330" s="160"/>
      <c r="O330" s="462"/>
    </row>
    <row r="331" spans="1:15" outlineLevel="1">
      <c r="A331" s="648">
        <f>ROW()</f>
        <v>331</v>
      </c>
      <c r="B331" s="267" t="str">
        <f>$B177</f>
        <v>5th Grade Teacher</v>
      </c>
      <c r="C331" s="162">
        <f t="shared" si="82"/>
        <v>0</v>
      </c>
      <c r="D331" s="162"/>
      <c r="E331" s="162"/>
      <c r="F331" s="162"/>
      <c r="G331" s="875">
        <f>G177*$E177</f>
        <v>0</v>
      </c>
      <c r="H331" s="875">
        <f t="shared" si="83"/>
        <v>0</v>
      </c>
      <c r="I331" s="875">
        <f t="shared" si="83"/>
        <v>0</v>
      </c>
      <c r="J331" s="875">
        <f t="shared" si="83"/>
        <v>0</v>
      </c>
      <c r="K331" s="875">
        <f t="shared" si="83"/>
        <v>0</v>
      </c>
      <c r="L331" s="875">
        <f t="shared" si="83"/>
        <v>0</v>
      </c>
      <c r="M331" s="875">
        <f t="shared" si="83"/>
        <v>0</v>
      </c>
      <c r="N331" s="160"/>
      <c r="O331" s="462"/>
    </row>
    <row r="332" spans="1:15" outlineLevel="1">
      <c r="A332" s="648">
        <f>ROW()</f>
        <v>332</v>
      </c>
      <c r="B332" s="267" t="str">
        <f>$B178</f>
        <v>5th Grade Teacher</v>
      </c>
      <c r="C332" s="162">
        <f t="shared" si="82"/>
        <v>0</v>
      </c>
      <c r="D332" s="162"/>
      <c r="E332" s="162"/>
      <c r="F332" s="162"/>
      <c r="G332" s="875">
        <f>G178*$E178</f>
        <v>0</v>
      </c>
      <c r="H332" s="875">
        <f t="shared" si="83"/>
        <v>0</v>
      </c>
      <c r="I332" s="875">
        <f t="shared" si="83"/>
        <v>0</v>
      </c>
      <c r="J332" s="875">
        <f t="shared" si="83"/>
        <v>0</v>
      </c>
      <c r="K332" s="875">
        <f t="shared" si="83"/>
        <v>0</v>
      </c>
      <c r="L332" s="875">
        <f t="shared" si="83"/>
        <v>0</v>
      </c>
      <c r="M332" s="875">
        <f t="shared" si="83"/>
        <v>0</v>
      </c>
      <c r="N332" s="160"/>
      <c r="O332" s="462"/>
    </row>
    <row r="333" spans="1:15" outlineLevel="1">
      <c r="A333" s="648">
        <f>ROW()</f>
        <v>333</v>
      </c>
      <c r="B333" s="267">
        <f>$B179</f>
        <v>0</v>
      </c>
      <c r="C333" s="162">
        <f t="shared" si="82"/>
        <v>0</v>
      </c>
      <c r="D333" s="162"/>
      <c r="E333" s="162"/>
      <c r="F333" s="162"/>
      <c r="G333" s="875">
        <f>G179*$E179</f>
        <v>0</v>
      </c>
      <c r="H333" s="875">
        <f t="shared" si="83"/>
        <v>0</v>
      </c>
      <c r="I333" s="875">
        <f t="shared" si="83"/>
        <v>0</v>
      </c>
      <c r="J333" s="875">
        <f t="shared" si="83"/>
        <v>0</v>
      </c>
      <c r="K333" s="875">
        <f t="shared" si="83"/>
        <v>0</v>
      </c>
      <c r="L333" s="875">
        <f t="shared" si="83"/>
        <v>0</v>
      </c>
      <c r="M333" s="875">
        <f t="shared" si="83"/>
        <v>0</v>
      </c>
      <c r="N333" s="160"/>
      <c r="O333" s="462"/>
    </row>
    <row r="334" spans="1:15" outlineLevel="1">
      <c r="A334" s="648">
        <f>ROW()</f>
        <v>334</v>
      </c>
      <c r="B334" s="267"/>
      <c r="C334" s="162">
        <f t="shared" si="82"/>
        <v>0</v>
      </c>
      <c r="D334" s="162"/>
      <c r="E334" s="162"/>
      <c r="F334" s="162"/>
      <c r="G334" s="875"/>
      <c r="H334" s="875"/>
      <c r="I334" s="875"/>
      <c r="J334" s="875"/>
      <c r="K334" s="875"/>
      <c r="L334" s="875"/>
      <c r="M334" s="875"/>
      <c r="N334" s="160"/>
      <c r="O334" s="462"/>
    </row>
    <row r="335" spans="1:15" outlineLevel="1">
      <c r="A335" s="648">
        <f>ROW()</f>
        <v>335</v>
      </c>
      <c r="B335" s="267" t="str">
        <f>$B181</f>
        <v>6th Grade Teacher</v>
      </c>
      <c r="C335" s="162">
        <f t="shared" si="82"/>
        <v>0</v>
      </c>
      <c r="D335" s="162"/>
      <c r="E335" s="162"/>
      <c r="F335" s="162"/>
      <c r="G335" s="875">
        <f>G181*$E181</f>
        <v>0</v>
      </c>
      <c r="H335" s="875">
        <f t="shared" ref="H335:M339" si="84">(H181*$E181)</f>
        <v>0</v>
      </c>
      <c r="I335" s="875">
        <f t="shared" si="84"/>
        <v>0</v>
      </c>
      <c r="J335" s="875">
        <f t="shared" si="84"/>
        <v>0</v>
      </c>
      <c r="K335" s="875">
        <f t="shared" si="84"/>
        <v>0</v>
      </c>
      <c r="L335" s="875">
        <f t="shared" si="84"/>
        <v>0</v>
      </c>
      <c r="M335" s="875">
        <f t="shared" si="84"/>
        <v>0</v>
      </c>
      <c r="N335" s="160"/>
      <c r="O335" s="462"/>
    </row>
    <row r="336" spans="1:15" outlineLevel="1">
      <c r="A336" s="648">
        <f>ROW()</f>
        <v>336</v>
      </c>
      <c r="B336" s="267" t="str">
        <f>$B182</f>
        <v>6th Grade Teacher</v>
      </c>
      <c r="C336" s="162">
        <f t="shared" si="82"/>
        <v>0</v>
      </c>
      <c r="D336" s="162"/>
      <c r="E336" s="162"/>
      <c r="F336" s="162"/>
      <c r="G336" s="875">
        <f>G182*$E182</f>
        <v>0</v>
      </c>
      <c r="H336" s="875">
        <f t="shared" si="84"/>
        <v>0</v>
      </c>
      <c r="I336" s="875">
        <f t="shared" si="84"/>
        <v>0</v>
      </c>
      <c r="J336" s="875">
        <f t="shared" si="84"/>
        <v>0</v>
      </c>
      <c r="K336" s="875">
        <f t="shared" si="84"/>
        <v>0</v>
      </c>
      <c r="L336" s="875">
        <f t="shared" si="84"/>
        <v>0</v>
      </c>
      <c r="M336" s="875">
        <f t="shared" si="84"/>
        <v>0</v>
      </c>
      <c r="N336" s="160"/>
      <c r="O336" s="462"/>
    </row>
    <row r="337" spans="1:15" outlineLevel="1">
      <c r="A337" s="648">
        <f>ROW()</f>
        <v>337</v>
      </c>
      <c r="B337" s="267" t="str">
        <f>$B183</f>
        <v>6th Grade Teacher</v>
      </c>
      <c r="C337" s="162">
        <f t="shared" si="82"/>
        <v>0</v>
      </c>
      <c r="D337" s="162"/>
      <c r="E337" s="162"/>
      <c r="F337" s="162"/>
      <c r="G337" s="875">
        <f>G183*$E183</f>
        <v>0</v>
      </c>
      <c r="H337" s="875">
        <f t="shared" si="84"/>
        <v>0</v>
      </c>
      <c r="I337" s="875">
        <f t="shared" si="84"/>
        <v>0</v>
      </c>
      <c r="J337" s="875">
        <f t="shared" si="84"/>
        <v>0</v>
      </c>
      <c r="K337" s="875">
        <f t="shared" si="84"/>
        <v>0</v>
      </c>
      <c r="L337" s="875">
        <f t="shared" si="84"/>
        <v>0</v>
      </c>
      <c r="M337" s="875">
        <f t="shared" si="84"/>
        <v>0</v>
      </c>
      <c r="N337" s="160"/>
      <c r="O337" s="462"/>
    </row>
    <row r="338" spans="1:15" outlineLevel="1">
      <c r="A338" s="648">
        <f>ROW()</f>
        <v>338</v>
      </c>
      <c r="B338" s="267" t="str">
        <f>$B184</f>
        <v>6th Grade Teacher</v>
      </c>
      <c r="C338" s="162">
        <f t="shared" si="82"/>
        <v>0</v>
      </c>
      <c r="D338" s="162"/>
      <c r="E338" s="162"/>
      <c r="F338" s="162"/>
      <c r="G338" s="875">
        <f>G184*$E184</f>
        <v>0</v>
      </c>
      <c r="H338" s="875">
        <f t="shared" si="84"/>
        <v>0</v>
      </c>
      <c r="I338" s="875">
        <f t="shared" si="84"/>
        <v>0</v>
      </c>
      <c r="J338" s="875">
        <f t="shared" si="84"/>
        <v>0</v>
      </c>
      <c r="K338" s="875">
        <f t="shared" si="84"/>
        <v>0</v>
      </c>
      <c r="L338" s="875">
        <f t="shared" si="84"/>
        <v>0</v>
      </c>
      <c r="M338" s="875">
        <f t="shared" si="84"/>
        <v>0</v>
      </c>
      <c r="N338" s="160"/>
      <c r="O338" s="462"/>
    </row>
    <row r="339" spans="1:15" outlineLevel="1">
      <c r="A339" s="648">
        <f>ROW()</f>
        <v>339</v>
      </c>
      <c r="B339" s="267">
        <f>$B185</f>
        <v>0</v>
      </c>
      <c r="C339" s="162">
        <f t="shared" si="82"/>
        <v>0</v>
      </c>
      <c r="D339" s="162"/>
      <c r="E339" s="162"/>
      <c r="F339" s="162"/>
      <c r="G339" s="875">
        <f>G185*$E185</f>
        <v>0</v>
      </c>
      <c r="H339" s="875">
        <f t="shared" si="84"/>
        <v>0</v>
      </c>
      <c r="I339" s="875">
        <f t="shared" si="84"/>
        <v>0</v>
      </c>
      <c r="J339" s="875">
        <f t="shared" si="84"/>
        <v>0</v>
      </c>
      <c r="K339" s="875">
        <f t="shared" si="84"/>
        <v>0</v>
      </c>
      <c r="L339" s="875">
        <f t="shared" si="84"/>
        <v>0</v>
      </c>
      <c r="M339" s="875">
        <f t="shared" si="84"/>
        <v>0</v>
      </c>
      <c r="N339" s="163"/>
      <c r="O339" s="462"/>
    </row>
    <row r="340" spans="1:15" outlineLevel="1">
      <c r="A340" s="648">
        <f>ROW()</f>
        <v>340</v>
      </c>
      <c r="B340" s="267"/>
      <c r="C340" s="162">
        <f t="shared" si="82"/>
        <v>0</v>
      </c>
      <c r="D340" s="162"/>
      <c r="E340" s="162"/>
      <c r="F340" s="162"/>
      <c r="G340" s="875"/>
      <c r="H340" s="875"/>
      <c r="I340" s="875"/>
      <c r="J340" s="875"/>
      <c r="K340" s="875"/>
      <c r="L340" s="875"/>
      <c r="M340" s="875"/>
      <c r="N340" s="163"/>
      <c r="O340" s="462"/>
    </row>
    <row r="341" spans="1:15" outlineLevel="1">
      <c r="A341" s="648">
        <f>ROW()</f>
        <v>341</v>
      </c>
      <c r="B341" s="267" t="str">
        <f t="shared" ref="B341:B346" si="85">$B187</f>
        <v>7th Grade Teacher</v>
      </c>
      <c r="C341" s="162">
        <f t="shared" si="82"/>
        <v>0</v>
      </c>
      <c r="D341" s="162"/>
      <c r="E341" s="162"/>
      <c r="F341" s="162"/>
      <c r="G341" s="875">
        <f t="shared" ref="G341:G346" si="86">G187*$E187</f>
        <v>0</v>
      </c>
      <c r="H341" s="875">
        <f t="shared" ref="H341:M346" si="87">(H187*$E187)</f>
        <v>0</v>
      </c>
      <c r="I341" s="875">
        <f t="shared" si="87"/>
        <v>0</v>
      </c>
      <c r="J341" s="875">
        <f t="shared" si="87"/>
        <v>0</v>
      </c>
      <c r="K341" s="875">
        <f t="shared" si="87"/>
        <v>0</v>
      </c>
      <c r="L341" s="875">
        <f t="shared" si="87"/>
        <v>0</v>
      </c>
      <c r="M341" s="875">
        <f t="shared" si="87"/>
        <v>0</v>
      </c>
      <c r="N341" s="160"/>
      <c r="O341" s="462"/>
    </row>
    <row r="342" spans="1:15" outlineLevel="1">
      <c r="A342" s="648">
        <f>ROW()</f>
        <v>342</v>
      </c>
      <c r="B342" s="267" t="str">
        <f t="shared" si="85"/>
        <v>7th Grade Teacher</v>
      </c>
      <c r="C342" s="162">
        <f t="shared" si="82"/>
        <v>0</v>
      </c>
      <c r="D342" s="162"/>
      <c r="E342" s="162"/>
      <c r="F342" s="162"/>
      <c r="G342" s="875">
        <f t="shared" si="86"/>
        <v>0</v>
      </c>
      <c r="H342" s="875">
        <f t="shared" si="87"/>
        <v>0</v>
      </c>
      <c r="I342" s="875">
        <f t="shared" si="87"/>
        <v>0</v>
      </c>
      <c r="J342" s="875">
        <f t="shared" si="87"/>
        <v>0</v>
      </c>
      <c r="K342" s="875">
        <f t="shared" si="87"/>
        <v>0</v>
      </c>
      <c r="L342" s="875">
        <f t="shared" si="87"/>
        <v>0</v>
      </c>
      <c r="M342" s="875">
        <f t="shared" si="87"/>
        <v>0</v>
      </c>
      <c r="N342" s="160"/>
      <c r="O342" s="462"/>
    </row>
    <row r="343" spans="1:15" outlineLevel="1">
      <c r="A343" s="648">
        <f>ROW()</f>
        <v>343</v>
      </c>
      <c r="B343" s="267" t="str">
        <f t="shared" si="85"/>
        <v>7th Grade Teacher</v>
      </c>
      <c r="C343" s="162">
        <f t="shared" si="82"/>
        <v>0</v>
      </c>
      <c r="D343" s="162"/>
      <c r="E343" s="162"/>
      <c r="F343" s="162"/>
      <c r="G343" s="875">
        <f t="shared" si="86"/>
        <v>0</v>
      </c>
      <c r="H343" s="875">
        <f t="shared" si="87"/>
        <v>0</v>
      </c>
      <c r="I343" s="875">
        <f t="shared" si="87"/>
        <v>0</v>
      </c>
      <c r="J343" s="875">
        <f t="shared" si="87"/>
        <v>0</v>
      </c>
      <c r="K343" s="875">
        <f t="shared" si="87"/>
        <v>0</v>
      </c>
      <c r="L343" s="875">
        <f t="shared" si="87"/>
        <v>0</v>
      </c>
      <c r="M343" s="875">
        <f t="shared" si="87"/>
        <v>0</v>
      </c>
      <c r="N343" s="160"/>
      <c r="O343" s="462"/>
    </row>
    <row r="344" spans="1:15" outlineLevel="1">
      <c r="A344" s="648">
        <f>ROW()</f>
        <v>344</v>
      </c>
      <c r="B344" s="267" t="str">
        <f t="shared" si="85"/>
        <v>7th Grade Teacher</v>
      </c>
      <c r="C344" s="162">
        <f t="shared" si="82"/>
        <v>0</v>
      </c>
      <c r="D344" s="162"/>
      <c r="E344" s="162"/>
      <c r="F344" s="162"/>
      <c r="G344" s="875">
        <f t="shared" si="86"/>
        <v>0</v>
      </c>
      <c r="H344" s="875">
        <f t="shared" si="87"/>
        <v>0</v>
      </c>
      <c r="I344" s="875">
        <f t="shared" si="87"/>
        <v>0</v>
      </c>
      <c r="J344" s="875">
        <f t="shared" si="87"/>
        <v>0</v>
      </c>
      <c r="K344" s="875">
        <f t="shared" si="87"/>
        <v>0</v>
      </c>
      <c r="L344" s="875">
        <f t="shared" si="87"/>
        <v>0</v>
      </c>
      <c r="M344" s="875">
        <f t="shared" si="87"/>
        <v>0</v>
      </c>
      <c r="N344" s="160"/>
      <c r="O344" s="462"/>
    </row>
    <row r="345" spans="1:15" outlineLevel="1">
      <c r="A345" s="648">
        <f>ROW()</f>
        <v>345</v>
      </c>
      <c r="B345" s="267">
        <f t="shared" si="85"/>
        <v>0</v>
      </c>
      <c r="C345" s="162">
        <f t="shared" si="82"/>
        <v>0</v>
      </c>
      <c r="D345" s="162"/>
      <c r="E345" s="162"/>
      <c r="F345" s="162"/>
      <c r="G345" s="875">
        <f t="shared" si="86"/>
        <v>0</v>
      </c>
      <c r="H345" s="875">
        <f t="shared" si="87"/>
        <v>0</v>
      </c>
      <c r="I345" s="875">
        <f t="shared" si="87"/>
        <v>0</v>
      </c>
      <c r="J345" s="875">
        <f t="shared" si="87"/>
        <v>0</v>
      </c>
      <c r="K345" s="875">
        <f t="shared" si="87"/>
        <v>0</v>
      </c>
      <c r="L345" s="875">
        <f t="shared" si="87"/>
        <v>0</v>
      </c>
      <c r="M345" s="875">
        <f t="shared" si="87"/>
        <v>0</v>
      </c>
      <c r="N345" s="160"/>
      <c r="O345" s="462"/>
    </row>
    <row r="346" spans="1:15" outlineLevel="1">
      <c r="A346" s="648">
        <f>ROW()</f>
        <v>346</v>
      </c>
      <c r="B346" s="267">
        <f t="shared" si="85"/>
        <v>0</v>
      </c>
      <c r="C346" s="162">
        <f t="shared" si="82"/>
        <v>0</v>
      </c>
      <c r="D346" s="162"/>
      <c r="E346" s="162"/>
      <c r="F346" s="162"/>
      <c r="G346" s="875">
        <f t="shared" si="86"/>
        <v>0</v>
      </c>
      <c r="H346" s="875">
        <f t="shared" si="87"/>
        <v>0</v>
      </c>
      <c r="I346" s="875">
        <f t="shared" si="87"/>
        <v>0</v>
      </c>
      <c r="J346" s="875">
        <f t="shared" si="87"/>
        <v>0</v>
      </c>
      <c r="K346" s="875">
        <f t="shared" si="87"/>
        <v>0</v>
      </c>
      <c r="L346" s="875">
        <f t="shared" si="87"/>
        <v>0</v>
      </c>
      <c r="M346" s="875">
        <f t="shared" si="87"/>
        <v>0</v>
      </c>
      <c r="N346" s="160"/>
      <c r="O346" s="462"/>
    </row>
    <row r="347" spans="1:15" outlineLevel="1">
      <c r="A347" s="648">
        <f>ROW()</f>
        <v>347</v>
      </c>
      <c r="B347" s="267"/>
      <c r="C347" s="162">
        <f t="shared" si="82"/>
        <v>0</v>
      </c>
      <c r="D347" s="162"/>
      <c r="E347" s="162"/>
      <c r="F347" s="162"/>
      <c r="G347" s="875"/>
      <c r="H347" s="875"/>
      <c r="I347" s="875"/>
      <c r="J347" s="875"/>
      <c r="K347" s="875"/>
      <c r="L347" s="875"/>
      <c r="M347" s="875"/>
      <c r="N347" s="163"/>
      <c r="O347" s="462"/>
    </row>
    <row r="348" spans="1:15" outlineLevel="1">
      <c r="A348" s="648">
        <f>ROW()</f>
        <v>348</v>
      </c>
      <c r="B348" s="267" t="str">
        <f>$B194</f>
        <v>8th Grade Teacher</v>
      </c>
      <c r="C348" s="162">
        <f t="shared" si="82"/>
        <v>0</v>
      </c>
      <c r="D348" s="162"/>
      <c r="E348" s="162"/>
      <c r="F348" s="162"/>
      <c r="G348" s="875">
        <f>G194*$E194</f>
        <v>0</v>
      </c>
      <c r="H348" s="875">
        <f t="shared" ref="H348:M352" si="88">(H194*$E194)</f>
        <v>0</v>
      </c>
      <c r="I348" s="875">
        <f t="shared" si="88"/>
        <v>0</v>
      </c>
      <c r="J348" s="875">
        <f t="shared" si="88"/>
        <v>0</v>
      </c>
      <c r="K348" s="875">
        <f t="shared" si="88"/>
        <v>0</v>
      </c>
      <c r="L348" s="875">
        <f t="shared" si="88"/>
        <v>0</v>
      </c>
      <c r="M348" s="875">
        <f t="shared" si="88"/>
        <v>0</v>
      </c>
      <c r="N348" s="160"/>
      <c r="O348" s="462"/>
    </row>
    <row r="349" spans="1:15" outlineLevel="1">
      <c r="A349" s="648">
        <f>ROW()</f>
        <v>349</v>
      </c>
      <c r="B349" s="267" t="str">
        <f>$B$195</f>
        <v>8th Grade Teacher</v>
      </c>
      <c r="C349" s="162">
        <f t="shared" si="82"/>
        <v>0</v>
      </c>
      <c r="D349" s="162"/>
      <c r="E349" s="162"/>
      <c r="F349" s="162"/>
      <c r="G349" s="875">
        <f>G195*$E195</f>
        <v>0</v>
      </c>
      <c r="H349" s="875">
        <f t="shared" si="88"/>
        <v>0</v>
      </c>
      <c r="I349" s="875">
        <f t="shared" si="88"/>
        <v>0</v>
      </c>
      <c r="J349" s="875">
        <f t="shared" si="88"/>
        <v>0</v>
      </c>
      <c r="K349" s="875">
        <f t="shared" si="88"/>
        <v>0</v>
      </c>
      <c r="L349" s="875">
        <f t="shared" si="88"/>
        <v>0</v>
      </c>
      <c r="M349" s="875">
        <f t="shared" si="88"/>
        <v>0</v>
      </c>
      <c r="N349" s="160"/>
      <c r="O349" s="462"/>
    </row>
    <row r="350" spans="1:15" outlineLevel="1">
      <c r="A350" s="648">
        <f>ROW()</f>
        <v>350</v>
      </c>
      <c r="B350" s="267" t="str">
        <f>$B$196</f>
        <v>8th Grade Teacher</v>
      </c>
      <c r="C350" s="162">
        <f t="shared" si="82"/>
        <v>0</v>
      </c>
      <c r="D350" s="162"/>
      <c r="E350" s="162"/>
      <c r="F350" s="162"/>
      <c r="G350" s="875">
        <f>G196*$E196</f>
        <v>0</v>
      </c>
      <c r="H350" s="875">
        <f t="shared" si="88"/>
        <v>0</v>
      </c>
      <c r="I350" s="875">
        <f t="shared" si="88"/>
        <v>0</v>
      </c>
      <c r="J350" s="875">
        <f t="shared" si="88"/>
        <v>0</v>
      </c>
      <c r="K350" s="875">
        <f t="shared" si="88"/>
        <v>0</v>
      </c>
      <c r="L350" s="875">
        <f t="shared" si="88"/>
        <v>0</v>
      </c>
      <c r="M350" s="875">
        <f t="shared" si="88"/>
        <v>0</v>
      </c>
      <c r="N350" s="160"/>
      <c r="O350" s="462"/>
    </row>
    <row r="351" spans="1:15" outlineLevel="1">
      <c r="A351" s="648">
        <f>ROW()</f>
        <v>351</v>
      </c>
      <c r="B351" s="267" t="str">
        <f>$B$197</f>
        <v>8th Grade Teacher</v>
      </c>
      <c r="C351" s="162">
        <f t="shared" si="82"/>
        <v>0</v>
      </c>
      <c r="D351" s="162"/>
      <c r="E351" s="162"/>
      <c r="F351" s="162"/>
      <c r="G351" s="875">
        <f>G197*$E197</f>
        <v>0</v>
      </c>
      <c r="H351" s="875">
        <f t="shared" si="88"/>
        <v>0</v>
      </c>
      <c r="I351" s="875">
        <f t="shared" si="88"/>
        <v>0</v>
      </c>
      <c r="J351" s="875">
        <f t="shared" si="88"/>
        <v>0</v>
      </c>
      <c r="K351" s="875">
        <f t="shared" si="88"/>
        <v>0</v>
      </c>
      <c r="L351" s="875">
        <f t="shared" si="88"/>
        <v>0</v>
      </c>
      <c r="M351" s="875">
        <f t="shared" si="88"/>
        <v>0</v>
      </c>
      <c r="N351" s="160"/>
      <c r="O351" s="462"/>
    </row>
    <row r="352" spans="1:15" outlineLevel="1">
      <c r="A352" s="648">
        <f>ROW()</f>
        <v>352</v>
      </c>
      <c r="B352" s="267">
        <f>$B$198</f>
        <v>0</v>
      </c>
      <c r="C352" s="162">
        <f t="shared" si="82"/>
        <v>0</v>
      </c>
      <c r="D352" s="162"/>
      <c r="E352" s="162"/>
      <c r="F352" s="162"/>
      <c r="G352" s="875">
        <f>G198*$E198</f>
        <v>0</v>
      </c>
      <c r="H352" s="875">
        <f t="shared" si="88"/>
        <v>0</v>
      </c>
      <c r="I352" s="875">
        <f t="shared" si="88"/>
        <v>0</v>
      </c>
      <c r="J352" s="875">
        <f t="shared" si="88"/>
        <v>0</v>
      </c>
      <c r="K352" s="875">
        <f t="shared" si="88"/>
        <v>0</v>
      </c>
      <c r="L352" s="875">
        <f t="shared" si="88"/>
        <v>0</v>
      </c>
      <c r="M352" s="875">
        <f t="shared" si="88"/>
        <v>0</v>
      </c>
      <c r="N352" s="160"/>
      <c r="O352" s="462"/>
    </row>
    <row r="353" spans="1:15" outlineLevel="1">
      <c r="A353" s="648">
        <f>ROW()</f>
        <v>353</v>
      </c>
      <c r="B353" s="267"/>
      <c r="C353" s="162">
        <f t="shared" si="82"/>
        <v>0</v>
      </c>
      <c r="D353" s="162"/>
      <c r="E353" s="162"/>
      <c r="F353" s="162"/>
      <c r="G353" s="875"/>
      <c r="H353" s="875"/>
      <c r="I353" s="875"/>
      <c r="J353" s="875"/>
      <c r="K353" s="875"/>
      <c r="L353" s="875"/>
      <c r="M353" s="875"/>
      <c r="N353" s="160"/>
      <c r="O353" s="462"/>
    </row>
    <row r="354" spans="1:15" outlineLevel="1">
      <c r="A354" s="648">
        <f>ROW()</f>
        <v>354</v>
      </c>
      <c r="B354" s="267" t="str">
        <f>$B$200</f>
        <v>Classroom Teacher - Core</v>
      </c>
      <c r="C354" s="162">
        <f t="shared" si="82"/>
        <v>1350000</v>
      </c>
      <c r="D354" s="162"/>
      <c r="E354" s="162"/>
      <c r="F354" s="162"/>
      <c r="G354" s="875">
        <f>G200*$E200</f>
        <v>0</v>
      </c>
      <c r="H354" s="875">
        <f t="shared" ref="H354:M358" si="89">(H200*$E200)</f>
        <v>225000</v>
      </c>
      <c r="I354" s="875">
        <f t="shared" si="89"/>
        <v>225000</v>
      </c>
      <c r="J354" s="875">
        <f t="shared" si="89"/>
        <v>225000</v>
      </c>
      <c r="K354" s="875">
        <f t="shared" si="89"/>
        <v>225000</v>
      </c>
      <c r="L354" s="875">
        <f t="shared" si="89"/>
        <v>225000</v>
      </c>
      <c r="M354" s="875">
        <f t="shared" si="89"/>
        <v>225000</v>
      </c>
      <c r="N354" s="160"/>
      <c r="O354" s="462"/>
    </row>
    <row r="355" spans="1:15" outlineLevel="1">
      <c r="A355" s="648">
        <f>ROW()</f>
        <v>355</v>
      </c>
      <c r="B355" s="267" t="str">
        <f>$B$201</f>
        <v>Classroom Teacher - Core</v>
      </c>
      <c r="C355" s="162">
        <f t="shared" si="82"/>
        <v>900000</v>
      </c>
      <c r="D355" s="162"/>
      <c r="E355" s="162"/>
      <c r="F355" s="162"/>
      <c r="G355" s="875">
        <f>G201*$E201</f>
        <v>0</v>
      </c>
      <c r="H355" s="875">
        <f t="shared" si="89"/>
        <v>0</v>
      </c>
      <c r="I355" s="875">
        <f t="shared" si="89"/>
        <v>180000</v>
      </c>
      <c r="J355" s="875">
        <f t="shared" si="89"/>
        <v>180000</v>
      </c>
      <c r="K355" s="875">
        <f t="shared" si="89"/>
        <v>180000</v>
      </c>
      <c r="L355" s="875">
        <f t="shared" si="89"/>
        <v>180000</v>
      </c>
      <c r="M355" s="875">
        <f t="shared" si="89"/>
        <v>180000</v>
      </c>
      <c r="N355" s="160"/>
      <c r="O355" s="462"/>
    </row>
    <row r="356" spans="1:15" outlineLevel="1">
      <c r="A356" s="648">
        <f>ROW()</f>
        <v>356</v>
      </c>
      <c r="B356" s="267" t="str">
        <f>$B$202</f>
        <v>Classroom Teacher - Core</v>
      </c>
      <c r="C356" s="162">
        <f t="shared" si="82"/>
        <v>720000</v>
      </c>
      <c r="D356" s="162"/>
      <c r="E356" s="162"/>
      <c r="F356" s="162"/>
      <c r="G356" s="875">
        <f>G202*$E202</f>
        <v>0</v>
      </c>
      <c r="H356" s="875">
        <f t="shared" si="89"/>
        <v>0</v>
      </c>
      <c r="I356" s="875">
        <f t="shared" si="89"/>
        <v>0</v>
      </c>
      <c r="J356" s="875">
        <f t="shared" si="89"/>
        <v>180000</v>
      </c>
      <c r="K356" s="875">
        <f t="shared" si="89"/>
        <v>180000</v>
      </c>
      <c r="L356" s="875">
        <f t="shared" si="89"/>
        <v>180000</v>
      </c>
      <c r="M356" s="875">
        <f t="shared" si="89"/>
        <v>180000</v>
      </c>
      <c r="N356" s="160"/>
      <c r="O356" s="462"/>
    </row>
    <row r="357" spans="1:15" outlineLevel="1">
      <c r="A357" s="648">
        <f>ROW()</f>
        <v>357</v>
      </c>
      <c r="B357" s="267" t="str">
        <f>$B$203</f>
        <v>Classroom Teacher - Core</v>
      </c>
      <c r="C357" s="162">
        <f t="shared" si="82"/>
        <v>270000</v>
      </c>
      <c r="D357" s="162"/>
      <c r="E357" s="162"/>
      <c r="F357" s="162"/>
      <c r="G357" s="875">
        <f>G203*$E203</f>
        <v>0</v>
      </c>
      <c r="H357" s="875">
        <f t="shared" si="89"/>
        <v>0</v>
      </c>
      <c r="I357" s="875">
        <f t="shared" si="89"/>
        <v>0</v>
      </c>
      <c r="J357" s="875">
        <f t="shared" si="89"/>
        <v>0</v>
      </c>
      <c r="K357" s="875">
        <f t="shared" si="89"/>
        <v>90000</v>
      </c>
      <c r="L357" s="875">
        <f t="shared" si="89"/>
        <v>90000</v>
      </c>
      <c r="M357" s="875">
        <f t="shared" si="89"/>
        <v>90000</v>
      </c>
      <c r="N357" s="160"/>
      <c r="O357" s="462"/>
    </row>
    <row r="358" spans="1:15" outlineLevel="1">
      <c r="A358" s="648">
        <f>ROW()</f>
        <v>358</v>
      </c>
      <c r="B358" s="267" t="str">
        <f>$B$204</f>
        <v>Classroom Teacher - Core</v>
      </c>
      <c r="C358" s="162">
        <f t="shared" si="82"/>
        <v>180000</v>
      </c>
      <c r="D358" s="162"/>
      <c r="E358" s="162"/>
      <c r="F358" s="162"/>
      <c r="G358" s="875">
        <f>G204*$E204</f>
        <v>0</v>
      </c>
      <c r="H358" s="875">
        <f t="shared" si="89"/>
        <v>0</v>
      </c>
      <c r="I358" s="875">
        <f t="shared" si="89"/>
        <v>0</v>
      </c>
      <c r="J358" s="875">
        <f t="shared" si="89"/>
        <v>0</v>
      </c>
      <c r="K358" s="875">
        <f t="shared" si="89"/>
        <v>0</v>
      </c>
      <c r="L358" s="875">
        <f t="shared" si="89"/>
        <v>90000</v>
      </c>
      <c r="M358" s="875">
        <f t="shared" si="89"/>
        <v>90000</v>
      </c>
      <c r="N358" s="160"/>
      <c r="O358" s="462"/>
    </row>
    <row r="359" spans="1:15" outlineLevel="1">
      <c r="A359" s="648">
        <f>ROW()</f>
        <v>359</v>
      </c>
      <c r="B359" s="267"/>
      <c r="C359" s="162">
        <f t="shared" ref="C359:C388" si="90">SUM(G359:M359)</f>
        <v>0</v>
      </c>
      <c r="D359" s="162"/>
      <c r="E359" s="162"/>
      <c r="F359" s="162"/>
      <c r="G359" s="875"/>
      <c r="H359" s="875"/>
      <c r="I359" s="875"/>
      <c r="J359" s="875"/>
      <c r="K359" s="875"/>
      <c r="L359" s="875"/>
      <c r="M359" s="875"/>
      <c r="N359" s="160"/>
      <c r="O359" s="462"/>
    </row>
    <row r="360" spans="1:15" outlineLevel="1">
      <c r="A360" s="648">
        <f>ROW()</f>
        <v>360</v>
      </c>
      <c r="B360" s="267" t="str">
        <f>$B$206</f>
        <v>Classroom Teacher - CTE</v>
      </c>
      <c r="C360" s="162">
        <f t="shared" si="90"/>
        <v>270000</v>
      </c>
      <c r="D360" s="162"/>
      <c r="E360" s="162"/>
      <c r="F360" s="162"/>
      <c r="G360" s="875">
        <f>G206*$E206</f>
        <v>0</v>
      </c>
      <c r="H360" s="875">
        <f t="shared" ref="H360:M364" si="91">(H206*$E206)</f>
        <v>45000</v>
      </c>
      <c r="I360" s="875">
        <f t="shared" si="91"/>
        <v>45000</v>
      </c>
      <c r="J360" s="875">
        <f t="shared" si="91"/>
        <v>45000</v>
      </c>
      <c r="K360" s="875">
        <f t="shared" si="91"/>
        <v>45000</v>
      </c>
      <c r="L360" s="875">
        <f t="shared" si="91"/>
        <v>45000</v>
      </c>
      <c r="M360" s="875">
        <f t="shared" si="91"/>
        <v>45000</v>
      </c>
      <c r="N360" s="160"/>
      <c r="O360" s="462"/>
    </row>
    <row r="361" spans="1:15" outlineLevel="1">
      <c r="A361" s="648">
        <f>ROW()</f>
        <v>361</v>
      </c>
      <c r="B361" s="267" t="str">
        <f>$B$207</f>
        <v>Classroom Teacher - CTE</v>
      </c>
      <c r="C361" s="162">
        <f t="shared" si="90"/>
        <v>675000</v>
      </c>
      <c r="D361" s="162"/>
      <c r="E361" s="162"/>
      <c r="F361" s="162"/>
      <c r="G361" s="875">
        <f>G207*$E207</f>
        <v>0</v>
      </c>
      <c r="H361" s="875">
        <f t="shared" si="91"/>
        <v>0</v>
      </c>
      <c r="I361" s="875">
        <f t="shared" si="91"/>
        <v>135000</v>
      </c>
      <c r="J361" s="875">
        <f t="shared" si="91"/>
        <v>135000</v>
      </c>
      <c r="K361" s="875">
        <f t="shared" si="91"/>
        <v>135000</v>
      </c>
      <c r="L361" s="875">
        <f t="shared" si="91"/>
        <v>135000</v>
      </c>
      <c r="M361" s="875">
        <f t="shared" si="91"/>
        <v>135000</v>
      </c>
      <c r="N361" s="160"/>
      <c r="O361" s="462"/>
    </row>
    <row r="362" spans="1:15" outlineLevel="1">
      <c r="A362" s="648">
        <f>ROW()</f>
        <v>362</v>
      </c>
      <c r="B362" s="267" t="str">
        <f>$B$208</f>
        <v>Classroom Teacher - CTE</v>
      </c>
      <c r="C362" s="162">
        <f t="shared" si="90"/>
        <v>540000</v>
      </c>
      <c r="D362" s="162"/>
      <c r="E362" s="162"/>
      <c r="F362" s="162"/>
      <c r="G362" s="875">
        <f>G208*$E208</f>
        <v>0</v>
      </c>
      <c r="H362" s="875">
        <f t="shared" si="91"/>
        <v>0</v>
      </c>
      <c r="I362" s="875">
        <f t="shared" si="91"/>
        <v>0</v>
      </c>
      <c r="J362" s="875">
        <f t="shared" si="91"/>
        <v>135000</v>
      </c>
      <c r="K362" s="875">
        <f t="shared" si="91"/>
        <v>135000</v>
      </c>
      <c r="L362" s="875">
        <f t="shared" si="91"/>
        <v>135000</v>
      </c>
      <c r="M362" s="875">
        <f t="shared" si="91"/>
        <v>135000</v>
      </c>
      <c r="N362" s="160"/>
      <c r="O362" s="462"/>
    </row>
    <row r="363" spans="1:15" outlineLevel="1">
      <c r="A363" s="648">
        <f>ROW()</f>
        <v>363</v>
      </c>
      <c r="B363" s="267" t="str">
        <f>$B$209</f>
        <v>Classroom Teacher - CTE</v>
      </c>
      <c r="C363" s="162">
        <f t="shared" si="90"/>
        <v>270000</v>
      </c>
      <c r="D363" s="162"/>
      <c r="E363" s="162"/>
      <c r="F363" s="162"/>
      <c r="G363" s="875">
        <f>G209*$E209</f>
        <v>0</v>
      </c>
      <c r="H363" s="875">
        <f t="shared" si="91"/>
        <v>0</v>
      </c>
      <c r="I363" s="875">
        <f t="shared" si="91"/>
        <v>0</v>
      </c>
      <c r="J363" s="875">
        <f t="shared" si="91"/>
        <v>0</v>
      </c>
      <c r="K363" s="875">
        <f t="shared" si="91"/>
        <v>90000</v>
      </c>
      <c r="L363" s="875">
        <f t="shared" si="91"/>
        <v>90000</v>
      </c>
      <c r="M363" s="875">
        <f t="shared" si="91"/>
        <v>90000</v>
      </c>
      <c r="N363" s="160"/>
      <c r="O363" s="462"/>
    </row>
    <row r="364" spans="1:15" outlineLevel="1">
      <c r="A364" s="648">
        <f>ROW()</f>
        <v>364</v>
      </c>
      <c r="B364" s="267" t="str">
        <f>$B$210</f>
        <v>Classroom Teacher - CTE</v>
      </c>
      <c r="C364" s="162">
        <f t="shared" si="90"/>
        <v>180000</v>
      </c>
      <c r="D364" s="162"/>
      <c r="E364" s="162"/>
      <c r="F364" s="162"/>
      <c r="G364" s="875">
        <f>G210*$E210</f>
        <v>0</v>
      </c>
      <c r="H364" s="875">
        <f t="shared" si="91"/>
        <v>0</v>
      </c>
      <c r="I364" s="875">
        <f t="shared" si="91"/>
        <v>0</v>
      </c>
      <c r="J364" s="875">
        <f t="shared" si="91"/>
        <v>0</v>
      </c>
      <c r="K364" s="875">
        <f t="shared" si="91"/>
        <v>0</v>
      </c>
      <c r="L364" s="875">
        <f t="shared" si="91"/>
        <v>90000</v>
      </c>
      <c r="M364" s="875">
        <f t="shared" si="91"/>
        <v>90000</v>
      </c>
      <c r="N364" s="160"/>
      <c r="O364" s="462"/>
    </row>
    <row r="365" spans="1:15" outlineLevel="1">
      <c r="A365" s="648">
        <f>ROW()</f>
        <v>365</v>
      </c>
      <c r="B365" s="267"/>
      <c r="C365" s="162">
        <f t="shared" si="90"/>
        <v>0</v>
      </c>
      <c r="D365" s="162"/>
      <c r="E365" s="162"/>
      <c r="F365" s="162"/>
      <c r="G365" s="875"/>
      <c r="H365" s="875"/>
      <c r="I365" s="875"/>
      <c r="J365" s="875"/>
      <c r="K365" s="875"/>
      <c r="L365" s="875"/>
      <c r="M365" s="875"/>
      <c r="N365" s="163"/>
      <c r="O365" s="462"/>
    </row>
    <row r="366" spans="1:15" outlineLevel="1">
      <c r="A366" s="648">
        <f>ROW()</f>
        <v>366</v>
      </c>
      <c r="B366" s="267" t="str">
        <f>$B$212</f>
        <v>Head Teacher - CTE</v>
      </c>
      <c r="C366" s="162">
        <f t="shared" si="90"/>
        <v>300000</v>
      </c>
      <c r="D366" s="162"/>
      <c r="E366" s="162"/>
      <c r="F366" s="162"/>
      <c r="G366" s="875">
        <f>G212*$E212</f>
        <v>0</v>
      </c>
      <c r="H366" s="875">
        <f t="shared" ref="H366:M370" si="92">(H212*$E212)</f>
        <v>50000</v>
      </c>
      <c r="I366" s="875">
        <f t="shared" si="92"/>
        <v>50000</v>
      </c>
      <c r="J366" s="875">
        <f t="shared" si="92"/>
        <v>50000</v>
      </c>
      <c r="K366" s="875">
        <f t="shared" si="92"/>
        <v>50000</v>
      </c>
      <c r="L366" s="875">
        <f t="shared" si="92"/>
        <v>50000</v>
      </c>
      <c r="M366" s="875">
        <f t="shared" si="92"/>
        <v>50000</v>
      </c>
      <c r="N366" s="160"/>
      <c r="O366" s="462"/>
    </row>
    <row r="367" spans="1:15" outlineLevel="1">
      <c r="A367" s="648">
        <f>ROW()</f>
        <v>367</v>
      </c>
      <c r="B367" s="267" t="str">
        <f>$B$213</f>
        <v>Art Teacher</v>
      </c>
      <c r="C367" s="162">
        <f t="shared" si="90"/>
        <v>0</v>
      </c>
      <c r="D367" s="162"/>
      <c r="E367" s="162"/>
      <c r="F367" s="162"/>
      <c r="G367" s="875">
        <f>G213*$E213</f>
        <v>0</v>
      </c>
      <c r="H367" s="875">
        <f t="shared" si="92"/>
        <v>0</v>
      </c>
      <c r="I367" s="875">
        <f t="shared" si="92"/>
        <v>0</v>
      </c>
      <c r="J367" s="875">
        <f t="shared" si="92"/>
        <v>0</v>
      </c>
      <c r="K367" s="875">
        <f t="shared" si="92"/>
        <v>0</v>
      </c>
      <c r="L367" s="875">
        <f t="shared" si="92"/>
        <v>0</v>
      </c>
      <c r="M367" s="875">
        <f t="shared" si="92"/>
        <v>0</v>
      </c>
      <c r="N367" s="160"/>
      <c r="O367" s="462"/>
    </row>
    <row r="368" spans="1:15" outlineLevel="1">
      <c r="A368" s="648">
        <f>ROW()</f>
        <v>368</v>
      </c>
      <c r="B368" s="267" t="str">
        <f>$B$214</f>
        <v>Grade Level Teacher</v>
      </c>
      <c r="C368" s="162">
        <f t="shared" si="90"/>
        <v>0</v>
      </c>
      <c r="D368" s="162"/>
      <c r="E368" s="162"/>
      <c r="F368" s="162"/>
      <c r="G368" s="875">
        <f>G214*$E214</f>
        <v>0</v>
      </c>
      <c r="H368" s="875">
        <f t="shared" si="92"/>
        <v>0</v>
      </c>
      <c r="I368" s="875">
        <f t="shared" si="92"/>
        <v>0</v>
      </c>
      <c r="J368" s="875">
        <f t="shared" si="92"/>
        <v>0</v>
      </c>
      <c r="K368" s="875">
        <f t="shared" si="92"/>
        <v>0</v>
      </c>
      <c r="L368" s="875">
        <f t="shared" si="92"/>
        <v>0</v>
      </c>
      <c r="M368" s="875">
        <f t="shared" si="92"/>
        <v>0</v>
      </c>
      <c r="N368" s="160"/>
      <c r="O368" s="462"/>
    </row>
    <row r="369" spans="1:15" outlineLevel="1">
      <c r="A369" s="648">
        <f>ROW()</f>
        <v>369</v>
      </c>
      <c r="B369" s="267" t="str">
        <f>$B$215</f>
        <v>Grade Level Teacher</v>
      </c>
      <c r="C369" s="162">
        <f t="shared" si="90"/>
        <v>0</v>
      </c>
      <c r="D369" s="162"/>
      <c r="E369" s="162"/>
      <c r="F369" s="162"/>
      <c r="G369" s="875">
        <f>G215*$E215</f>
        <v>0</v>
      </c>
      <c r="H369" s="875">
        <f t="shared" si="92"/>
        <v>0</v>
      </c>
      <c r="I369" s="875">
        <f t="shared" si="92"/>
        <v>0</v>
      </c>
      <c r="J369" s="875">
        <f t="shared" si="92"/>
        <v>0</v>
      </c>
      <c r="K369" s="875">
        <f t="shared" si="92"/>
        <v>0</v>
      </c>
      <c r="L369" s="875">
        <f t="shared" si="92"/>
        <v>0</v>
      </c>
      <c r="M369" s="875">
        <f t="shared" si="92"/>
        <v>0</v>
      </c>
      <c r="N369" s="160"/>
      <c r="O369" s="462"/>
    </row>
    <row r="370" spans="1:15" outlineLevel="1">
      <c r="A370" s="648">
        <f>ROW()</f>
        <v>370</v>
      </c>
      <c r="B370" s="267" t="str">
        <f>$B$216</f>
        <v>Grade Level Teacher</v>
      </c>
      <c r="C370" s="162">
        <f t="shared" si="90"/>
        <v>0</v>
      </c>
      <c r="D370" s="162"/>
      <c r="E370" s="162"/>
      <c r="F370" s="162"/>
      <c r="G370" s="875">
        <f>G216*$E216</f>
        <v>0</v>
      </c>
      <c r="H370" s="875">
        <f t="shared" si="92"/>
        <v>0</v>
      </c>
      <c r="I370" s="875">
        <f t="shared" si="92"/>
        <v>0</v>
      </c>
      <c r="J370" s="875">
        <f t="shared" si="92"/>
        <v>0</v>
      </c>
      <c r="K370" s="875">
        <f t="shared" si="92"/>
        <v>0</v>
      </c>
      <c r="L370" s="875">
        <f t="shared" si="92"/>
        <v>0</v>
      </c>
      <c r="M370" s="875">
        <f t="shared" si="92"/>
        <v>0</v>
      </c>
      <c r="N370" s="160"/>
      <c r="O370" s="462"/>
    </row>
    <row r="371" spans="1:15" outlineLevel="1">
      <c r="A371" s="648">
        <f>ROW()</f>
        <v>371</v>
      </c>
      <c r="B371" s="267"/>
      <c r="C371" s="162">
        <f t="shared" si="90"/>
        <v>0</v>
      </c>
      <c r="D371" s="162"/>
      <c r="E371" s="162"/>
      <c r="F371" s="162"/>
      <c r="G371" s="875"/>
      <c r="H371" s="875"/>
      <c r="I371" s="875"/>
      <c r="J371" s="875"/>
      <c r="K371" s="875"/>
      <c r="L371" s="875"/>
      <c r="M371" s="875"/>
      <c r="N371" s="163"/>
      <c r="O371" s="462"/>
    </row>
    <row r="372" spans="1:15" outlineLevel="1">
      <c r="A372" s="648">
        <f>ROW()</f>
        <v>372</v>
      </c>
      <c r="B372" s="267" t="str">
        <f>$B$218</f>
        <v>Grade Level Teacher</v>
      </c>
      <c r="C372" s="162">
        <f t="shared" si="90"/>
        <v>0</v>
      </c>
      <c r="D372" s="162"/>
      <c r="E372" s="162"/>
      <c r="F372" s="162"/>
      <c r="G372" s="875">
        <f>G218*$E218</f>
        <v>0</v>
      </c>
      <c r="H372" s="875">
        <f t="shared" ref="H372:M376" si="93">(H218*$E218)</f>
        <v>0</v>
      </c>
      <c r="I372" s="875">
        <f t="shared" si="93"/>
        <v>0</v>
      </c>
      <c r="J372" s="875">
        <f t="shared" si="93"/>
        <v>0</v>
      </c>
      <c r="K372" s="875">
        <f t="shared" si="93"/>
        <v>0</v>
      </c>
      <c r="L372" s="875">
        <f t="shared" si="93"/>
        <v>0</v>
      </c>
      <c r="M372" s="875">
        <f t="shared" si="93"/>
        <v>0</v>
      </c>
      <c r="N372" s="160"/>
      <c r="O372" s="462"/>
    </row>
    <row r="373" spans="1:15" outlineLevel="1">
      <c r="A373" s="648">
        <f>ROW()</f>
        <v>373</v>
      </c>
      <c r="B373" s="267" t="str">
        <f>$B$219</f>
        <v>Grade Level Teacher</v>
      </c>
      <c r="C373" s="162">
        <f t="shared" si="90"/>
        <v>0</v>
      </c>
      <c r="D373" s="162"/>
      <c r="E373" s="162"/>
      <c r="F373" s="162"/>
      <c r="G373" s="875">
        <f>G219*$E219</f>
        <v>0</v>
      </c>
      <c r="H373" s="875">
        <f t="shared" si="93"/>
        <v>0</v>
      </c>
      <c r="I373" s="875">
        <f t="shared" si="93"/>
        <v>0</v>
      </c>
      <c r="J373" s="875">
        <f t="shared" si="93"/>
        <v>0</v>
      </c>
      <c r="K373" s="875">
        <f t="shared" si="93"/>
        <v>0</v>
      </c>
      <c r="L373" s="875">
        <f t="shared" si="93"/>
        <v>0</v>
      </c>
      <c r="M373" s="875">
        <f t="shared" si="93"/>
        <v>0</v>
      </c>
      <c r="N373" s="160"/>
      <c r="O373" s="462"/>
    </row>
    <row r="374" spans="1:15" outlineLevel="1">
      <c r="A374" s="648">
        <f>ROW()</f>
        <v>374</v>
      </c>
      <c r="B374" s="267" t="str">
        <f>$B$220</f>
        <v>Grade Level Teacher</v>
      </c>
      <c r="C374" s="162">
        <f t="shared" si="90"/>
        <v>0</v>
      </c>
      <c r="D374" s="162"/>
      <c r="E374" s="162"/>
      <c r="F374" s="162"/>
      <c r="G374" s="875">
        <f>G220*$E220</f>
        <v>0</v>
      </c>
      <c r="H374" s="875">
        <f t="shared" si="93"/>
        <v>0</v>
      </c>
      <c r="I374" s="875">
        <f t="shared" si="93"/>
        <v>0</v>
      </c>
      <c r="J374" s="875">
        <f t="shared" si="93"/>
        <v>0</v>
      </c>
      <c r="K374" s="875">
        <f t="shared" si="93"/>
        <v>0</v>
      </c>
      <c r="L374" s="875">
        <f t="shared" si="93"/>
        <v>0</v>
      </c>
      <c r="M374" s="875">
        <f t="shared" si="93"/>
        <v>0</v>
      </c>
      <c r="N374" s="160"/>
      <c r="O374" s="462"/>
    </row>
    <row r="375" spans="1:15" outlineLevel="1">
      <c r="A375" s="648">
        <f>ROW()</f>
        <v>375</v>
      </c>
      <c r="B375" s="267" t="str">
        <f>$B$221</f>
        <v>Grade Level Teacher</v>
      </c>
      <c r="C375" s="162">
        <f t="shared" si="90"/>
        <v>0</v>
      </c>
      <c r="D375" s="162"/>
      <c r="E375" s="162"/>
      <c r="F375" s="162"/>
      <c r="G375" s="875">
        <f>G221*$E221</f>
        <v>0</v>
      </c>
      <c r="H375" s="875">
        <f t="shared" si="93"/>
        <v>0</v>
      </c>
      <c r="I375" s="875">
        <f t="shared" si="93"/>
        <v>0</v>
      </c>
      <c r="J375" s="875">
        <f t="shared" si="93"/>
        <v>0</v>
      </c>
      <c r="K375" s="875">
        <f t="shared" si="93"/>
        <v>0</v>
      </c>
      <c r="L375" s="875">
        <f t="shared" si="93"/>
        <v>0</v>
      </c>
      <c r="M375" s="875">
        <f t="shared" si="93"/>
        <v>0</v>
      </c>
      <c r="N375" s="160"/>
      <c r="O375" s="462"/>
    </row>
    <row r="376" spans="1:15" outlineLevel="1">
      <c r="A376" s="648">
        <f>ROW()</f>
        <v>376</v>
      </c>
      <c r="B376" s="267" t="str">
        <f>$B$222</f>
        <v>Grade Level Teacher</v>
      </c>
      <c r="C376" s="162">
        <f t="shared" si="90"/>
        <v>0</v>
      </c>
      <c r="D376" s="162"/>
      <c r="E376" s="162"/>
      <c r="F376" s="162"/>
      <c r="G376" s="875">
        <f>G222*$E222</f>
        <v>0</v>
      </c>
      <c r="H376" s="875">
        <f t="shared" si="93"/>
        <v>0</v>
      </c>
      <c r="I376" s="875">
        <f t="shared" si="93"/>
        <v>0</v>
      </c>
      <c r="J376" s="875">
        <f t="shared" si="93"/>
        <v>0</v>
      </c>
      <c r="K376" s="875">
        <f t="shared" si="93"/>
        <v>0</v>
      </c>
      <c r="L376" s="875">
        <f t="shared" si="93"/>
        <v>0</v>
      </c>
      <c r="M376" s="875">
        <f t="shared" si="93"/>
        <v>0</v>
      </c>
      <c r="N376" s="160"/>
      <c r="O376" s="462"/>
    </row>
    <row r="377" spans="1:15" outlineLevel="1">
      <c r="A377" s="648">
        <f>ROW()</f>
        <v>377</v>
      </c>
      <c r="B377" s="267"/>
      <c r="C377" s="162">
        <f t="shared" si="90"/>
        <v>0</v>
      </c>
      <c r="D377" s="162"/>
      <c r="E377" s="162"/>
      <c r="F377" s="162"/>
      <c r="G377" s="875"/>
      <c r="H377" s="875"/>
      <c r="I377" s="875"/>
      <c r="J377" s="875"/>
      <c r="K377" s="875"/>
      <c r="L377" s="875"/>
      <c r="M377" s="875"/>
      <c r="N377" s="160"/>
      <c r="O377" s="462"/>
    </row>
    <row r="378" spans="1:15" outlineLevel="1">
      <c r="A378" s="648">
        <f>ROW()</f>
        <v>378</v>
      </c>
      <c r="B378" s="267" t="str">
        <f>$B$224</f>
        <v>Grade Level Teacher</v>
      </c>
      <c r="C378" s="162">
        <f t="shared" si="90"/>
        <v>0</v>
      </c>
      <c r="D378" s="162"/>
      <c r="E378" s="162"/>
      <c r="F378" s="162"/>
      <c r="G378" s="875">
        <f>G224*$E224</f>
        <v>0</v>
      </c>
      <c r="H378" s="875">
        <f t="shared" ref="H378:M382" si="94">(H224*$E224)</f>
        <v>0</v>
      </c>
      <c r="I378" s="875">
        <f t="shared" si="94"/>
        <v>0</v>
      </c>
      <c r="J378" s="875">
        <f t="shared" si="94"/>
        <v>0</v>
      </c>
      <c r="K378" s="875">
        <f t="shared" si="94"/>
        <v>0</v>
      </c>
      <c r="L378" s="875">
        <f t="shared" si="94"/>
        <v>0</v>
      </c>
      <c r="M378" s="875">
        <f t="shared" si="94"/>
        <v>0</v>
      </c>
      <c r="N378" s="160"/>
      <c r="O378" s="462"/>
    </row>
    <row r="379" spans="1:15" outlineLevel="1">
      <c r="A379" s="648">
        <f>ROW()</f>
        <v>379</v>
      </c>
      <c r="B379" s="267" t="str">
        <f>$B$225</f>
        <v>Grade Level Teacher</v>
      </c>
      <c r="C379" s="162">
        <f t="shared" si="90"/>
        <v>0</v>
      </c>
      <c r="D379" s="162"/>
      <c r="E379" s="162"/>
      <c r="F379" s="162"/>
      <c r="G379" s="875">
        <f>G225*$E225</f>
        <v>0</v>
      </c>
      <c r="H379" s="875">
        <f t="shared" si="94"/>
        <v>0</v>
      </c>
      <c r="I379" s="875">
        <f t="shared" si="94"/>
        <v>0</v>
      </c>
      <c r="J379" s="875">
        <f t="shared" si="94"/>
        <v>0</v>
      </c>
      <c r="K379" s="875">
        <f t="shared" si="94"/>
        <v>0</v>
      </c>
      <c r="L379" s="875">
        <f t="shared" si="94"/>
        <v>0</v>
      </c>
      <c r="M379" s="875">
        <f t="shared" si="94"/>
        <v>0</v>
      </c>
      <c r="N379" s="160"/>
      <c r="O379" s="462"/>
    </row>
    <row r="380" spans="1:15" outlineLevel="1">
      <c r="A380" s="648">
        <f>ROW()</f>
        <v>380</v>
      </c>
      <c r="B380" s="267" t="str">
        <f>$B$226</f>
        <v>Grade Level Teacher</v>
      </c>
      <c r="C380" s="162">
        <f t="shared" si="90"/>
        <v>0</v>
      </c>
      <c r="D380" s="162"/>
      <c r="E380" s="162"/>
      <c r="F380" s="162"/>
      <c r="G380" s="875">
        <f>G226*$E226</f>
        <v>0</v>
      </c>
      <c r="H380" s="875">
        <f t="shared" si="94"/>
        <v>0</v>
      </c>
      <c r="I380" s="875">
        <f t="shared" si="94"/>
        <v>0</v>
      </c>
      <c r="J380" s="875">
        <f t="shared" si="94"/>
        <v>0</v>
      </c>
      <c r="K380" s="875">
        <f t="shared" si="94"/>
        <v>0</v>
      </c>
      <c r="L380" s="875">
        <f t="shared" si="94"/>
        <v>0</v>
      </c>
      <c r="M380" s="875">
        <f t="shared" si="94"/>
        <v>0</v>
      </c>
      <c r="N380" s="160"/>
      <c r="O380" s="462"/>
    </row>
    <row r="381" spans="1:15" outlineLevel="1">
      <c r="A381" s="648">
        <f>ROW()</f>
        <v>381</v>
      </c>
      <c r="B381" s="267" t="str">
        <f>$B$227</f>
        <v>Grade Level Teacher</v>
      </c>
      <c r="C381" s="162">
        <f t="shared" si="90"/>
        <v>0</v>
      </c>
      <c r="D381" s="162"/>
      <c r="E381" s="162"/>
      <c r="F381" s="162"/>
      <c r="G381" s="875">
        <f>G227*$E227</f>
        <v>0</v>
      </c>
      <c r="H381" s="875">
        <f t="shared" si="94"/>
        <v>0</v>
      </c>
      <c r="I381" s="875">
        <f t="shared" si="94"/>
        <v>0</v>
      </c>
      <c r="J381" s="875">
        <f t="shared" si="94"/>
        <v>0</v>
      </c>
      <c r="K381" s="875">
        <f t="shared" si="94"/>
        <v>0</v>
      </c>
      <c r="L381" s="875">
        <f t="shared" si="94"/>
        <v>0</v>
      </c>
      <c r="M381" s="875">
        <f t="shared" si="94"/>
        <v>0</v>
      </c>
      <c r="N381" s="160"/>
      <c r="O381" s="462"/>
    </row>
    <row r="382" spans="1:15" outlineLevel="1">
      <c r="A382" s="648">
        <f>ROW()</f>
        <v>382</v>
      </c>
      <c r="B382" s="267" t="str">
        <f>$B$228</f>
        <v>Grade Level Teacher</v>
      </c>
      <c r="C382" s="162">
        <f t="shared" si="90"/>
        <v>0</v>
      </c>
      <c r="D382" s="162"/>
      <c r="E382" s="162"/>
      <c r="F382" s="162"/>
      <c r="G382" s="875">
        <f>G228*$E228</f>
        <v>0</v>
      </c>
      <c r="H382" s="875">
        <f t="shared" si="94"/>
        <v>0</v>
      </c>
      <c r="I382" s="875">
        <f t="shared" si="94"/>
        <v>0</v>
      </c>
      <c r="J382" s="875">
        <f t="shared" si="94"/>
        <v>0</v>
      </c>
      <c r="K382" s="875">
        <f t="shared" si="94"/>
        <v>0</v>
      </c>
      <c r="L382" s="875">
        <f t="shared" si="94"/>
        <v>0</v>
      </c>
      <c r="M382" s="875">
        <f t="shared" si="94"/>
        <v>0</v>
      </c>
      <c r="N382" s="160"/>
      <c r="O382" s="462"/>
    </row>
    <row r="383" spans="1:15" outlineLevel="1">
      <c r="A383" s="648">
        <f>ROW()</f>
        <v>383</v>
      </c>
      <c r="B383" s="267"/>
      <c r="C383" s="162">
        <f t="shared" si="90"/>
        <v>0</v>
      </c>
      <c r="D383" s="162"/>
      <c r="E383" s="162"/>
      <c r="F383" s="162"/>
      <c r="G383" s="875"/>
      <c r="H383" s="875"/>
      <c r="I383" s="875"/>
      <c r="J383" s="875"/>
      <c r="K383" s="875"/>
      <c r="L383" s="875"/>
      <c r="M383" s="875"/>
      <c r="N383" s="160"/>
      <c r="O383" s="462"/>
    </row>
    <row r="384" spans="1:15" outlineLevel="1">
      <c r="A384" s="648">
        <f>ROW()</f>
        <v>384</v>
      </c>
      <c r="B384" s="267" t="str">
        <f>$B$230</f>
        <v>Grade Level Teacher</v>
      </c>
      <c r="C384" s="162">
        <f t="shared" si="90"/>
        <v>0</v>
      </c>
      <c r="D384" s="162"/>
      <c r="E384" s="162"/>
      <c r="F384" s="162"/>
      <c r="G384" s="875">
        <f>G230*$E230</f>
        <v>0</v>
      </c>
      <c r="H384" s="875">
        <f t="shared" ref="H384:M388" si="95">(H230*$E230)</f>
        <v>0</v>
      </c>
      <c r="I384" s="875">
        <f t="shared" si="95"/>
        <v>0</v>
      </c>
      <c r="J384" s="875">
        <f t="shared" si="95"/>
        <v>0</v>
      </c>
      <c r="K384" s="875">
        <f t="shared" si="95"/>
        <v>0</v>
      </c>
      <c r="L384" s="875">
        <f t="shared" si="95"/>
        <v>0</v>
      </c>
      <c r="M384" s="875">
        <f t="shared" si="95"/>
        <v>0</v>
      </c>
      <c r="N384" s="160"/>
      <c r="O384" s="462"/>
    </row>
    <row r="385" spans="1:15" outlineLevel="1">
      <c r="A385" s="648">
        <f>ROW()</f>
        <v>385</v>
      </c>
      <c r="B385" s="267" t="str">
        <f>$B$231</f>
        <v>Grade Level Teacher</v>
      </c>
      <c r="C385" s="162">
        <f t="shared" si="90"/>
        <v>0</v>
      </c>
      <c r="D385" s="162"/>
      <c r="E385" s="162"/>
      <c r="F385" s="162"/>
      <c r="G385" s="875">
        <f>G231*$E231</f>
        <v>0</v>
      </c>
      <c r="H385" s="875">
        <f t="shared" si="95"/>
        <v>0</v>
      </c>
      <c r="I385" s="875">
        <f t="shared" si="95"/>
        <v>0</v>
      </c>
      <c r="J385" s="875">
        <f t="shared" si="95"/>
        <v>0</v>
      </c>
      <c r="K385" s="875">
        <f t="shared" si="95"/>
        <v>0</v>
      </c>
      <c r="L385" s="875">
        <f t="shared" si="95"/>
        <v>0</v>
      </c>
      <c r="M385" s="875">
        <f t="shared" si="95"/>
        <v>0</v>
      </c>
      <c r="N385" s="160"/>
      <c r="O385" s="462"/>
    </row>
    <row r="386" spans="1:15" outlineLevel="1">
      <c r="A386" s="648">
        <f>ROW()</f>
        <v>386</v>
      </c>
      <c r="B386" s="267" t="str">
        <f>$B$232</f>
        <v>Grade Level Teacher</v>
      </c>
      <c r="C386" s="162">
        <f t="shared" si="90"/>
        <v>0</v>
      </c>
      <c r="D386" s="162"/>
      <c r="E386" s="162"/>
      <c r="F386" s="162"/>
      <c r="G386" s="875">
        <f>G232*$E232</f>
        <v>0</v>
      </c>
      <c r="H386" s="875">
        <f t="shared" si="95"/>
        <v>0</v>
      </c>
      <c r="I386" s="875">
        <f t="shared" si="95"/>
        <v>0</v>
      </c>
      <c r="J386" s="875">
        <f t="shared" si="95"/>
        <v>0</v>
      </c>
      <c r="K386" s="875">
        <f t="shared" si="95"/>
        <v>0</v>
      </c>
      <c r="L386" s="875">
        <f t="shared" si="95"/>
        <v>0</v>
      </c>
      <c r="M386" s="875">
        <f t="shared" si="95"/>
        <v>0</v>
      </c>
      <c r="N386" s="160"/>
      <c r="O386" s="462"/>
    </row>
    <row r="387" spans="1:15" outlineLevel="1">
      <c r="A387" s="648">
        <f>ROW()</f>
        <v>387</v>
      </c>
      <c r="B387" s="267" t="str">
        <f>$B$233</f>
        <v>Grade Level Teacher</v>
      </c>
      <c r="C387" s="162">
        <f t="shared" si="90"/>
        <v>0</v>
      </c>
      <c r="D387" s="162"/>
      <c r="E387" s="162"/>
      <c r="F387" s="162"/>
      <c r="G387" s="875">
        <f>G233*$E233</f>
        <v>0</v>
      </c>
      <c r="H387" s="875">
        <f t="shared" si="95"/>
        <v>0</v>
      </c>
      <c r="I387" s="875">
        <f t="shared" si="95"/>
        <v>0</v>
      </c>
      <c r="J387" s="875">
        <f t="shared" si="95"/>
        <v>0</v>
      </c>
      <c r="K387" s="875">
        <f t="shared" si="95"/>
        <v>0</v>
      </c>
      <c r="L387" s="875">
        <f t="shared" si="95"/>
        <v>0</v>
      </c>
      <c r="M387" s="875">
        <f t="shared" si="95"/>
        <v>0</v>
      </c>
      <c r="N387" s="160"/>
      <c r="O387" s="462"/>
    </row>
    <row r="388" spans="1:15" outlineLevel="1">
      <c r="A388" s="648">
        <f>ROW()</f>
        <v>388</v>
      </c>
      <c r="B388" s="267" t="str">
        <f>$B$234</f>
        <v>Grade Level Teacher</v>
      </c>
      <c r="C388" s="162">
        <f t="shared" si="90"/>
        <v>0</v>
      </c>
      <c r="D388" s="162"/>
      <c r="E388" s="162"/>
      <c r="F388" s="162"/>
      <c r="G388" s="875">
        <f>G234*$E234</f>
        <v>0</v>
      </c>
      <c r="H388" s="875">
        <f t="shared" si="95"/>
        <v>0</v>
      </c>
      <c r="I388" s="875">
        <f t="shared" si="95"/>
        <v>0</v>
      </c>
      <c r="J388" s="875">
        <f t="shared" si="95"/>
        <v>0</v>
      </c>
      <c r="K388" s="875">
        <f t="shared" si="95"/>
        <v>0</v>
      </c>
      <c r="L388" s="875">
        <f t="shared" si="95"/>
        <v>0</v>
      </c>
      <c r="M388" s="875">
        <f t="shared" si="95"/>
        <v>0</v>
      </c>
      <c r="N388" s="160"/>
      <c r="O388" s="462"/>
    </row>
    <row r="389" spans="1:15" outlineLevel="1">
      <c r="A389" s="648">
        <f>ROW()</f>
        <v>389</v>
      </c>
      <c r="B389" s="164"/>
      <c r="C389" s="162"/>
      <c r="D389" s="162"/>
      <c r="E389" s="162"/>
      <c r="F389" s="162"/>
      <c r="G389" s="1289"/>
      <c r="H389" s="1289"/>
      <c r="I389" s="1289"/>
      <c r="J389" s="1289"/>
      <c r="K389" s="1289"/>
      <c r="L389" s="1289"/>
      <c r="M389" s="1289"/>
      <c r="N389" s="163"/>
      <c r="O389" s="462"/>
    </row>
    <row r="390" spans="1:15" ht="15.6" outlineLevel="1">
      <c r="A390" s="648">
        <f>ROW()</f>
        <v>390</v>
      </c>
      <c r="B390" s="1290" t="s">
        <v>497</v>
      </c>
      <c r="C390" s="1291">
        <f>SUM(G390:M390)</f>
        <v>5655000</v>
      </c>
      <c r="D390" s="1290"/>
      <c r="E390" s="1290"/>
      <c r="F390" s="1290"/>
      <c r="G390" s="1292">
        <f t="shared" ref="G390:M390" si="96">SUM(G295:G388)</f>
        <v>0</v>
      </c>
      <c r="H390" s="1292">
        <f t="shared" si="96"/>
        <v>320000</v>
      </c>
      <c r="I390" s="1292">
        <f>SUM(I295:I388)</f>
        <v>635000</v>
      </c>
      <c r="J390" s="1292">
        <f t="shared" si="96"/>
        <v>950000</v>
      </c>
      <c r="K390" s="1292">
        <f t="shared" si="96"/>
        <v>1130000</v>
      </c>
      <c r="L390" s="1292">
        <f t="shared" si="96"/>
        <v>1310000</v>
      </c>
      <c r="M390" s="1292">
        <f t="shared" si="96"/>
        <v>1310000</v>
      </c>
      <c r="O390" s="462"/>
    </row>
    <row r="391" spans="1:15" outlineLevel="1">
      <c r="A391" s="648">
        <f>ROW()</f>
        <v>391</v>
      </c>
      <c r="B391" s="79"/>
      <c r="C391" s="84"/>
      <c r="D391" s="84"/>
      <c r="E391" s="84"/>
      <c r="F391" s="84"/>
      <c r="G391" s="836"/>
      <c r="H391" s="699"/>
      <c r="I391" s="699"/>
      <c r="J391" s="699"/>
      <c r="K391" s="699"/>
      <c r="L391" s="699"/>
      <c r="M391" s="699"/>
      <c r="O391" s="462"/>
    </row>
    <row r="392" spans="1:15" outlineLevel="1">
      <c r="A392" s="648">
        <f>ROW()</f>
        <v>392</v>
      </c>
      <c r="B392" s="1279" t="s">
        <v>375</v>
      </c>
      <c r="C392" s="1280"/>
      <c r="D392" s="1281"/>
      <c r="E392" s="1281"/>
      <c r="F392" s="1281"/>
      <c r="G392" s="901">
        <v>0</v>
      </c>
      <c r="H392" s="901">
        <v>0</v>
      </c>
      <c r="I392" s="901">
        <v>0</v>
      </c>
      <c r="J392" s="901">
        <v>0</v>
      </c>
      <c r="K392" s="901">
        <v>0</v>
      </c>
      <c r="L392" s="901">
        <v>0</v>
      </c>
      <c r="M392" s="901">
        <v>0</v>
      </c>
      <c r="O392" s="462"/>
    </row>
    <row r="393" spans="1:15" outlineLevel="1">
      <c r="A393" s="648">
        <f>ROW()</f>
        <v>393</v>
      </c>
      <c r="B393" s="79"/>
      <c r="C393" s="84"/>
      <c r="D393" s="84"/>
      <c r="E393" s="84"/>
      <c r="F393" s="84"/>
      <c r="G393" s="908"/>
      <c r="H393" s="1293"/>
      <c r="I393" s="1293"/>
      <c r="J393" s="1293"/>
      <c r="K393" s="1293"/>
      <c r="L393" s="1293"/>
      <c r="M393" s="1293"/>
      <c r="O393" s="462"/>
    </row>
    <row r="394" spans="1:15" ht="15.6" outlineLevel="1">
      <c r="A394" s="648">
        <f>ROW()</f>
        <v>394</v>
      </c>
      <c r="B394" s="1284" t="s">
        <v>440</v>
      </c>
      <c r="C394" s="1285"/>
      <c r="D394" s="1284"/>
      <c r="E394" s="1284"/>
      <c r="F394" s="1284"/>
      <c r="G394" s="1294">
        <f>SUM(G390,G281,G256,G269,G293,G392)*$C$68</f>
        <v>2000</v>
      </c>
      <c r="H394" s="1294">
        <f>SUM(H390,H281,H256,H269,H293,H392)*$C$68</f>
        <v>13105</v>
      </c>
      <c r="I394" s="1294">
        <f t="shared" ref="I394:M394" si="97">SUM(I390,I281,I256,I269,I293,I392)*$C$68</f>
        <v>22380</v>
      </c>
      <c r="J394" s="1294">
        <f t="shared" si="97"/>
        <v>33580</v>
      </c>
      <c r="K394" s="1294">
        <f t="shared" si="97"/>
        <v>37180</v>
      </c>
      <c r="L394" s="1294">
        <f t="shared" si="97"/>
        <v>42080</v>
      </c>
      <c r="M394" s="1294">
        <f t="shared" si="97"/>
        <v>42080</v>
      </c>
      <c r="O394" s="462"/>
    </row>
    <row r="395" spans="1:15" ht="14.4" outlineLevel="1" thickBot="1">
      <c r="A395" s="648">
        <f>ROW()</f>
        <v>395</v>
      </c>
      <c r="B395" s="79"/>
      <c r="C395" s="84"/>
      <c r="D395" s="84"/>
      <c r="E395" s="84"/>
      <c r="F395" s="84"/>
      <c r="G395" s="836"/>
      <c r="H395" s="836"/>
      <c r="I395" s="836"/>
      <c r="J395" s="836"/>
      <c r="K395" s="836"/>
      <c r="L395" s="836"/>
      <c r="M395" s="836"/>
      <c r="O395" s="462"/>
    </row>
    <row r="396" spans="1:15" ht="14.4" thickBot="1">
      <c r="A396" s="648">
        <f>ROW()</f>
        <v>396</v>
      </c>
      <c r="B396" s="1262" t="s">
        <v>407</v>
      </c>
      <c r="C396" s="1263">
        <f>SUM(G396:M396)</f>
        <v>9812655</v>
      </c>
      <c r="D396" s="1288"/>
      <c r="E396" s="1288"/>
      <c r="F396" s="1288"/>
      <c r="G396" s="1264">
        <f t="shared" ref="G396:M396" si="98">G390+G281+G256+G269+G293+G392+G394</f>
        <v>102000</v>
      </c>
      <c r="H396" s="1264">
        <f t="shared" si="98"/>
        <v>668355</v>
      </c>
      <c r="I396" s="1264">
        <f t="shared" si="98"/>
        <v>1141380</v>
      </c>
      <c r="J396" s="1264">
        <f t="shared" si="98"/>
        <v>1712580</v>
      </c>
      <c r="K396" s="1264">
        <f t="shared" si="98"/>
        <v>1896180</v>
      </c>
      <c r="L396" s="1264">
        <f t="shared" si="98"/>
        <v>2146080</v>
      </c>
      <c r="M396" s="1264">
        <f t="shared" si="98"/>
        <v>2146080</v>
      </c>
      <c r="N396" s="79"/>
      <c r="O396" s="462"/>
    </row>
    <row r="397" spans="1:15">
      <c r="A397" s="648">
        <f>ROW()</f>
        <v>397</v>
      </c>
      <c r="B397" s="79"/>
      <c r="C397" s="202"/>
      <c r="D397" s="79"/>
      <c r="E397" s="79"/>
      <c r="F397" s="79"/>
      <c r="G397" s="909"/>
      <c r="H397" s="910"/>
      <c r="I397" s="910"/>
      <c r="J397" s="910"/>
      <c r="K397" s="910"/>
      <c r="L397" s="910"/>
      <c r="M397" s="910"/>
      <c r="N397" s="84"/>
      <c r="O397" s="462"/>
    </row>
    <row r="398" spans="1:15" ht="15.6">
      <c r="A398" s="648">
        <f>ROW()</f>
        <v>398</v>
      </c>
      <c r="B398" s="1227" t="s">
        <v>408</v>
      </c>
      <c r="C398" s="1228"/>
      <c r="D398" s="1227"/>
      <c r="E398" s="1227"/>
      <c r="F398" s="1227"/>
      <c r="G398" s="1229"/>
      <c r="H398" s="1230"/>
      <c r="I398" s="1230"/>
      <c r="J398" s="1230"/>
      <c r="K398" s="1230"/>
      <c r="L398" s="1230"/>
      <c r="M398" s="1230"/>
      <c r="N398" s="283"/>
      <c r="O398" s="462"/>
    </row>
    <row r="399" spans="1:15" ht="15.6">
      <c r="A399" s="648">
        <f>ROW()</f>
        <v>399</v>
      </c>
      <c r="B399" s="164"/>
      <c r="C399" s="203"/>
      <c r="D399" s="164"/>
      <c r="E399" s="164"/>
      <c r="F399" s="164"/>
      <c r="G399" s="909"/>
      <c r="H399" s="910"/>
      <c r="I399" s="910"/>
      <c r="J399" s="910"/>
      <c r="K399" s="910"/>
      <c r="L399" s="910"/>
      <c r="M399" s="910"/>
      <c r="N399" s="283"/>
      <c r="O399" s="462"/>
    </row>
    <row r="400" spans="1:15" ht="15.6">
      <c r="A400" s="648">
        <f>ROW()</f>
        <v>400</v>
      </c>
      <c r="B400" s="1284" t="s">
        <v>409</v>
      </c>
      <c r="C400" s="1285"/>
      <c r="D400" s="1284"/>
      <c r="E400" s="1284"/>
      <c r="F400" s="1284"/>
      <c r="G400" s="1286"/>
      <c r="H400" s="1287"/>
      <c r="I400" s="1287"/>
      <c r="J400" s="1287"/>
      <c r="K400" s="1287"/>
      <c r="L400" s="1287"/>
      <c r="M400" s="1287"/>
      <c r="N400" s="283"/>
      <c r="O400" s="462"/>
    </row>
    <row r="401" spans="1:15" ht="15.6">
      <c r="A401" s="648">
        <f>ROW()</f>
        <v>401</v>
      </c>
      <c r="B401" s="196" t="s">
        <v>498</v>
      </c>
      <c r="C401" s="263"/>
      <c r="D401" s="196"/>
      <c r="E401" s="193"/>
      <c r="F401" s="193"/>
      <c r="G401" s="911">
        <f t="shared" ref="G401:M401" si="99">IFERROR((G23*$C$58*((1+$C$68)^(G$10-$G$10))),0)</f>
        <v>7800</v>
      </c>
      <c r="H401" s="1203">
        <f t="shared" si="99"/>
        <v>105417</v>
      </c>
      <c r="I401" s="911">
        <f t="shared" si="99"/>
        <v>194762.88</v>
      </c>
      <c r="J401" s="911">
        <f t="shared" si="99"/>
        <v>297987.20639999997</v>
      </c>
      <c r="K401" s="911">
        <f t="shared" si="99"/>
        <v>337718.83392</v>
      </c>
      <c r="L401" s="911">
        <f t="shared" si="99"/>
        <v>387532.36192320002</v>
      </c>
      <c r="M401" s="911">
        <f t="shared" si="99"/>
        <v>395283.009161664</v>
      </c>
      <c r="N401" s="283"/>
      <c r="O401" s="462"/>
    </row>
    <row r="402" spans="1:15" ht="15.6">
      <c r="A402" s="648">
        <f>ROW()</f>
        <v>402</v>
      </c>
      <c r="B402" s="160"/>
      <c r="C402" s="204"/>
      <c r="D402" s="161"/>
      <c r="E402" s="160"/>
      <c r="F402" s="160"/>
      <c r="G402" s="149"/>
      <c r="H402" s="149"/>
      <c r="I402" s="149"/>
      <c r="J402" s="149"/>
      <c r="K402" s="149"/>
      <c r="L402" s="149"/>
      <c r="M402" s="149"/>
      <c r="N402" s="283"/>
      <c r="O402" s="462"/>
    </row>
    <row r="403" spans="1:15" ht="15.6">
      <c r="A403" s="648">
        <f>ROW()</f>
        <v>403</v>
      </c>
      <c r="B403" s="1284" t="s">
        <v>1257</v>
      </c>
      <c r="C403" s="1285"/>
      <c r="D403" s="1284"/>
      <c r="E403" s="1284"/>
      <c r="F403" s="1284"/>
      <c r="G403" s="1286"/>
      <c r="H403" s="1287"/>
      <c r="I403" s="1287"/>
      <c r="J403" s="1287"/>
      <c r="K403" s="1287"/>
      <c r="L403" s="1287"/>
      <c r="M403" s="1287"/>
      <c r="N403" s="283"/>
      <c r="O403" s="462"/>
    </row>
    <row r="404" spans="1:15" ht="15.6">
      <c r="A404" s="648">
        <f>ROW()</f>
        <v>404</v>
      </c>
      <c r="B404" s="264" t="s">
        <v>499</v>
      </c>
      <c r="C404" s="265"/>
      <c r="D404" s="264"/>
      <c r="E404" s="266"/>
      <c r="F404" s="266"/>
      <c r="G404" s="912">
        <f t="shared" ref="G404:M404" si="100">G396*$C$59</f>
        <v>1479</v>
      </c>
      <c r="H404" s="912">
        <f t="shared" si="100"/>
        <v>9691.1475000000009</v>
      </c>
      <c r="I404" s="912">
        <f t="shared" si="100"/>
        <v>16550.010000000002</v>
      </c>
      <c r="J404" s="912">
        <f t="shared" si="100"/>
        <v>24832.41</v>
      </c>
      <c r="K404" s="912">
        <f t="shared" si="100"/>
        <v>27494.61</v>
      </c>
      <c r="L404" s="912">
        <f t="shared" si="100"/>
        <v>31118.16</v>
      </c>
      <c r="M404" s="912">
        <f t="shared" si="100"/>
        <v>31118.16</v>
      </c>
      <c r="N404" s="283"/>
      <c r="O404" s="462"/>
    </row>
    <row r="405" spans="1:15" ht="15.6">
      <c r="A405" s="648">
        <f>ROW()</f>
        <v>405</v>
      </c>
      <c r="B405" s="160"/>
      <c r="C405" s="204"/>
      <c r="D405" s="161"/>
      <c r="E405" s="160"/>
      <c r="F405" s="160"/>
      <c r="G405" s="913"/>
      <c r="H405" s="913"/>
      <c r="I405" s="913"/>
      <c r="J405" s="913"/>
      <c r="K405" s="913"/>
      <c r="L405" s="913"/>
      <c r="M405" s="913"/>
      <c r="N405" s="283"/>
      <c r="O405" s="462"/>
    </row>
    <row r="406" spans="1:15" ht="15.6">
      <c r="A406" s="648">
        <f>ROW()</f>
        <v>406</v>
      </c>
      <c r="B406" s="1284" t="s">
        <v>500</v>
      </c>
      <c r="C406" s="1285"/>
      <c r="D406" s="1284"/>
      <c r="E406" s="1284"/>
      <c r="F406" s="1284"/>
      <c r="G406" s="1286"/>
      <c r="H406" s="1287"/>
      <c r="I406" s="1287"/>
      <c r="J406" s="1287"/>
      <c r="K406" s="1287"/>
      <c r="L406" s="1287"/>
      <c r="M406" s="1287"/>
      <c r="N406" s="283"/>
      <c r="O406" s="462"/>
    </row>
    <row r="407" spans="1:15" ht="15.6">
      <c r="A407" s="648">
        <f>ROW()</f>
        <v>407</v>
      </c>
      <c r="B407" s="264" t="s">
        <v>501</v>
      </c>
      <c r="C407" s="265"/>
      <c r="D407" s="264"/>
      <c r="E407" s="247"/>
      <c r="F407" s="247"/>
      <c r="G407" s="911">
        <f t="shared" ref="G407:M407" si="101">G396*$C$60</f>
        <v>15810</v>
      </c>
      <c r="H407" s="911">
        <f t="shared" si="101"/>
        <v>103595.02499999999</v>
      </c>
      <c r="I407" s="911">
        <f t="shared" si="101"/>
        <v>176913.9</v>
      </c>
      <c r="J407" s="911">
        <f t="shared" si="101"/>
        <v>265449.90000000002</v>
      </c>
      <c r="K407" s="911">
        <f t="shared" si="101"/>
        <v>293907.90000000002</v>
      </c>
      <c r="L407" s="911">
        <f t="shared" si="101"/>
        <v>332642.40000000002</v>
      </c>
      <c r="M407" s="911">
        <f t="shared" si="101"/>
        <v>332642.40000000002</v>
      </c>
      <c r="N407" s="283"/>
      <c r="O407" s="462" t="s">
        <v>1526</v>
      </c>
    </row>
    <row r="408" spans="1:15" ht="15.6">
      <c r="A408" s="648">
        <f>ROW()</f>
        <v>408</v>
      </c>
      <c r="B408" s="160"/>
      <c r="C408" s="204"/>
      <c r="D408" s="161"/>
      <c r="E408" s="160"/>
      <c r="F408" s="160"/>
      <c r="G408" s="909"/>
      <c r="H408" s="841"/>
      <c r="I408" s="841"/>
      <c r="J408" s="841"/>
      <c r="K408" s="841"/>
      <c r="L408" s="841"/>
      <c r="M408" s="841"/>
      <c r="N408" s="283"/>
      <c r="O408" s="462"/>
    </row>
    <row r="409" spans="1:15" ht="15.6">
      <c r="A409" s="648">
        <f>ROW()</f>
        <v>409</v>
      </c>
      <c r="B409" s="1284" t="s">
        <v>432</v>
      </c>
      <c r="C409" s="1285"/>
      <c r="D409" s="1284"/>
      <c r="E409" s="1284"/>
      <c r="F409" s="1284"/>
      <c r="G409" s="1286"/>
      <c r="H409" s="1287"/>
      <c r="I409" s="1287"/>
      <c r="J409" s="1287"/>
      <c r="K409" s="1287"/>
      <c r="L409" s="1287"/>
      <c r="M409" s="1287"/>
      <c r="N409" s="283"/>
      <c r="O409" s="462"/>
    </row>
    <row r="410" spans="1:15" ht="15.6">
      <c r="A410" s="648">
        <f>ROW()</f>
        <v>410</v>
      </c>
      <c r="B410" s="264" t="s">
        <v>502</v>
      </c>
      <c r="C410" s="265"/>
      <c r="D410" s="264"/>
      <c r="E410" s="266"/>
      <c r="F410" s="266"/>
      <c r="G410" s="911">
        <f t="shared" ref="G410:M410" si="102">G396*$C$61</f>
        <v>153</v>
      </c>
      <c r="H410" s="911">
        <f t="shared" si="102"/>
        <v>1002.5325</v>
      </c>
      <c r="I410" s="911">
        <f t="shared" si="102"/>
        <v>1712.07</v>
      </c>
      <c r="J410" s="911">
        <f t="shared" si="102"/>
        <v>2568.87</v>
      </c>
      <c r="K410" s="911">
        <f t="shared" si="102"/>
        <v>2844.27</v>
      </c>
      <c r="L410" s="911">
        <f t="shared" si="102"/>
        <v>3219.12</v>
      </c>
      <c r="M410" s="911">
        <f t="shared" si="102"/>
        <v>3219.12</v>
      </c>
      <c r="N410" s="283"/>
      <c r="O410" s="462"/>
    </row>
    <row r="411" spans="1:15" ht="15.6">
      <c r="A411" s="648">
        <f>ROW()</f>
        <v>411</v>
      </c>
      <c r="B411" s="218"/>
      <c r="C411" s="206"/>
      <c r="D411" s="218"/>
      <c r="E411" s="79"/>
      <c r="F411" s="79"/>
      <c r="G411" s="689"/>
      <c r="H411" s="854"/>
      <c r="I411" s="854"/>
      <c r="J411" s="854"/>
      <c r="K411" s="854"/>
      <c r="L411" s="854"/>
      <c r="M411" s="854"/>
      <c r="N411" s="283"/>
      <c r="O411" s="462"/>
    </row>
    <row r="412" spans="1:15" ht="15.6">
      <c r="A412" s="648">
        <f>ROW()</f>
        <v>412</v>
      </c>
      <c r="B412" s="1284" t="s">
        <v>503</v>
      </c>
      <c r="C412" s="1285"/>
      <c r="D412" s="1284"/>
      <c r="E412" s="1284"/>
      <c r="F412" s="1284"/>
      <c r="G412" s="1286"/>
      <c r="H412" s="1287"/>
      <c r="I412" s="1287"/>
      <c r="J412" s="1287"/>
      <c r="K412" s="1287"/>
      <c r="L412" s="1287"/>
      <c r="M412" s="1287"/>
      <c r="N412" s="283"/>
      <c r="O412" s="462"/>
    </row>
    <row r="413" spans="1:15" ht="15.6">
      <c r="A413" s="648">
        <f>ROW()</f>
        <v>413</v>
      </c>
      <c r="B413" s="262" t="s">
        <v>504</v>
      </c>
      <c r="C413" s="263"/>
      <c r="D413" s="196"/>
      <c r="E413" s="193"/>
      <c r="F413" s="193"/>
      <c r="G413" s="911">
        <f t="shared" ref="G413:M413" si="103">G23*$C$62</f>
        <v>0</v>
      </c>
      <c r="H413" s="911">
        <f t="shared" si="103"/>
        <v>0</v>
      </c>
      <c r="I413" s="911">
        <f t="shared" si="103"/>
        <v>0</v>
      </c>
      <c r="J413" s="911">
        <f t="shared" si="103"/>
        <v>0</v>
      </c>
      <c r="K413" s="911">
        <f t="shared" si="103"/>
        <v>0</v>
      </c>
      <c r="L413" s="911">
        <f t="shared" si="103"/>
        <v>0</v>
      </c>
      <c r="M413" s="911">
        <f t="shared" si="103"/>
        <v>0</v>
      </c>
      <c r="N413" s="283"/>
      <c r="O413" s="462"/>
    </row>
    <row r="414" spans="1:15" ht="15.6">
      <c r="A414" s="648">
        <f>ROW()</f>
        <v>414</v>
      </c>
      <c r="B414" s="218"/>
      <c r="C414" s="206"/>
      <c r="D414" s="218"/>
      <c r="E414" s="79"/>
      <c r="F414" s="79"/>
      <c r="G414" s="689"/>
      <c r="H414" s="854"/>
      <c r="I414" s="854"/>
      <c r="J414" s="854"/>
      <c r="K414" s="854"/>
      <c r="L414" s="854"/>
      <c r="M414" s="854"/>
      <c r="N414" s="283"/>
      <c r="O414" s="462"/>
    </row>
    <row r="415" spans="1:15" ht="15.6">
      <c r="A415" s="648">
        <f>ROW()</f>
        <v>415</v>
      </c>
      <c r="B415" s="1284" t="s">
        <v>505</v>
      </c>
      <c r="C415" s="1285"/>
      <c r="D415" s="1284"/>
      <c r="E415" s="1284"/>
      <c r="F415" s="1284"/>
      <c r="G415" s="1286"/>
      <c r="H415" s="1287"/>
      <c r="I415" s="1287"/>
      <c r="J415" s="1287"/>
      <c r="K415" s="1287"/>
      <c r="L415" s="1287"/>
      <c r="M415" s="1287"/>
      <c r="N415" s="283"/>
      <c r="O415" s="462"/>
    </row>
    <row r="416" spans="1:15" ht="15.6">
      <c r="A416" s="648">
        <f>ROW()</f>
        <v>416</v>
      </c>
      <c r="B416" s="196" t="s">
        <v>506</v>
      </c>
      <c r="C416" s="263"/>
      <c r="D416" s="196"/>
      <c r="E416" s="193"/>
      <c r="F416" s="193"/>
      <c r="G416" s="911">
        <f t="shared" ref="G416:M416" si="104">G23*$C$63</f>
        <v>1098</v>
      </c>
      <c r="H416" s="911">
        <f t="shared" si="104"/>
        <v>14548.5</v>
      </c>
      <c r="I416" s="911">
        <f t="shared" si="104"/>
        <v>26352</v>
      </c>
      <c r="J416" s="911">
        <f t="shared" si="104"/>
        <v>39528</v>
      </c>
      <c r="K416" s="911">
        <f t="shared" si="104"/>
        <v>43920</v>
      </c>
      <c r="L416" s="911">
        <f t="shared" si="104"/>
        <v>49410</v>
      </c>
      <c r="M416" s="911">
        <f t="shared" si="104"/>
        <v>49410</v>
      </c>
      <c r="N416" s="283"/>
      <c r="O416" s="462"/>
    </row>
    <row r="417" spans="1:15">
      <c r="A417" s="648">
        <f>ROW()</f>
        <v>417</v>
      </c>
      <c r="B417" s="139"/>
      <c r="C417" s="205"/>
      <c r="D417" s="139"/>
      <c r="E417" s="144"/>
      <c r="F417" s="144"/>
      <c r="G417" s="686"/>
      <c r="H417" s="686"/>
      <c r="I417" s="686"/>
      <c r="J417" s="686"/>
      <c r="K417" s="686"/>
      <c r="L417" s="686"/>
      <c r="M417" s="686"/>
      <c r="N417" s="40"/>
      <c r="O417" s="462"/>
    </row>
    <row r="418" spans="1:15" ht="15.6">
      <c r="A418" s="648">
        <f>ROW()</f>
        <v>418</v>
      </c>
      <c r="B418" s="1284" t="s">
        <v>507</v>
      </c>
      <c r="C418" s="1285"/>
      <c r="D418" s="1284"/>
      <c r="E418" s="1284"/>
      <c r="F418" s="1284"/>
      <c r="G418" s="1286"/>
      <c r="H418" s="1287"/>
      <c r="I418" s="1287"/>
      <c r="J418" s="1287"/>
      <c r="K418" s="1287"/>
      <c r="L418" s="1287"/>
      <c r="M418" s="1287"/>
      <c r="N418" s="40"/>
      <c r="O418" s="462"/>
    </row>
    <row r="419" spans="1:15">
      <c r="A419" s="648">
        <f>ROW()</f>
        <v>419</v>
      </c>
      <c r="B419" s="196" t="s">
        <v>508</v>
      </c>
      <c r="C419" s="263"/>
      <c r="D419" s="196"/>
      <c r="E419" s="193"/>
      <c r="F419" s="193"/>
      <c r="G419" s="912">
        <f t="shared" ref="G419:M419" si="105">G23*$C$64</f>
        <v>318.60000000000002</v>
      </c>
      <c r="H419" s="912">
        <f t="shared" si="105"/>
        <v>4221.4500000000007</v>
      </c>
      <c r="I419" s="912">
        <f t="shared" si="105"/>
        <v>7646.4000000000005</v>
      </c>
      <c r="J419" s="912">
        <f t="shared" si="105"/>
        <v>11469.6</v>
      </c>
      <c r="K419" s="912">
        <f t="shared" si="105"/>
        <v>12744</v>
      </c>
      <c r="L419" s="912">
        <f t="shared" si="105"/>
        <v>14337.000000000002</v>
      </c>
      <c r="M419" s="912">
        <f t="shared" si="105"/>
        <v>14337.000000000002</v>
      </c>
      <c r="N419" s="40"/>
      <c r="O419" s="462"/>
    </row>
    <row r="420" spans="1:15" ht="14.4" thickBot="1">
      <c r="A420" s="648">
        <f>ROW()</f>
        <v>420</v>
      </c>
      <c r="B420" s="144"/>
      <c r="C420" s="208"/>
      <c r="D420" s="144"/>
      <c r="E420" s="94"/>
      <c r="F420" s="94"/>
      <c r="G420" s="687"/>
      <c r="H420" s="868"/>
      <c r="I420" s="868"/>
      <c r="J420" s="868"/>
      <c r="K420" s="868"/>
      <c r="L420" s="868"/>
      <c r="M420" s="868"/>
      <c r="N420" s="40"/>
      <c r="O420" s="462"/>
    </row>
    <row r="421" spans="1:15" ht="14.4" thickBot="1">
      <c r="A421" s="648">
        <f>ROW()</f>
        <v>421</v>
      </c>
      <c r="B421" s="1262" t="s">
        <v>509</v>
      </c>
      <c r="C421" s="1263"/>
      <c r="D421" s="1288"/>
      <c r="E421" s="1288"/>
      <c r="F421" s="1288"/>
      <c r="G421" s="1264">
        <f t="shared" ref="G421:M421" si="106">G416+G413+G410+G407+G404+G401+G419</f>
        <v>26658.6</v>
      </c>
      <c r="H421" s="1264">
        <f t="shared" si="106"/>
        <v>238475.65500000003</v>
      </c>
      <c r="I421" s="1264">
        <f t="shared" si="106"/>
        <v>423937.26</v>
      </c>
      <c r="J421" s="1264">
        <f t="shared" si="106"/>
        <v>641835.98639999994</v>
      </c>
      <c r="K421" s="1264">
        <f t="shared" si="106"/>
        <v>718629.61392000003</v>
      </c>
      <c r="L421" s="1264">
        <f t="shared" si="106"/>
        <v>818259.04192320001</v>
      </c>
      <c r="M421" s="1264">
        <f t="shared" si="106"/>
        <v>826009.68916166399</v>
      </c>
      <c r="N421" s="40"/>
      <c r="O421" s="462"/>
    </row>
    <row r="422" spans="1:15">
      <c r="A422" s="648">
        <f>ROW()</f>
        <v>422</v>
      </c>
      <c r="B422" s="141" t="s">
        <v>510</v>
      </c>
      <c r="C422" s="209"/>
      <c r="D422" s="141"/>
      <c r="E422" s="141"/>
      <c r="F422" s="141"/>
      <c r="G422" s="914">
        <f>IFERROR(G421/G396,0)</f>
        <v>0.26135882352941175</v>
      </c>
      <c r="H422" s="914">
        <f t="shared" ref="H422:M422" si="107">IF(OR(H421=0,H396=0),0,H421/H396)</f>
        <v>0.35680986152568622</v>
      </c>
      <c r="I422" s="914">
        <f t="shared" si="107"/>
        <v>0.37142516953161964</v>
      </c>
      <c r="J422" s="914">
        <f t="shared" si="107"/>
        <v>0.37477722874259883</v>
      </c>
      <c r="K422" s="914">
        <f t="shared" si="107"/>
        <v>0.37898807809385188</v>
      </c>
      <c r="L422" s="914">
        <f t="shared" si="107"/>
        <v>0.38128077328114518</v>
      </c>
      <c r="M422" s="914">
        <f t="shared" si="107"/>
        <v>0.38489231024084097</v>
      </c>
      <c r="N422" s="117"/>
      <c r="O422" s="462"/>
    </row>
    <row r="423" spans="1:15">
      <c r="A423" s="648">
        <f>ROW()</f>
        <v>423</v>
      </c>
      <c r="C423" s="210"/>
      <c r="G423" s="62"/>
      <c r="H423" s="62"/>
      <c r="I423" s="62"/>
      <c r="J423" s="62"/>
      <c r="K423" s="62"/>
      <c r="L423" s="62"/>
      <c r="M423" s="62"/>
      <c r="N423" s="40"/>
      <c r="O423" s="462"/>
    </row>
    <row r="424" spans="1:15">
      <c r="A424" s="648">
        <f>ROW()</f>
        <v>424</v>
      </c>
      <c r="B424" s="1805" t="s">
        <v>511</v>
      </c>
      <c r="C424" s="1806"/>
      <c r="D424" s="1807"/>
      <c r="E424" s="1807"/>
      <c r="F424" s="1807"/>
      <c r="G424" s="1808"/>
      <c r="H424" s="1808"/>
      <c r="I424" s="1808"/>
      <c r="J424" s="1808"/>
      <c r="K424" s="1808"/>
      <c r="L424" s="1808"/>
      <c r="M424" s="1808"/>
      <c r="N424" s="40"/>
      <c r="O424" s="462"/>
    </row>
    <row r="425" spans="1:15">
      <c r="A425" s="648">
        <f>ROW()</f>
        <v>425</v>
      </c>
      <c r="C425" s="210" t="s">
        <v>1258</v>
      </c>
      <c r="G425" s="62"/>
      <c r="H425" s="62"/>
      <c r="I425" s="62"/>
      <c r="J425" s="62"/>
      <c r="K425" s="62"/>
      <c r="L425" s="62"/>
      <c r="M425" s="62"/>
      <c r="N425" s="40"/>
      <c r="O425" s="462"/>
    </row>
    <row r="426" spans="1:15">
      <c r="A426" s="648">
        <f>ROW()</f>
        <v>426</v>
      </c>
      <c r="B426" s="75" t="s">
        <v>1276</v>
      </c>
      <c r="C426" s="1989"/>
      <c r="D426" s="416"/>
      <c r="E426" s="416"/>
      <c r="F426" s="416"/>
      <c r="G426" s="1990"/>
      <c r="H426" s="1990"/>
      <c r="I426" s="1990"/>
      <c r="J426" s="1990"/>
      <c r="K426" s="1990"/>
      <c r="L426" s="1990"/>
      <c r="M426" s="1990"/>
      <c r="N426" s="40"/>
      <c r="O426" s="462"/>
    </row>
    <row r="427" spans="1:15">
      <c r="A427" s="648">
        <f>ROW()</f>
        <v>427</v>
      </c>
      <c r="B427" s="75" t="s">
        <v>1269</v>
      </c>
      <c r="C427" s="1989"/>
      <c r="D427" s="416"/>
      <c r="E427" s="416"/>
      <c r="F427" s="416"/>
      <c r="G427" s="905">
        <v>0</v>
      </c>
      <c r="H427" s="905">
        <v>0</v>
      </c>
      <c r="I427" s="905">
        <v>0</v>
      </c>
      <c r="J427" s="905">
        <v>0</v>
      </c>
      <c r="K427" s="905">
        <v>0</v>
      </c>
      <c r="L427" s="905">
        <v>0</v>
      </c>
      <c r="M427" s="905">
        <v>0</v>
      </c>
      <c r="N427" s="40"/>
      <c r="O427" s="462"/>
    </row>
    <row r="428" spans="1:15">
      <c r="A428" s="648">
        <f>ROW()</f>
        <v>428</v>
      </c>
      <c r="B428" s="75" t="s">
        <v>512</v>
      </c>
      <c r="C428" s="211">
        <v>0</v>
      </c>
      <c r="D428" s="416"/>
      <c r="E428" s="416"/>
      <c r="F428" s="416"/>
      <c r="G428" s="1991">
        <f t="shared" ref="G428:M428" si="108">$C$428*G427</f>
        <v>0</v>
      </c>
      <c r="H428" s="1991">
        <f t="shared" si="108"/>
        <v>0</v>
      </c>
      <c r="I428" s="1991">
        <f t="shared" si="108"/>
        <v>0</v>
      </c>
      <c r="J428" s="1991">
        <f t="shared" si="108"/>
        <v>0</v>
      </c>
      <c r="K428" s="1991">
        <f t="shared" si="108"/>
        <v>0</v>
      </c>
      <c r="L428" s="1991">
        <f t="shared" si="108"/>
        <v>0</v>
      </c>
      <c r="M428" s="1991">
        <f t="shared" si="108"/>
        <v>0</v>
      </c>
      <c r="N428" s="40"/>
      <c r="O428" s="462"/>
    </row>
    <row r="429" spans="1:15">
      <c r="A429" s="648">
        <f>ROW()</f>
        <v>429</v>
      </c>
      <c r="C429" s="1992"/>
      <c r="D429" s="1993"/>
      <c r="E429" s="416"/>
      <c r="F429" s="416"/>
      <c r="G429" s="1994"/>
      <c r="H429" s="1994"/>
      <c r="I429" s="1994"/>
      <c r="J429" s="1994"/>
      <c r="K429" s="1994"/>
      <c r="L429" s="1994"/>
      <c r="M429" s="1994"/>
      <c r="N429" s="40"/>
      <c r="O429" s="462"/>
    </row>
    <row r="430" spans="1:15">
      <c r="A430" s="648">
        <f>ROW()</f>
        <v>430</v>
      </c>
      <c r="B430" s="75" t="s">
        <v>1277</v>
      </c>
      <c r="C430" s="1989"/>
      <c r="D430" s="416"/>
      <c r="E430" s="416"/>
      <c r="F430" s="416"/>
      <c r="G430" s="1994"/>
      <c r="H430" s="1994"/>
      <c r="I430" s="1994"/>
      <c r="J430" s="1994"/>
      <c r="K430" s="1994"/>
      <c r="L430" s="1994"/>
      <c r="M430" s="1994"/>
      <c r="N430" s="40"/>
      <c r="O430" s="462"/>
    </row>
    <row r="431" spans="1:15">
      <c r="A431" s="648">
        <f>ROW()</f>
        <v>431</v>
      </c>
      <c r="B431" s="75" t="s">
        <v>513</v>
      </c>
      <c r="C431" s="1989"/>
      <c r="D431" s="416"/>
      <c r="E431" s="416"/>
      <c r="F431" s="416"/>
      <c r="G431" s="906">
        <v>0</v>
      </c>
      <c r="H431" s="906">
        <v>0</v>
      </c>
      <c r="I431" s="906">
        <v>0</v>
      </c>
      <c r="J431" s="906">
        <v>0</v>
      </c>
      <c r="K431" s="906">
        <v>0</v>
      </c>
      <c r="L431" s="906">
        <v>0</v>
      </c>
      <c r="M431" s="906">
        <v>0</v>
      </c>
      <c r="N431" s="40"/>
      <c r="O431" s="462"/>
    </row>
    <row r="432" spans="1:15">
      <c r="A432" s="648">
        <f>ROW()</f>
        <v>432</v>
      </c>
      <c r="B432" s="75" t="s">
        <v>512</v>
      </c>
      <c r="C432" s="211">
        <v>0</v>
      </c>
      <c r="D432" s="416"/>
      <c r="E432" s="416"/>
      <c r="F432" s="416"/>
      <c r="G432" s="1991">
        <f t="shared" ref="G432:M432" si="109">$C$432*G431</f>
        <v>0</v>
      </c>
      <c r="H432" s="1991">
        <f t="shared" si="109"/>
        <v>0</v>
      </c>
      <c r="I432" s="1991">
        <f t="shared" si="109"/>
        <v>0</v>
      </c>
      <c r="J432" s="1991">
        <f t="shared" si="109"/>
        <v>0</v>
      </c>
      <c r="K432" s="1991">
        <f t="shared" si="109"/>
        <v>0</v>
      </c>
      <c r="L432" s="1991">
        <f t="shared" si="109"/>
        <v>0</v>
      </c>
      <c r="M432" s="1991">
        <f t="shared" si="109"/>
        <v>0</v>
      </c>
      <c r="N432" s="40"/>
      <c r="O432" s="462"/>
    </row>
    <row r="433" spans="1:15">
      <c r="A433" s="648">
        <f>ROW()</f>
        <v>433</v>
      </c>
      <c r="C433" s="1989"/>
      <c r="D433" s="416"/>
      <c r="E433" s="416"/>
      <c r="F433" s="416"/>
      <c r="G433" s="1994"/>
      <c r="H433" s="1994"/>
      <c r="I433" s="1994"/>
      <c r="J433" s="1994"/>
      <c r="K433" s="1994"/>
      <c r="L433" s="1994"/>
      <c r="M433" s="1994"/>
      <c r="N433" s="40"/>
      <c r="O433" s="462"/>
    </row>
    <row r="434" spans="1:15">
      <c r="A434" s="648">
        <f>ROW()</f>
        <v>434</v>
      </c>
      <c r="B434" s="75" t="s">
        <v>1278</v>
      </c>
      <c r="C434" s="1989"/>
      <c r="D434" s="416"/>
      <c r="E434" s="416"/>
      <c r="F434" s="416"/>
      <c r="G434" s="1994"/>
      <c r="H434" s="1994"/>
      <c r="I434" s="1994"/>
      <c r="J434" s="1994"/>
      <c r="K434" s="1994"/>
      <c r="L434" s="1994"/>
      <c r="M434" s="1994"/>
      <c r="N434" s="40"/>
      <c r="O434" s="462"/>
    </row>
    <row r="435" spans="1:15">
      <c r="A435" s="648">
        <f>ROW()</f>
        <v>435</v>
      </c>
      <c r="B435" s="75" t="s">
        <v>513</v>
      </c>
      <c r="C435" s="1989"/>
      <c r="D435" s="416"/>
      <c r="E435" s="416"/>
      <c r="F435" s="416"/>
      <c r="G435" s="906">
        <v>0</v>
      </c>
      <c r="H435" s="906">
        <v>0</v>
      </c>
      <c r="I435" s="906">
        <v>0</v>
      </c>
      <c r="J435" s="906">
        <v>0</v>
      </c>
      <c r="K435" s="906">
        <v>0</v>
      </c>
      <c r="L435" s="906">
        <v>0</v>
      </c>
      <c r="M435" s="906">
        <v>0</v>
      </c>
      <c r="N435" s="40"/>
      <c r="O435" s="462"/>
    </row>
    <row r="436" spans="1:15">
      <c r="A436" s="648">
        <f>ROW()</f>
        <v>436</v>
      </c>
      <c r="B436" s="75" t="s">
        <v>512</v>
      </c>
      <c r="C436" s="211">
        <v>0</v>
      </c>
      <c r="D436" s="416"/>
      <c r="E436" s="416"/>
      <c r="F436" s="416"/>
      <c r="G436" s="1991">
        <f>$C$436*G435</f>
        <v>0</v>
      </c>
      <c r="H436" s="1991">
        <f>$C$436*H435</f>
        <v>0</v>
      </c>
      <c r="I436" s="1991">
        <f>$C$436*I435</f>
        <v>0</v>
      </c>
      <c r="J436" s="1991">
        <f>I436*' Enrol &amp; Rev'!$C$91</f>
        <v>0</v>
      </c>
      <c r="K436" s="1991">
        <f>J436*' Enrol &amp; Rev'!$C$91</f>
        <v>0</v>
      </c>
      <c r="L436" s="1991">
        <f>K436*' Enrol &amp; Rev'!$C$91</f>
        <v>0</v>
      </c>
      <c r="M436" s="1991">
        <f>L436*' Enrol &amp; Rev'!$C$91</f>
        <v>0</v>
      </c>
      <c r="N436" s="40"/>
      <c r="O436" s="462"/>
    </row>
    <row r="437" spans="1:15">
      <c r="A437" s="648">
        <f>ROW()</f>
        <v>437</v>
      </c>
      <c r="C437" s="1989"/>
      <c r="D437" s="416"/>
      <c r="E437" s="416"/>
      <c r="F437" s="416"/>
      <c r="G437" s="1994"/>
      <c r="H437" s="1994"/>
      <c r="I437" s="1994"/>
      <c r="J437" s="1994"/>
      <c r="K437" s="1994"/>
      <c r="L437" s="1994"/>
      <c r="M437" s="1994"/>
      <c r="N437" s="40"/>
      <c r="O437" s="462"/>
    </row>
    <row r="438" spans="1:15">
      <c r="A438" s="648">
        <f>ROW()</f>
        <v>438</v>
      </c>
      <c r="B438" s="75" t="s">
        <v>1279</v>
      </c>
      <c r="C438" s="1989"/>
      <c r="D438" s="416"/>
      <c r="E438" s="416"/>
      <c r="F438" s="416"/>
      <c r="G438" s="1994"/>
      <c r="H438" s="1994"/>
      <c r="I438" s="1994"/>
      <c r="J438" s="1994"/>
      <c r="K438" s="1994"/>
      <c r="L438" s="1994"/>
      <c r="M438" s="1994"/>
      <c r="N438" s="40"/>
      <c r="O438" s="462"/>
    </row>
    <row r="439" spans="1:15">
      <c r="A439" s="648">
        <f>ROW()</f>
        <v>439</v>
      </c>
      <c r="B439" s="75" t="s">
        <v>513</v>
      </c>
      <c r="C439" s="1989"/>
      <c r="D439" s="416"/>
      <c r="E439" s="416"/>
      <c r="F439" s="416"/>
      <c r="G439" s="906">
        <v>0</v>
      </c>
      <c r="H439" s="906">
        <v>0</v>
      </c>
      <c r="I439" s="906">
        <v>0</v>
      </c>
      <c r="J439" s="906">
        <v>0</v>
      </c>
      <c r="K439" s="906">
        <v>0</v>
      </c>
      <c r="L439" s="906">
        <v>0</v>
      </c>
      <c r="M439" s="906">
        <v>0</v>
      </c>
      <c r="N439" s="40"/>
      <c r="O439" s="462"/>
    </row>
    <row r="440" spans="1:15">
      <c r="A440" s="648">
        <f>ROW()</f>
        <v>440</v>
      </c>
      <c r="B440" s="75" t="s">
        <v>512</v>
      </c>
      <c r="C440" s="211">
        <v>0</v>
      </c>
      <c r="D440" s="416"/>
      <c r="E440" s="416"/>
      <c r="F440" s="416"/>
      <c r="G440" s="1991">
        <f t="shared" ref="G440:M440" si="110">$C$440*G439</f>
        <v>0</v>
      </c>
      <c r="H440" s="1991">
        <f t="shared" si="110"/>
        <v>0</v>
      </c>
      <c r="I440" s="1991">
        <f t="shared" si="110"/>
        <v>0</v>
      </c>
      <c r="J440" s="1991">
        <f t="shared" si="110"/>
        <v>0</v>
      </c>
      <c r="K440" s="1991">
        <f t="shared" si="110"/>
        <v>0</v>
      </c>
      <c r="L440" s="1991">
        <f t="shared" si="110"/>
        <v>0</v>
      </c>
      <c r="M440" s="1991">
        <f t="shared" si="110"/>
        <v>0</v>
      </c>
      <c r="N440" s="40"/>
      <c r="O440" s="462"/>
    </row>
    <row r="441" spans="1:15">
      <c r="A441" s="648">
        <f>ROW()</f>
        <v>441</v>
      </c>
      <c r="C441" s="1989"/>
      <c r="D441" s="416"/>
      <c r="E441" s="416"/>
      <c r="F441" s="416"/>
      <c r="G441" s="1994"/>
      <c r="H441" s="1994"/>
      <c r="I441" s="1994"/>
      <c r="J441" s="1994"/>
      <c r="K441" s="1994"/>
      <c r="L441" s="1994"/>
      <c r="M441" s="1994"/>
      <c r="N441" s="40"/>
      <c r="O441" s="462"/>
    </row>
    <row r="442" spans="1:15">
      <c r="A442" s="648">
        <f>ROW()</f>
        <v>442</v>
      </c>
      <c r="B442" s="75" t="s">
        <v>1280</v>
      </c>
      <c r="C442" s="1989"/>
      <c r="D442" s="416"/>
      <c r="E442" s="416"/>
      <c r="F442" s="416"/>
      <c r="G442" s="1994"/>
      <c r="H442" s="1994"/>
      <c r="I442" s="1994"/>
      <c r="J442" s="1994"/>
      <c r="K442" s="1994"/>
      <c r="L442" s="1994"/>
      <c r="M442" s="1994"/>
      <c r="N442" s="40"/>
      <c r="O442" s="462"/>
    </row>
    <row r="443" spans="1:15">
      <c r="A443" s="648">
        <f>ROW()</f>
        <v>443</v>
      </c>
      <c r="B443" s="75" t="s">
        <v>513</v>
      </c>
      <c r="C443" s="1989"/>
      <c r="D443" s="416"/>
      <c r="E443" s="416"/>
      <c r="F443" s="416"/>
      <c r="G443" s="906">
        <v>0</v>
      </c>
      <c r="H443" s="906">
        <v>0</v>
      </c>
      <c r="I443" s="906">
        <v>0</v>
      </c>
      <c r="J443" s="906">
        <v>0</v>
      </c>
      <c r="K443" s="906">
        <v>0</v>
      </c>
      <c r="L443" s="906">
        <v>0</v>
      </c>
      <c r="M443" s="906">
        <v>0</v>
      </c>
      <c r="N443" s="40"/>
      <c r="O443" s="462"/>
    </row>
    <row r="444" spans="1:15">
      <c r="A444" s="648">
        <f>ROW()</f>
        <v>444</v>
      </c>
      <c r="B444" s="75" t="s">
        <v>512</v>
      </c>
      <c r="C444" s="211">
        <v>0</v>
      </c>
      <c r="D444" s="416"/>
      <c r="E444" s="416"/>
      <c r="F444" s="416"/>
      <c r="G444" s="1991">
        <f t="shared" ref="G444:M444" si="111">$C$444*G443</f>
        <v>0</v>
      </c>
      <c r="H444" s="1991">
        <f t="shared" si="111"/>
        <v>0</v>
      </c>
      <c r="I444" s="1991">
        <f t="shared" si="111"/>
        <v>0</v>
      </c>
      <c r="J444" s="1991">
        <f t="shared" si="111"/>
        <v>0</v>
      </c>
      <c r="K444" s="1991">
        <f t="shared" si="111"/>
        <v>0</v>
      </c>
      <c r="L444" s="1991">
        <f t="shared" si="111"/>
        <v>0</v>
      </c>
      <c r="M444" s="1991">
        <f t="shared" si="111"/>
        <v>0</v>
      </c>
      <c r="N444" s="40"/>
      <c r="O444" s="462"/>
    </row>
    <row r="445" spans="1:15">
      <c r="A445" s="648">
        <f>ROW()</f>
        <v>445</v>
      </c>
      <c r="C445" s="210"/>
      <c r="G445" s="331"/>
      <c r="H445" s="331"/>
      <c r="I445" s="331"/>
      <c r="J445" s="331"/>
      <c r="K445" s="331"/>
      <c r="L445" s="331"/>
      <c r="M445" s="331"/>
      <c r="N445" s="40"/>
      <c r="O445" s="462"/>
    </row>
    <row r="446" spans="1:15">
      <c r="A446" s="1801">
        <f>ROW()</f>
        <v>446</v>
      </c>
      <c r="B446" s="75" t="s">
        <v>1259</v>
      </c>
      <c r="C446" s="210"/>
      <c r="G446" s="1802">
        <f>G444+G440+G436+G432+G428</f>
        <v>0</v>
      </c>
      <c r="H446" s="1802">
        <f>H444+H440+H436+H432+H428</f>
        <v>0</v>
      </c>
      <c r="I446" s="1802">
        <f t="shared" ref="I446:M446" si="112">I444+I440+I436+I432+I428</f>
        <v>0</v>
      </c>
      <c r="J446" s="1802">
        <f t="shared" si="112"/>
        <v>0</v>
      </c>
      <c r="K446" s="1802">
        <f t="shared" si="112"/>
        <v>0</v>
      </c>
      <c r="L446" s="1802">
        <f t="shared" si="112"/>
        <v>0</v>
      </c>
      <c r="M446" s="1802">
        <f t="shared" si="112"/>
        <v>0</v>
      </c>
      <c r="N446" s="40"/>
      <c r="O446" s="462"/>
    </row>
    <row r="447" spans="1:15">
      <c r="A447" s="1801">
        <f>ROW()</f>
        <v>447</v>
      </c>
      <c r="C447" s="210"/>
      <c r="G447" s="1803"/>
      <c r="H447" s="1803"/>
      <c r="I447" s="1803"/>
      <c r="J447" s="1803"/>
      <c r="K447" s="1803"/>
      <c r="L447" s="1803"/>
      <c r="M447" s="1803"/>
      <c r="N447" s="40"/>
      <c r="O447" s="462"/>
    </row>
    <row r="448" spans="1:15">
      <c r="A448" s="1801">
        <f>ROW()</f>
        <v>448</v>
      </c>
      <c r="B448" s="75" t="s">
        <v>1260</v>
      </c>
      <c r="C448" s="1804">
        <f>FICA_Rate</f>
        <v>1.4500000000000001E-2</v>
      </c>
      <c r="G448" s="1803">
        <f>+$C$448*G446</f>
        <v>0</v>
      </c>
      <c r="H448" s="1803">
        <f>+$C$448*H446</f>
        <v>0</v>
      </c>
      <c r="I448" s="1803">
        <f t="shared" ref="I448:M448" si="113">+$C$448*I446</f>
        <v>0</v>
      </c>
      <c r="J448" s="1803">
        <f t="shared" si="113"/>
        <v>0</v>
      </c>
      <c r="K448" s="1803">
        <f t="shared" si="113"/>
        <v>0</v>
      </c>
      <c r="L448" s="1803">
        <f t="shared" si="113"/>
        <v>0</v>
      </c>
      <c r="M448" s="1803">
        <f t="shared" si="113"/>
        <v>0</v>
      </c>
      <c r="N448" s="40"/>
      <c r="O448" s="462"/>
    </row>
    <row r="449" spans="1:15">
      <c r="A449" s="648"/>
      <c r="C449" s="210"/>
      <c r="G449" s="331"/>
      <c r="H449" s="331"/>
      <c r="I449" s="331"/>
      <c r="J449" s="331"/>
      <c r="K449" s="331"/>
      <c r="L449" s="331"/>
      <c r="M449" s="331"/>
      <c r="N449" s="40"/>
      <c r="O449" s="462"/>
    </row>
    <row r="450" spans="1:15" ht="14.4" thickBot="1">
      <c r="A450" s="648"/>
      <c r="C450" s="210"/>
      <c r="G450" s="331"/>
      <c r="H450" s="331"/>
      <c r="I450" s="331"/>
      <c r="J450" s="331"/>
      <c r="K450" s="331"/>
      <c r="L450" s="331"/>
      <c r="M450" s="331"/>
      <c r="N450" s="40"/>
      <c r="O450" s="462"/>
    </row>
    <row r="451" spans="1:15" ht="14.4" thickBot="1">
      <c r="A451" s="648">
        <f>ROW()</f>
        <v>451</v>
      </c>
      <c r="B451" s="1262" t="s">
        <v>514</v>
      </c>
      <c r="C451" s="1263">
        <f>SUM(G451:M451)</f>
        <v>0</v>
      </c>
      <c r="D451" s="1296"/>
      <c r="E451" s="1296"/>
      <c r="F451" s="1296"/>
      <c r="G451" s="1264">
        <f t="shared" ref="G451:M451" si="114">G444+G440+G436+G432+G428</f>
        <v>0</v>
      </c>
      <c r="H451" s="1264">
        <f t="shared" si="114"/>
        <v>0</v>
      </c>
      <c r="I451" s="1264">
        <f t="shared" si="114"/>
        <v>0</v>
      </c>
      <c r="J451" s="1264">
        <f t="shared" si="114"/>
        <v>0</v>
      </c>
      <c r="K451" s="1264">
        <f t="shared" si="114"/>
        <v>0</v>
      </c>
      <c r="L451" s="1264">
        <f t="shared" si="114"/>
        <v>0</v>
      </c>
      <c r="M451" s="1264">
        <f t="shared" si="114"/>
        <v>0</v>
      </c>
      <c r="N451" s="40"/>
      <c r="O451" s="462"/>
    </row>
    <row r="452" spans="1:15">
      <c r="A452" s="648">
        <f>ROW()</f>
        <v>452</v>
      </c>
      <c r="B452" s="139"/>
      <c r="C452" s="205"/>
      <c r="D452" s="139"/>
      <c r="E452" s="139"/>
      <c r="F452" s="139"/>
      <c r="G452" s="686"/>
      <c r="H452" s="686"/>
      <c r="I452" s="686"/>
      <c r="J452" s="686"/>
      <c r="K452" s="686"/>
      <c r="L452" s="686"/>
      <c r="M452" s="686"/>
      <c r="N452" s="40"/>
      <c r="O452" s="462"/>
    </row>
    <row r="453" spans="1:15" ht="14.4">
      <c r="A453" s="648">
        <f>ROW()</f>
        <v>453</v>
      </c>
      <c r="B453" s="1226" t="s">
        <v>515</v>
      </c>
      <c r="C453" s="263"/>
      <c r="D453" s="196"/>
      <c r="E453" s="196"/>
      <c r="F453" s="196"/>
      <c r="G453" s="920">
        <f t="shared" ref="G453:M453" si="115">SUM(G427,G431,G435,G439,G443)</f>
        <v>0</v>
      </c>
      <c r="H453" s="920">
        <f t="shared" si="115"/>
        <v>0</v>
      </c>
      <c r="I453" s="920">
        <f t="shared" si="115"/>
        <v>0</v>
      </c>
      <c r="J453" s="920">
        <f t="shared" si="115"/>
        <v>0</v>
      </c>
      <c r="K453" s="920">
        <f t="shared" si="115"/>
        <v>0</v>
      </c>
      <c r="L453" s="920">
        <f t="shared" si="115"/>
        <v>0</v>
      </c>
      <c r="M453" s="920">
        <f t="shared" si="115"/>
        <v>0</v>
      </c>
      <c r="N453" s="40"/>
      <c r="O453" s="462"/>
    </row>
    <row r="454" spans="1:15" ht="14.4" thickBot="1">
      <c r="A454" s="648">
        <f>ROW()</f>
        <v>454</v>
      </c>
      <c r="B454" s="139"/>
      <c r="C454" s="205"/>
      <c r="D454" s="139"/>
      <c r="E454" s="139"/>
      <c r="F454" s="139"/>
      <c r="G454" s="686"/>
      <c r="H454" s="686"/>
      <c r="I454" s="686"/>
      <c r="J454" s="686"/>
      <c r="K454" s="686"/>
      <c r="L454" s="686"/>
      <c r="M454" s="686"/>
      <c r="N454" s="40"/>
      <c r="O454" s="462"/>
    </row>
    <row r="455" spans="1:15" ht="14.4" thickBot="1">
      <c r="A455" s="648">
        <f>ROW()</f>
        <v>455</v>
      </c>
      <c r="B455" s="1262" t="s">
        <v>516</v>
      </c>
      <c r="C455" s="1263">
        <f>SUM(G455:M455)</f>
        <v>24510</v>
      </c>
      <c r="D455" s="1265"/>
      <c r="E455" s="1265"/>
      <c r="F455" s="1265"/>
      <c r="G455" s="1264">
        <f t="shared" ref="G455:M455" si="116">G23*$C$66*12</f>
        <v>120</v>
      </c>
      <c r="H455" s="1264">
        <f t="shared" si="116"/>
        <v>1590</v>
      </c>
      <c r="I455" s="1264">
        <f t="shared" si="116"/>
        <v>2880</v>
      </c>
      <c r="J455" s="1264">
        <f t="shared" si="116"/>
        <v>4320</v>
      </c>
      <c r="K455" s="1264">
        <f t="shared" si="116"/>
        <v>4800</v>
      </c>
      <c r="L455" s="1264">
        <f t="shared" si="116"/>
        <v>5400</v>
      </c>
      <c r="M455" s="1264">
        <f t="shared" si="116"/>
        <v>5400</v>
      </c>
      <c r="N455" s="40"/>
      <c r="O455" s="462"/>
    </row>
    <row r="456" spans="1:15" ht="14.4" thickBot="1">
      <c r="A456" s="648">
        <f>ROW()</f>
        <v>456</v>
      </c>
      <c r="O456" s="462"/>
    </row>
    <row r="457" spans="1:15" ht="14.4" thickBot="1">
      <c r="A457" s="648">
        <f>ROW()</f>
        <v>457</v>
      </c>
      <c r="B457" s="607" t="s">
        <v>517</v>
      </c>
      <c r="C457" s="608">
        <f>SUM(G457:M457)</f>
        <v>13530970.846404864</v>
      </c>
      <c r="D457" s="609"/>
      <c r="E457" s="609"/>
      <c r="F457" s="609"/>
      <c r="G457" s="775">
        <f>Staff!G396+Staff!G421+Staff!G451+Staff!G455</f>
        <v>128778.6</v>
      </c>
      <c r="H457" s="775">
        <f>Staff!H396+Staff!H421+Staff!H451+Staff!H455</f>
        <v>908420.65500000003</v>
      </c>
      <c r="I457" s="775">
        <f>Staff!I396+Staff!I421+Staff!I451+Staff!I455</f>
        <v>1568197.26</v>
      </c>
      <c r="J457" s="775">
        <f>Staff!J396+Staff!J421+Staff!J451+Staff!J455</f>
        <v>2358735.9863999998</v>
      </c>
      <c r="K457" s="775">
        <f>Staff!K396+Staff!K421+Staff!K451+Staff!K455</f>
        <v>2619609.6139199999</v>
      </c>
      <c r="L457" s="775">
        <f>Staff!L396+Staff!L421+Staff!L451+Staff!L455</f>
        <v>2969739.0419231998</v>
      </c>
      <c r="M457" s="775">
        <f>Staff!M396+Staff!M421+Staff!M451+Staff!M455</f>
        <v>2977489.6891616639</v>
      </c>
      <c r="N457" s="40"/>
      <c r="O457" s="462"/>
    </row>
    <row r="460" spans="1:15">
      <c r="B460" s="81" t="s">
        <v>1262</v>
      </c>
    </row>
    <row r="461" spans="1:15">
      <c r="C461" s="680" t="s">
        <v>1272</v>
      </c>
      <c r="D461" s="680" t="s">
        <v>1273</v>
      </c>
      <c r="E461" s="680" t="s">
        <v>1274</v>
      </c>
      <c r="F461" s="680" t="s">
        <v>1275</v>
      </c>
      <c r="G461" s="680" t="s">
        <v>1281</v>
      </c>
    </row>
    <row r="462" spans="1:15">
      <c r="B462" s="75" t="s">
        <v>1261</v>
      </c>
      <c r="C462" s="2153">
        <v>0</v>
      </c>
      <c r="D462" s="2153">
        <v>0</v>
      </c>
      <c r="E462" s="2153">
        <v>0</v>
      </c>
      <c r="F462" s="2153">
        <v>0</v>
      </c>
      <c r="G462" s="2153">
        <v>0</v>
      </c>
    </row>
    <row r="463" spans="1:15">
      <c r="B463" s="75" t="s">
        <v>1270</v>
      </c>
      <c r="C463" s="2153">
        <v>0</v>
      </c>
      <c r="D463" s="2153">
        <v>0</v>
      </c>
      <c r="E463" s="2153">
        <v>0</v>
      </c>
      <c r="F463" s="2153">
        <v>0</v>
      </c>
      <c r="G463" s="2153">
        <v>0</v>
      </c>
    </row>
    <row r="464" spans="1:15">
      <c r="B464" s="75" t="s">
        <v>1271</v>
      </c>
      <c r="C464" s="2154">
        <f>+C462*C463</f>
        <v>0</v>
      </c>
      <c r="D464" s="2154">
        <f>+D462*D463</f>
        <v>0</v>
      </c>
      <c r="E464" s="2154">
        <f>+E462*E463</f>
        <v>0</v>
      </c>
      <c r="F464" s="2154">
        <f>+F462*F463</f>
        <v>0</v>
      </c>
      <c r="G464" s="2154">
        <f>+G462*G463</f>
        <v>0</v>
      </c>
    </row>
    <row r="465" spans="2:7">
      <c r="C465" s="1990"/>
      <c r="D465" s="1990"/>
      <c r="E465" s="1990"/>
      <c r="F465" s="1990"/>
      <c r="G465" s="1990"/>
    </row>
    <row r="466" spans="2:7">
      <c r="B466" s="75" t="s">
        <v>1263</v>
      </c>
      <c r="C466" s="1995">
        <v>2080</v>
      </c>
      <c r="D466" s="1995">
        <v>2080</v>
      </c>
      <c r="E466" s="1995">
        <v>2080</v>
      </c>
      <c r="F466" s="1995">
        <v>2080</v>
      </c>
      <c r="G466" s="1995">
        <v>2080</v>
      </c>
    </row>
    <row r="467" spans="2:7">
      <c r="B467" s="193" t="s">
        <v>1264</v>
      </c>
      <c r="C467" s="2155">
        <f>+C464/C466</f>
        <v>0</v>
      </c>
      <c r="D467" s="2155">
        <f>+D464/D466</f>
        <v>0</v>
      </c>
      <c r="E467" s="2155">
        <f>+E464/E466</f>
        <v>0</v>
      </c>
      <c r="F467" s="2155">
        <f>+F464/F466</f>
        <v>0</v>
      </c>
      <c r="G467" s="2155">
        <f>+G464/G466</f>
        <v>0</v>
      </c>
    </row>
    <row r="468" spans="2:7">
      <c r="C468" s="1990"/>
      <c r="D468" s="1990"/>
      <c r="E468" s="1990"/>
      <c r="F468" s="1990"/>
      <c r="G468" s="1990"/>
    </row>
    <row r="469" spans="2:7">
      <c r="B469" s="75" t="s">
        <v>1266</v>
      </c>
      <c r="C469" s="2153">
        <v>0</v>
      </c>
      <c r="D469" s="2153">
        <v>0</v>
      </c>
      <c r="E469" s="2153">
        <v>0</v>
      </c>
      <c r="F469" s="2153">
        <v>0</v>
      </c>
      <c r="G469" s="2153">
        <v>0</v>
      </c>
    </row>
    <row r="470" spans="2:7">
      <c r="B470" s="75" t="s">
        <v>1267</v>
      </c>
      <c r="C470" s="2153">
        <v>0</v>
      </c>
      <c r="D470" s="2153">
        <v>0</v>
      </c>
      <c r="E470" s="2153">
        <v>0</v>
      </c>
      <c r="F470" s="2153">
        <v>0</v>
      </c>
      <c r="G470" s="2153">
        <v>0</v>
      </c>
    </row>
    <row r="471" spans="2:7">
      <c r="B471" s="75" t="s">
        <v>1265</v>
      </c>
      <c r="C471" s="2157">
        <f>+C469*C470</f>
        <v>0</v>
      </c>
      <c r="D471" s="2157">
        <f>+D469*D470</f>
        <v>0</v>
      </c>
      <c r="E471" s="2157">
        <f>+E469*E470</f>
        <v>0</v>
      </c>
      <c r="F471" s="2157">
        <f>+F469*F470</f>
        <v>0</v>
      </c>
      <c r="G471" s="2157">
        <f>+G469*G470</f>
        <v>0</v>
      </c>
    </row>
    <row r="472" spans="2:7">
      <c r="B472" s="193" t="s">
        <v>1268</v>
      </c>
      <c r="C472" s="2156">
        <f>IFERROR(C464/C471,0)</f>
        <v>0</v>
      </c>
      <c r="D472" s="2156">
        <f t="shared" ref="D472:G472" si="117">IFERROR(D464/D471,0)</f>
        <v>0</v>
      </c>
      <c r="E472" s="2156">
        <f t="shared" si="117"/>
        <v>0</v>
      </c>
      <c r="F472" s="2156">
        <f t="shared" si="117"/>
        <v>0</v>
      </c>
      <c r="G472" s="2156">
        <f t="shared" si="117"/>
        <v>0</v>
      </c>
    </row>
  </sheetData>
  <sheetProtection algorithmName="SHA-512" hashValue="vCPtY5GrDgIeWyJFfxj8ryEpOc0ZqNYpjmhQyYO/0XKGbNidFEqFr6V0gR6jXKYxjI0EyfzMPEC+O4xCfapCaQ==" saltValue="bqHPMp7DE3aXn0lJABlfVg==" spinCount="100000" sheet="1" objects="1" scenarios="1"/>
  <conditionalFormatting sqref="G86:M86 G17:M19">
    <cfRule type="cellIs" dxfId="60" priority="28" stopIfTrue="1" operator="equal">
      <formula>0</formula>
    </cfRule>
  </conditionalFormatting>
  <conditionalFormatting sqref="G94:M94">
    <cfRule type="cellIs" dxfId="59" priority="29" stopIfTrue="1" operator="equal">
      <formula>0</formula>
    </cfRule>
  </conditionalFormatting>
  <conditionalFormatting sqref="G23:H23 G21:M22">
    <cfRule type="cellIs" dxfId="58" priority="15" stopIfTrue="1" operator="equal">
      <formula>0</formula>
    </cfRule>
  </conditionalFormatting>
  <conditionalFormatting sqref="G20:M20">
    <cfRule type="cellIs" dxfId="57" priority="14" stopIfTrue="1" operator="equal">
      <formula>0</formula>
    </cfRule>
  </conditionalFormatting>
  <conditionalFormatting sqref="I23:M23">
    <cfRule type="cellIs" dxfId="56" priority="12" stopIfTrue="1" operator="equal">
      <formula>0</formula>
    </cfRule>
  </conditionalFormatting>
  <conditionalFormatting sqref="G38:M40">
    <cfRule type="cellIs" dxfId="55" priority="11" stopIfTrue="1" operator="equal">
      <formula>0</formula>
    </cfRule>
  </conditionalFormatting>
  <conditionalFormatting sqref="D1">
    <cfRule type="expression" dxfId="54" priority="10" stopIfTrue="1">
      <formula>MOD(ROW(),2)=0</formula>
    </cfRule>
  </conditionalFormatting>
  <conditionalFormatting sqref="G106:M106">
    <cfRule type="cellIs" dxfId="53" priority="30" stopIfTrue="1" operator="equal">
      <formula>0</formula>
    </cfRule>
  </conditionalFormatting>
  <conditionalFormatting sqref="G120:M120">
    <cfRule type="cellIs" dxfId="52" priority="31" stopIfTrue="1" operator="equal">
      <formula>0</formula>
    </cfRule>
  </conditionalFormatting>
  <conditionalFormatting sqref="G132:M132">
    <cfRule type="cellIs" dxfId="51" priority="32" stopIfTrue="1" operator="equal">
      <formula>0</formula>
    </cfRule>
  </conditionalFormatting>
  <conditionalFormatting sqref="G134:M135">
    <cfRule type="cellIs" dxfId="50" priority="33" stopIfTrue="1" operator="equal">
      <formula>0</formula>
    </cfRule>
  </conditionalFormatting>
  <conditionalFormatting sqref="G43:M47">
    <cfRule type="cellIs" dxfId="49" priority="34" stopIfTrue="1" operator="equal">
      <formula>0</formula>
    </cfRule>
  </conditionalFormatting>
  <conditionalFormatting sqref="G30:M32 G34:M35">
    <cfRule type="cellIs" dxfId="48" priority="35" stopIfTrue="1" operator="equal">
      <formula>0</formula>
    </cfRule>
  </conditionalFormatting>
  <conditionalFormatting sqref="G37:M37">
    <cfRule type="cellIs" dxfId="47" priority="36" stopIfTrue="1" operator="equal">
      <formula>0</formula>
    </cfRule>
  </conditionalFormatting>
  <conditionalFormatting sqref="G42:M42">
    <cfRule type="cellIs" dxfId="46" priority="37" stopIfTrue="1" operator="equal">
      <formula>0</formula>
    </cfRule>
  </conditionalFormatting>
  <conditionalFormatting sqref="G27:M27">
    <cfRule type="cellIs" dxfId="45" priority="38" stopIfTrue="1" operator="equal">
      <formula>0</formula>
    </cfRule>
  </conditionalFormatting>
  <conditionalFormatting sqref="G25:M25">
    <cfRule type="cellIs" dxfId="44" priority="39" stopIfTrue="1" operator="equal">
      <formula>0</formula>
    </cfRule>
  </conditionalFormatting>
  <hyperlinks>
    <hyperlink ref="D1" location="HypLink1" display="HypLink1" xr:uid="{F704437E-DC3D-4C4E-8D8C-65242210DB0E}"/>
  </hyperlinks>
  <pageMargins left="0.25" right="0.25" top="0.5" bottom="0.45" header="0.25" footer="0.25"/>
  <pageSetup scale="55" fitToHeight="4" orientation="landscape" r:id="rId1"/>
  <headerFooter>
    <oddHeader xml:space="preserve">&amp;L &amp;C &amp;R </oddHeader>
    <oddFooter>&amp;L&amp;7&amp;D  at &amp;T Mike 702.854.0691&amp;C&amp;7&amp;F  &amp;A&amp;R&amp;7Page &amp;P of &amp;N</oddFooter>
  </headerFooter>
  <rowBreaks count="1" manualBreakCount="1">
    <brk id="48" max="1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28433-3DBF-4F1F-BAC6-C55D93C5DE87}">
  <sheetPr codeName="Sheet13">
    <tabColor rgb="FFFFFF00"/>
    <pageSetUpPr fitToPage="1"/>
  </sheetPr>
  <dimension ref="A1:Z104"/>
  <sheetViews>
    <sheetView topLeftCell="C1" workbookViewId="0">
      <selection activeCell="N4" sqref="N4"/>
    </sheetView>
  </sheetViews>
  <sheetFormatPr defaultColWidth="8.77734375" defaultRowHeight="13.8" outlineLevelRow="1"/>
  <cols>
    <col min="1" max="1" width="6.21875" style="40" customWidth="1"/>
    <col min="2" max="2" width="40.44140625" style="40" customWidth="1"/>
    <col min="3" max="3" width="19.21875" style="40" customWidth="1"/>
    <col min="4" max="4" width="11.44140625" style="40" customWidth="1"/>
    <col min="5" max="5" width="17.77734375" style="43" customWidth="1"/>
    <col min="6" max="6" width="15.21875" style="43" bestFit="1" customWidth="1"/>
    <col min="7" max="10" width="16" style="40" bestFit="1" customWidth="1"/>
    <col min="11" max="11" width="13.77734375" style="40" bestFit="1" customWidth="1"/>
    <col min="12" max="12" width="15.77734375" style="40" bestFit="1" customWidth="1"/>
    <col min="13" max="13" width="7.21875" style="40" customWidth="1"/>
    <col min="14" max="14" width="59.77734375" style="416" customWidth="1"/>
    <col min="15" max="15" width="8.77734375" style="40"/>
    <col min="16" max="16" width="9.44140625" style="40" customWidth="1"/>
    <col min="17" max="16384" width="8.77734375" style="40"/>
  </cols>
  <sheetData>
    <row r="1" spans="1:26" ht="15.6">
      <c r="A1" s="173" t="s">
        <v>105</v>
      </c>
      <c r="B1" s="438"/>
      <c r="D1" s="558" t="s">
        <v>2</v>
      </c>
      <c r="G1" s="1597" t="s">
        <v>638</v>
      </c>
      <c r="H1" s="1597"/>
      <c r="I1" s="1597"/>
      <c r="J1" s="94"/>
      <c r="K1" s="94"/>
      <c r="Z1" s="8"/>
    </row>
    <row r="2" spans="1:26" ht="15.6">
      <c r="A2" s="45" t="str">
        <f>SchoolName</f>
        <v>Southern Nevada Trades High School</v>
      </c>
      <c r="B2" s="46"/>
      <c r="G2" s="2194" t="str">
        <f>+Cover!C18</f>
        <v>400-570 Nellis Blvd. - Las Vegas, NV 89110</v>
      </c>
      <c r="H2" s="2194"/>
      <c r="I2" s="2194"/>
      <c r="J2" s="2194"/>
      <c r="K2" s="2194"/>
      <c r="Z2" s="8"/>
    </row>
    <row r="3" spans="1:26">
      <c r="A3" s="47" t="s">
        <v>1</v>
      </c>
      <c r="G3" s="2195" t="str">
        <f>+Cover!C19</f>
        <v>Site 2</v>
      </c>
      <c r="H3" s="2195"/>
      <c r="I3" s="2195"/>
      <c r="J3" s="2195"/>
      <c r="K3" s="2195"/>
      <c r="Z3" s="8"/>
    </row>
    <row r="4" spans="1:26">
      <c r="A4" s="36" t="str">
        <f ca="1">CELL("filename")</f>
        <v>C:\Users\jewel\Documents\SNTHS\CHARTER APP FINAL\FINAL COMPILED\[SNTHS Budget Worksheet.xlsx]Summary</v>
      </c>
      <c r="Z4" s="8"/>
    </row>
    <row r="5" spans="1:26" ht="14.4" thickBot="1">
      <c r="Z5" s="8"/>
    </row>
    <row r="6" spans="1:26" s="37" customFormat="1" outlineLevel="1">
      <c r="B6" s="2147" t="s">
        <v>639</v>
      </c>
      <c r="C6" s="2151"/>
      <c r="D6" s="2150"/>
      <c r="E6" s="38"/>
      <c r="F6" s="963" t="str">
        <f>' Enrol &amp; Rev'!F9</f>
        <v>SY 0/Incu</v>
      </c>
      <c r="G6" s="953">
        <f>' Enrol &amp; Rev'!G9</f>
        <v>1</v>
      </c>
      <c r="H6" s="953">
        <f>' Enrol &amp; Rev'!H9</f>
        <v>2</v>
      </c>
      <c r="I6" s="953">
        <f>' Enrol &amp; Rev'!I9</f>
        <v>3</v>
      </c>
      <c r="J6" s="953">
        <f>' Enrol &amp; Rev'!J9</f>
        <v>4</v>
      </c>
      <c r="K6" s="953">
        <f>' Enrol &amp; Rev'!K9</f>
        <v>5</v>
      </c>
      <c r="L6" s="1601">
        <f>' Enrol &amp; Rev'!L9</f>
        <v>6</v>
      </c>
      <c r="N6" s="1936" t="s">
        <v>95</v>
      </c>
      <c r="Z6" s="8"/>
    </row>
    <row r="7" spans="1:26" ht="14.4" outlineLevel="1" thickBot="1">
      <c r="B7" s="2148" t="s">
        <v>640</v>
      </c>
      <c r="C7" s="284" t="s">
        <v>641</v>
      </c>
      <c r="D7" s="2149"/>
      <c r="F7" s="954">
        <f>+G7-1</f>
        <v>2022</v>
      </c>
      <c r="G7" s="955">
        <f>' Enrol &amp; Rev'!G10</f>
        <v>2023</v>
      </c>
      <c r="H7" s="955">
        <f>' Enrol &amp; Rev'!H10</f>
        <v>2024</v>
      </c>
      <c r="I7" s="955">
        <f>' Enrol &amp; Rev'!I10</f>
        <v>2025</v>
      </c>
      <c r="J7" s="955">
        <f>' Enrol &amp; Rev'!J10</f>
        <v>2026</v>
      </c>
      <c r="K7" s="955">
        <f>' Enrol &amp; Rev'!K10</f>
        <v>2027</v>
      </c>
      <c r="L7" s="956">
        <f>' Enrol &amp; Rev'!L10</f>
        <v>2028</v>
      </c>
      <c r="M7" s="49"/>
      <c r="N7" s="628"/>
    </row>
    <row r="8" spans="1:26" outlineLevel="1">
      <c r="C8" s="37"/>
      <c r="F8" s="957">
        <f>+G8-1</f>
        <v>2023</v>
      </c>
      <c r="G8" s="958">
        <f>' Enrol &amp; Rev'!G11</f>
        <v>2024</v>
      </c>
      <c r="H8" s="958">
        <f>' Enrol &amp; Rev'!H11</f>
        <v>2025</v>
      </c>
      <c r="I8" s="958">
        <f>' Enrol &amp; Rev'!I11</f>
        <v>2026</v>
      </c>
      <c r="J8" s="958">
        <f>' Enrol &amp; Rev'!J11</f>
        <v>2027</v>
      </c>
      <c r="K8" s="958">
        <f>' Enrol &amp; Rev'!K11</f>
        <v>2028</v>
      </c>
      <c r="L8" s="959">
        <f>' Enrol &amp; Rev'!L11</f>
        <v>2029</v>
      </c>
      <c r="M8" s="49"/>
      <c r="N8" s="462"/>
    </row>
    <row r="9" spans="1:26" outlineLevel="1">
      <c r="A9" s="467">
        <f>ROW()</f>
        <v>9</v>
      </c>
      <c r="B9" s="332" t="s">
        <v>642</v>
      </c>
      <c r="C9" s="333"/>
      <c r="D9" s="333"/>
      <c r="E9" s="177"/>
      <c r="F9" s="1691" t="s">
        <v>405</v>
      </c>
      <c r="G9" s="864">
        <f>' Enrol &amp; Rev'!G35</f>
        <v>200</v>
      </c>
      <c r="H9" s="864">
        <f>' Enrol &amp; Rev'!H35</f>
        <v>300</v>
      </c>
      <c r="I9" s="864">
        <f>' Enrol &amp; Rev'!I35</f>
        <v>400</v>
      </c>
      <c r="J9" s="864">
        <f>' Enrol &amp; Rev'!J35</f>
        <v>450</v>
      </c>
      <c r="K9" s="864">
        <f>' Enrol &amp; Rev'!K35</f>
        <v>500</v>
      </c>
      <c r="L9" s="1621">
        <f>' Enrol &amp; Rev'!L35</f>
        <v>550</v>
      </c>
      <c r="M9" s="49"/>
      <c r="N9" s="462"/>
    </row>
    <row r="10" spans="1:26" outlineLevel="1">
      <c r="A10" s="467">
        <f>ROW()</f>
        <v>10</v>
      </c>
      <c r="B10" s="40" t="s">
        <v>643</v>
      </c>
      <c r="C10" s="37"/>
      <c r="F10" s="40"/>
      <c r="G10" s="691">
        <f>IFERROR(+G11/' Enrol &amp; Rev'!G35,0)</f>
        <v>125</v>
      </c>
      <c r="H10" s="691">
        <f>IFERROR(+H11/' Enrol &amp; Rev'!H35,0)</f>
        <v>83.333333333333329</v>
      </c>
      <c r="I10" s="691">
        <f>IFERROR(+I11/' Enrol &amp; Rev'!I35,0)</f>
        <v>62.5</v>
      </c>
      <c r="J10" s="691">
        <f>IFERROR(+J11/' Enrol &amp; Rev'!J35,0)</f>
        <v>55.555555555555557</v>
      </c>
      <c r="K10" s="691">
        <f>IFERROR(+K11/' Enrol &amp; Rev'!K35,0)</f>
        <v>50</v>
      </c>
      <c r="L10" s="691">
        <f>IFERROR(+L11/' Enrol &amp; Rev'!L35,0)</f>
        <v>45.454545454545453</v>
      </c>
      <c r="M10" s="49"/>
      <c r="N10" s="462"/>
    </row>
    <row r="11" spans="1:26" outlineLevel="1">
      <c r="A11" s="467">
        <f>ROW()</f>
        <v>11</v>
      </c>
      <c r="B11" s="40" t="s">
        <v>644</v>
      </c>
      <c r="F11" s="692">
        <v>0</v>
      </c>
      <c r="G11" s="692">
        <v>25000</v>
      </c>
      <c r="H11" s="692">
        <v>25000</v>
      </c>
      <c r="I11" s="692">
        <v>25000</v>
      </c>
      <c r="J11" s="692">
        <v>25000</v>
      </c>
      <c r="K11" s="692">
        <f>+J11</f>
        <v>25000</v>
      </c>
      <c r="L11" s="692">
        <f>+K11</f>
        <v>25000</v>
      </c>
      <c r="M11" s="49"/>
      <c r="N11" s="462" t="s">
        <v>1548</v>
      </c>
    </row>
    <row r="12" spans="1:26" outlineLevel="1">
      <c r="A12" s="467"/>
      <c r="B12" s="43"/>
      <c r="C12" s="43"/>
      <c r="D12" s="43"/>
      <c r="G12" s="43"/>
      <c r="H12" s="43"/>
      <c r="I12" s="43"/>
      <c r="J12" s="43"/>
      <c r="K12" s="43"/>
      <c r="L12" s="43"/>
      <c r="M12" s="49"/>
      <c r="N12" s="462"/>
    </row>
    <row r="13" spans="1:26" outlineLevel="1">
      <c r="A13" s="467">
        <f>ROW()</f>
        <v>13</v>
      </c>
      <c r="B13" s="1860" t="s">
        <v>1213</v>
      </c>
      <c r="F13" s="1857"/>
      <c r="G13" s="1857">
        <v>1</v>
      </c>
      <c r="H13" s="1857">
        <f>+G13</f>
        <v>1</v>
      </c>
      <c r="I13" s="1857">
        <f>+H13</f>
        <v>1</v>
      </c>
      <c r="J13" s="1857">
        <v>2.5</v>
      </c>
      <c r="K13" s="1857">
        <f>+J13</f>
        <v>2.5</v>
      </c>
      <c r="L13" s="1857">
        <f>+K13</f>
        <v>2.5</v>
      </c>
      <c r="M13" s="49"/>
      <c r="N13" s="462"/>
    </row>
    <row r="14" spans="1:26" outlineLevel="1">
      <c r="A14" s="467">
        <f>ROW()</f>
        <v>14</v>
      </c>
      <c r="B14" s="1860" t="s">
        <v>1214</v>
      </c>
      <c r="F14" s="2146">
        <f>+F13*12</f>
        <v>0</v>
      </c>
      <c r="G14" s="2146">
        <f>+G13*12</f>
        <v>12</v>
      </c>
      <c r="H14" s="2146">
        <f t="shared" ref="H14:L17" si="0">+H13*12</f>
        <v>12</v>
      </c>
      <c r="I14" s="2146">
        <f t="shared" si="0"/>
        <v>12</v>
      </c>
      <c r="J14" s="2146">
        <f t="shared" si="0"/>
        <v>30</v>
      </c>
      <c r="K14" s="2146">
        <f t="shared" si="0"/>
        <v>30</v>
      </c>
      <c r="L14" s="2146">
        <f t="shared" si="0"/>
        <v>30</v>
      </c>
      <c r="M14" s="49"/>
      <c r="N14" s="462"/>
    </row>
    <row r="15" spans="1:26" outlineLevel="1">
      <c r="A15" s="467"/>
      <c r="B15" s="1860"/>
      <c r="F15" s="693"/>
      <c r="G15" s="693"/>
      <c r="H15" s="693"/>
      <c r="I15" s="693"/>
      <c r="J15" s="693"/>
      <c r="K15" s="693"/>
      <c r="L15" s="693"/>
      <c r="M15" s="49"/>
      <c r="N15" s="462"/>
    </row>
    <row r="16" spans="1:26" outlineLevel="1">
      <c r="A16" s="467">
        <f>ROW()</f>
        <v>16</v>
      </c>
      <c r="B16" s="1860" t="s">
        <v>1351</v>
      </c>
      <c r="C16" s="316"/>
      <c r="F16" s="1857"/>
      <c r="G16" s="1857">
        <v>1</v>
      </c>
      <c r="H16" s="1857">
        <f>+G16</f>
        <v>1</v>
      </c>
      <c r="I16" s="1857">
        <f>+H16</f>
        <v>1</v>
      </c>
      <c r="J16" s="1857">
        <v>2.5</v>
      </c>
      <c r="K16" s="1857">
        <f>+J16</f>
        <v>2.5</v>
      </c>
      <c r="L16" s="1857">
        <f>+K16</f>
        <v>2.5</v>
      </c>
      <c r="M16" s="49"/>
      <c r="N16" s="462"/>
    </row>
    <row r="17" spans="1:14" outlineLevel="1">
      <c r="A17" s="467">
        <f>ROW()</f>
        <v>17</v>
      </c>
      <c r="B17" s="1860" t="s">
        <v>1216</v>
      </c>
      <c r="C17" s="316"/>
      <c r="F17" s="2146">
        <f>+F16*12</f>
        <v>0</v>
      </c>
      <c r="G17" s="2146">
        <f>+G16*12</f>
        <v>12</v>
      </c>
      <c r="H17" s="2146">
        <f t="shared" si="0"/>
        <v>12</v>
      </c>
      <c r="I17" s="2146">
        <f t="shared" si="0"/>
        <v>12</v>
      </c>
      <c r="J17" s="2146">
        <f t="shared" si="0"/>
        <v>30</v>
      </c>
      <c r="K17" s="2146">
        <f t="shared" si="0"/>
        <v>30</v>
      </c>
      <c r="L17" s="2146">
        <f t="shared" si="0"/>
        <v>30</v>
      </c>
      <c r="M17" s="49"/>
      <c r="N17" s="462"/>
    </row>
    <row r="18" spans="1:14" outlineLevel="1">
      <c r="A18" s="467">
        <f>ROW()</f>
        <v>18</v>
      </c>
      <c r="B18" s="55"/>
      <c r="F18" s="693"/>
      <c r="G18" s="693"/>
      <c r="H18" s="693"/>
      <c r="I18" s="693"/>
      <c r="J18" s="693"/>
      <c r="K18" s="693"/>
      <c r="L18" s="693"/>
      <c r="M18" s="49"/>
      <c r="N18" s="462"/>
    </row>
    <row r="19" spans="1:14" outlineLevel="1">
      <c r="A19" s="467">
        <f>ROW()</f>
        <v>19</v>
      </c>
      <c r="B19" s="51" t="s">
        <v>645</v>
      </c>
      <c r="F19" s="1282"/>
      <c r="G19" s="1282"/>
      <c r="H19" s="694">
        <v>0.03</v>
      </c>
      <c r="I19" s="694">
        <v>0.04</v>
      </c>
      <c r="J19" s="694">
        <v>1.3338312173263627</v>
      </c>
      <c r="K19" s="694">
        <v>0.03</v>
      </c>
      <c r="L19" s="694">
        <f>+K19</f>
        <v>0.03</v>
      </c>
      <c r="M19" s="49"/>
      <c r="N19" s="462" t="s">
        <v>1549</v>
      </c>
    </row>
    <row r="20" spans="1:14" outlineLevel="1">
      <c r="A20" s="467">
        <f>ROW()</f>
        <v>20</v>
      </c>
      <c r="B20" s="51" t="s">
        <v>646</v>
      </c>
      <c r="F20" s="695">
        <f t="shared" ref="F20:L20" si="1">+F21/12</f>
        <v>0</v>
      </c>
      <c r="G20" s="695">
        <f t="shared" si="1"/>
        <v>1</v>
      </c>
      <c r="H20" s="695">
        <f t="shared" si="1"/>
        <v>1.03</v>
      </c>
      <c r="I20" s="695">
        <f t="shared" si="1"/>
        <v>1.0711999999999999</v>
      </c>
      <c r="J20" s="695">
        <f t="shared" si="1"/>
        <v>2.4999999999999996</v>
      </c>
      <c r="K20" s="695">
        <f t="shared" si="1"/>
        <v>2.5749999999999997</v>
      </c>
      <c r="L20" s="695">
        <f t="shared" si="1"/>
        <v>2.65225</v>
      </c>
      <c r="M20" s="49"/>
      <c r="N20" s="462" t="s">
        <v>1547</v>
      </c>
    </row>
    <row r="21" spans="1:14" outlineLevel="1">
      <c r="A21" s="467">
        <f>ROW()</f>
        <v>21</v>
      </c>
      <c r="B21" s="51" t="s">
        <v>647</v>
      </c>
      <c r="F21" s="693">
        <f>+F17*(1+F19)</f>
        <v>0</v>
      </c>
      <c r="G21" s="693">
        <f>+G17*(1+G19)</f>
        <v>12</v>
      </c>
      <c r="H21" s="693">
        <f>+G21*(1+H19)</f>
        <v>12.36</v>
      </c>
      <c r="I21" s="693">
        <f>+H21*(1+I19)</f>
        <v>12.8544</v>
      </c>
      <c r="J21" s="693">
        <f>+I21*(1+J19)</f>
        <v>29.999999999999996</v>
      </c>
      <c r="K21" s="693">
        <f>+J21*(1+K19)</f>
        <v>30.9</v>
      </c>
      <c r="L21" s="693">
        <f>+K21*(1+L19)</f>
        <v>31.826999999999998</v>
      </c>
      <c r="M21" s="49"/>
      <c r="N21" s="462"/>
    </row>
    <row r="22" spans="1:14" outlineLevel="1">
      <c r="A22" s="467">
        <f>ROW()</f>
        <v>22</v>
      </c>
      <c r="B22" s="37"/>
      <c r="E22" s="40"/>
      <c r="F22" s="40"/>
      <c r="G22" s="687"/>
      <c r="H22" s="687"/>
      <c r="I22" s="687"/>
      <c r="J22" s="687"/>
      <c r="K22" s="687"/>
      <c r="L22" s="687"/>
      <c r="M22" s="49"/>
      <c r="N22" s="462"/>
    </row>
    <row r="23" spans="1:14" outlineLevel="1">
      <c r="A23" s="467">
        <f>ROW()</f>
        <v>23</v>
      </c>
      <c r="B23" s="1202" t="s">
        <v>648</v>
      </c>
      <c r="C23" s="242"/>
      <c r="D23" s="243"/>
      <c r="E23" s="471">
        <f t="shared" ref="E23:E41" si="2">SUM(F23:L23)</f>
        <v>3248535</v>
      </c>
      <c r="F23" s="1283">
        <f t="shared" ref="F23:L23" si="3">F11*(F21)</f>
        <v>0</v>
      </c>
      <c r="G23" s="472">
        <f t="shared" si="3"/>
        <v>300000</v>
      </c>
      <c r="H23" s="473">
        <f t="shared" si="3"/>
        <v>309000</v>
      </c>
      <c r="I23" s="473">
        <f t="shared" si="3"/>
        <v>321360</v>
      </c>
      <c r="J23" s="473">
        <f t="shared" si="3"/>
        <v>749999.99999999988</v>
      </c>
      <c r="K23" s="473">
        <f t="shared" si="3"/>
        <v>772500</v>
      </c>
      <c r="L23" s="473">
        <f t="shared" si="3"/>
        <v>795675</v>
      </c>
      <c r="M23" s="49"/>
      <c r="N23" s="462"/>
    </row>
    <row r="24" spans="1:14" outlineLevel="1">
      <c r="A24" s="467">
        <f>ROW()</f>
        <v>24</v>
      </c>
      <c r="B24" s="866"/>
      <c r="C24" s="316" t="s">
        <v>649</v>
      </c>
      <c r="D24" s="68"/>
      <c r="E24" s="867"/>
      <c r="F24" s="867"/>
      <c r="G24" s="774"/>
      <c r="H24" s="868"/>
      <c r="I24" s="868"/>
      <c r="J24" s="868"/>
      <c r="K24" s="868"/>
      <c r="L24" s="868"/>
      <c r="M24" s="49"/>
      <c r="N24" s="462"/>
    </row>
    <row r="25" spans="1:14" outlineLevel="1">
      <c r="A25" s="467">
        <f>ROW()</f>
        <v>25</v>
      </c>
      <c r="B25" s="40" t="s">
        <v>650</v>
      </c>
      <c r="C25" s="1068">
        <v>0</v>
      </c>
      <c r="D25" s="2051" t="s">
        <v>651</v>
      </c>
      <c r="E25" s="2052">
        <f t="shared" si="2"/>
        <v>0</v>
      </c>
      <c r="F25" s="387"/>
      <c r="G25" s="874">
        <f>G$11*$C25</f>
        <v>0</v>
      </c>
      <c r="H25" s="874">
        <f t="shared" ref="H25:L25" si="4">H$11*$C25</f>
        <v>0</v>
      </c>
      <c r="I25" s="874">
        <f t="shared" si="4"/>
        <v>0</v>
      </c>
      <c r="J25" s="874">
        <f t="shared" si="4"/>
        <v>0</v>
      </c>
      <c r="K25" s="874">
        <f t="shared" si="4"/>
        <v>0</v>
      </c>
      <c r="L25" s="874">
        <f t="shared" si="4"/>
        <v>0</v>
      </c>
      <c r="M25" s="49"/>
      <c r="N25" s="462" t="s">
        <v>1541</v>
      </c>
    </row>
    <row r="26" spans="1:14" outlineLevel="1">
      <c r="A26" s="467">
        <f>ROW()</f>
        <v>26</v>
      </c>
      <c r="B26" s="40" t="s">
        <v>652</v>
      </c>
      <c r="C26" s="1069">
        <v>2</v>
      </c>
      <c r="D26" s="2051" t="s">
        <v>651</v>
      </c>
      <c r="E26" s="2052">
        <f t="shared" si="2"/>
        <v>300000</v>
      </c>
      <c r="F26" s="387">
        <v>0</v>
      </c>
      <c r="G26" s="875">
        <f t="shared" ref="G26:L26" si="5">G11*$C$26</f>
        <v>50000</v>
      </c>
      <c r="H26" s="875">
        <f t="shared" si="5"/>
        <v>50000</v>
      </c>
      <c r="I26" s="875">
        <f t="shared" si="5"/>
        <v>50000</v>
      </c>
      <c r="J26" s="875">
        <f t="shared" si="5"/>
        <v>50000</v>
      </c>
      <c r="K26" s="875">
        <f t="shared" si="5"/>
        <v>50000</v>
      </c>
      <c r="L26" s="875">
        <f t="shared" si="5"/>
        <v>50000</v>
      </c>
      <c r="M26" s="53"/>
      <c r="N26" s="462" t="s">
        <v>1540</v>
      </c>
    </row>
    <row r="27" spans="1:14" outlineLevel="1">
      <c r="A27" s="467">
        <f>ROW()</f>
        <v>27</v>
      </c>
      <c r="B27" s="40" t="s">
        <v>653</v>
      </c>
      <c r="C27" s="1068">
        <v>0.45</v>
      </c>
      <c r="D27" s="2051" t="s">
        <v>651</v>
      </c>
      <c r="E27" s="2052">
        <f t="shared" si="2"/>
        <v>67500</v>
      </c>
      <c r="F27" s="387"/>
      <c r="G27" s="875">
        <f t="shared" ref="G27:L27" si="6">G11*$C27</f>
        <v>11250</v>
      </c>
      <c r="H27" s="875">
        <f t="shared" si="6"/>
        <v>11250</v>
      </c>
      <c r="I27" s="875">
        <f t="shared" si="6"/>
        <v>11250</v>
      </c>
      <c r="J27" s="875">
        <f t="shared" si="6"/>
        <v>11250</v>
      </c>
      <c r="K27" s="875">
        <f t="shared" si="6"/>
        <v>11250</v>
      </c>
      <c r="L27" s="875">
        <f t="shared" si="6"/>
        <v>11250</v>
      </c>
      <c r="M27" s="49"/>
      <c r="N27" s="462"/>
    </row>
    <row r="28" spans="1:14" outlineLevel="1">
      <c r="A28" s="467">
        <f>ROW()</f>
        <v>28</v>
      </c>
      <c r="B28" s="40" t="s">
        <v>654</v>
      </c>
      <c r="C28" s="1068">
        <v>0</v>
      </c>
      <c r="D28" s="2051" t="s">
        <v>655</v>
      </c>
      <c r="E28" s="2052">
        <f t="shared" si="2"/>
        <v>0</v>
      </c>
      <c r="F28" s="387"/>
      <c r="G28" s="875">
        <f t="shared" ref="G28" si="7">+C28</f>
        <v>0</v>
      </c>
      <c r="H28" s="875">
        <f t="shared" ref="H28:L29" si="8">+G28</f>
        <v>0</v>
      </c>
      <c r="I28" s="875">
        <f t="shared" si="8"/>
        <v>0</v>
      </c>
      <c r="J28" s="875">
        <f t="shared" si="8"/>
        <v>0</v>
      </c>
      <c r="K28" s="875">
        <f t="shared" si="8"/>
        <v>0</v>
      </c>
      <c r="L28" s="875">
        <f t="shared" si="8"/>
        <v>0</v>
      </c>
      <c r="M28" s="49"/>
      <c r="N28" s="462"/>
    </row>
    <row r="29" spans="1:14" outlineLevel="1">
      <c r="A29" s="467">
        <f>ROW()</f>
        <v>29</v>
      </c>
      <c r="B29" s="40" t="s">
        <v>656</v>
      </c>
      <c r="C29" s="1068">
        <v>0</v>
      </c>
      <c r="D29" s="2051" t="s">
        <v>655</v>
      </c>
      <c r="E29" s="2052">
        <f t="shared" si="2"/>
        <v>0</v>
      </c>
      <c r="F29" s="387"/>
      <c r="G29" s="875">
        <f t="shared" ref="G29" si="9">+C29</f>
        <v>0</v>
      </c>
      <c r="H29" s="875">
        <f t="shared" si="8"/>
        <v>0</v>
      </c>
      <c r="I29" s="875">
        <f t="shared" si="8"/>
        <v>0</v>
      </c>
      <c r="J29" s="875">
        <f t="shared" si="8"/>
        <v>0</v>
      </c>
      <c r="K29" s="875">
        <f t="shared" si="8"/>
        <v>0</v>
      </c>
      <c r="L29" s="875">
        <f t="shared" si="8"/>
        <v>0</v>
      </c>
      <c r="M29" s="49"/>
      <c r="N29" s="462"/>
    </row>
    <row r="30" spans="1:14" outlineLevel="1">
      <c r="A30" s="467">
        <f>ROW()</f>
        <v>30</v>
      </c>
      <c r="B30" s="40" t="s">
        <v>657</v>
      </c>
      <c r="C30" s="1068">
        <v>0</v>
      </c>
      <c r="D30" s="2051" t="s">
        <v>651</v>
      </c>
      <c r="E30" s="2052">
        <f t="shared" ref="E30" si="10">SUM(F30:L30)</f>
        <v>0</v>
      </c>
      <c r="F30" s="387"/>
      <c r="G30" s="875">
        <f>G$11*$C30</f>
        <v>0</v>
      </c>
      <c r="H30" s="875">
        <f t="shared" ref="H30:L32" si="11">H$11*$C30</f>
        <v>0</v>
      </c>
      <c r="I30" s="875">
        <f t="shared" si="11"/>
        <v>0</v>
      </c>
      <c r="J30" s="875">
        <f t="shared" si="11"/>
        <v>0</v>
      </c>
      <c r="K30" s="875">
        <f t="shared" si="11"/>
        <v>0</v>
      </c>
      <c r="L30" s="875">
        <f t="shared" si="11"/>
        <v>0</v>
      </c>
      <c r="M30" s="49"/>
      <c r="N30" s="462"/>
    </row>
    <row r="31" spans="1:14" outlineLevel="1">
      <c r="A31" s="467">
        <f>ROW()</f>
        <v>31</v>
      </c>
      <c r="B31" s="40" t="s">
        <v>658</v>
      </c>
      <c r="C31" s="1068">
        <v>0.25</v>
      </c>
      <c r="D31" s="2051" t="s">
        <v>651</v>
      </c>
      <c r="E31" s="2052">
        <f t="shared" ref="E31" si="12">SUM(F31:L31)</f>
        <v>37500</v>
      </c>
      <c r="F31" s="387"/>
      <c r="G31" s="875">
        <f>G$11*$C31</f>
        <v>6250</v>
      </c>
      <c r="H31" s="875">
        <f t="shared" si="11"/>
        <v>6250</v>
      </c>
      <c r="I31" s="875">
        <f t="shared" si="11"/>
        <v>6250</v>
      </c>
      <c r="J31" s="875">
        <f t="shared" si="11"/>
        <v>6250</v>
      </c>
      <c r="K31" s="875">
        <f t="shared" si="11"/>
        <v>6250</v>
      </c>
      <c r="L31" s="875">
        <f t="shared" si="11"/>
        <v>6250</v>
      </c>
      <c r="M31" s="49"/>
      <c r="N31" s="462">
        <f>+G31/12</f>
        <v>520.83333333333337</v>
      </c>
    </row>
    <row r="32" spans="1:14" outlineLevel="1">
      <c r="A32" s="467">
        <f>ROW()</f>
        <v>32</v>
      </c>
      <c r="B32" s="40" t="s">
        <v>659</v>
      </c>
      <c r="C32" s="1068">
        <v>0</v>
      </c>
      <c r="D32" s="2051" t="s">
        <v>651</v>
      </c>
      <c r="E32" s="2052">
        <f t="shared" ref="E32" si="13">SUM(F32:L32)</f>
        <v>0</v>
      </c>
      <c r="F32" s="869"/>
      <c r="G32" s="876">
        <f>G$11*$C32</f>
        <v>0</v>
      </c>
      <c r="H32" s="876">
        <f t="shared" si="11"/>
        <v>0</v>
      </c>
      <c r="I32" s="876">
        <f t="shared" si="11"/>
        <v>0</v>
      </c>
      <c r="J32" s="876">
        <f t="shared" si="11"/>
        <v>0</v>
      </c>
      <c r="K32" s="876">
        <f t="shared" si="11"/>
        <v>0</v>
      </c>
      <c r="L32" s="876">
        <f t="shared" si="11"/>
        <v>0</v>
      </c>
      <c r="M32" s="49"/>
      <c r="N32" s="462"/>
    </row>
    <row r="33" spans="1:14" outlineLevel="1">
      <c r="A33" s="467">
        <f>ROW()</f>
        <v>33</v>
      </c>
      <c r="B33" s="243" t="s">
        <v>660</v>
      </c>
      <c r="C33" s="870">
        <v>0</v>
      </c>
      <c r="D33" s="2053" t="s">
        <v>661</v>
      </c>
      <c r="E33" s="2054">
        <f t="shared" si="2"/>
        <v>405000</v>
      </c>
      <c r="F33" s="871"/>
      <c r="G33" s="865">
        <f>SUM(G25:G32)*((1+$C$33)^G6)</f>
        <v>67500</v>
      </c>
      <c r="H33" s="928">
        <f t="shared" ref="H33:L33" si="14">SUM(H25:H32)*((1+$C$33)^H6)</f>
        <v>67500</v>
      </c>
      <c r="I33" s="928">
        <f t="shared" si="14"/>
        <v>67500</v>
      </c>
      <c r="J33" s="928">
        <f t="shared" si="14"/>
        <v>67500</v>
      </c>
      <c r="K33" s="928">
        <f t="shared" si="14"/>
        <v>67500</v>
      </c>
      <c r="L33" s="928">
        <f t="shared" si="14"/>
        <v>67500</v>
      </c>
      <c r="M33" s="49"/>
      <c r="N33" s="462"/>
    </row>
    <row r="34" spans="1:14" outlineLevel="1">
      <c r="A34" s="467">
        <f>ROW()</f>
        <v>34</v>
      </c>
      <c r="B34" s="1729" t="s">
        <v>662</v>
      </c>
      <c r="C34" s="1068"/>
      <c r="D34" s="416" t="s">
        <v>663</v>
      </c>
      <c r="E34" s="2052">
        <f t="shared" si="2"/>
        <v>0</v>
      </c>
      <c r="F34" s="387">
        <v>0</v>
      </c>
      <c r="G34" s="387"/>
      <c r="H34" s="875"/>
      <c r="I34" s="875"/>
      <c r="J34" s="875"/>
      <c r="K34" s="875"/>
      <c r="L34" s="875"/>
      <c r="M34" s="49"/>
      <c r="N34" s="462" t="s">
        <v>1545</v>
      </c>
    </row>
    <row r="35" spans="1:14" outlineLevel="1">
      <c r="A35" s="467">
        <f>ROW()</f>
        <v>35</v>
      </c>
      <c r="B35" s="2055" t="s">
        <v>1215</v>
      </c>
      <c r="C35" s="685"/>
      <c r="D35" s="416"/>
      <c r="E35" s="2052">
        <f t="shared" si="2"/>
        <v>0</v>
      </c>
      <c r="F35" s="1731"/>
      <c r="G35" s="1731"/>
      <c r="H35" s="1732"/>
      <c r="I35" s="1732"/>
      <c r="J35" s="1732"/>
      <c r="K35" s="1732"/>
      <c r="L35" s="1732"/>
      <c r="M35" s="49"/>
      <c r="N35" s="462"/>
    </row>
    <row r="36" spans="1:14" outlineLevel="1">
      <c r="A36" s="467">
        <f>ROW()</f>
        <v>36</v>
      </c>
      <c r="B36" s="343" t="s">
        <v>1380</v>
      </c>
      <c r="C36" s="685"/>
      <c r="D36" s="416"/>
      <c r="E36" s="2052"/>
      <c r="F36" s="387"/>
      <c r="G36" s="387"/>
      <c r="H36" s="875"/>
      <c r="I36" s="875"/>
      <c r="J36" s="875"/>
      <c r="K36" s="875"/>
      <c r="L36" s="875"/>
      <c r="M36" s="49"/>
      <c r="N36" s="462"/>
    </row>
    <row r="37" spans="1:14" outlineLevel="1">
      <c r="A37" s="467">
        <f>ROW()</f>
        <v>37</v>
      </c>
      <c r="B37" s="343" t="s">
        <v>1381</v>
      </c>
      <c r="C37" s="685"/>
      <c r="D37" s="416"/>
      <c r="E37" s="2052"/>
      <c r="F37" s="387"/>
      <c r="G37" s="387"/>
      <c r="H37" s="875"/>
      <c r="I37" s="875"/>
      <c r="J37" s="875"/>
      <c r="K37" s="875"/>
      <c r="L37" s="875"/>
      <c r="M37" s="49"/>
      <c r="N37" s="462"/>
    </row>
    <row r="38" spans="1:14" outlineLevel="1">
      <c r="A38" s="467">
        <f>ROW()</f>
        <v>38</v>
      </c>
      <c r="B38" s="343"/>
      <c r="C38" s="685"/>
      <c r="D38" s="416"/>
      <c r="E38" s="2052"/>
      <c r="F38" s="387"/>
      <c r="G38" s="387"/>
      <c r="H38" s="875"/>
      <c r="I38" s="875"/>
      <c r="J38" s="875"/>
      <c r="K38" s="875"/>
      <c r="L38" s="875"/>
      <c r="M38" s="49"/>
      <c r="N38" s="462"/>
    </row>
    <row r="39" spans="1:14" outlineLevel="1">
      <c r="A39" s="467">
        <f>ROW()</f>
        <v>39</v>
      </c>
      <c r="B39" s="343" t="s">
        <v>1383</v>
      </c>
      <c r="C39" s="685"/>
      <c r="D39" s="416"/>
      <c r="E39" s="2052"/>
      <c r="F39" s="387"/>
      <c r="G39" s="387"/>
      <c r="H39" s="875"/>
      <c r="I39" s="875"/>
      <c r="J39" s="875"/>
      <c r="K39" s="875"/>
      <c r="L39" s="875"/>
      <c r="M39" s="49"/>
      <c r="N39" s="462"/>
    </row>
    <row r="40" spans="1:14" outlineLevel="1">
      <c r="A40" s="467">
        <f>ROW()</f>
        <v>40</v>
      </c>
      <c r="B40" s="343" t="s">
        <v>664</v>
      </c>
      <c r="C40" s="2008"/>
      <c r="D40" s="416"/>
      <c r="E40" s="2052">
        <f t="shared" si="2"/>
        <v>0</v>
      </c>
      <c r="F40" s="388">
        <f>F35/15</f>
        <v>0</v>
      </c>
      <c r="G40" s="388">
        <f t="shared" ref="G40:L40" si="15">F40+(G35/15)</f>
        <v>0</v>
      </c>
      <c r="H40" s="389">
        <f t="shared" si="15"/>
        <v>0</v>
      </c>
      <c r="I40" s="389">
        <f t="shared" si="15"/>
        <v>0</v>
      </c>
      <c r="J40" s="389">
        <f t="shared" si="15"/>
        <v>0</v>
      </c>
      <c r="K40" s="389">
        <f t="shared" si="15"/>
        <v>0</v>
      </c>
      <c r="L40" s="389">
        <f t="shared" si="15"/>
        <v>0</v>
      </c>
      <c r="M40" s="49"/>
      <c r="N40" s="462"/>
    </row>
    <row r="41" spans="1:14" outlineLevel="1">
      <c r="A41" s="467">
        <f>ROW()</f>
        <v>41</v>
      </c>
      <c r="B41" s="872" t="s">
        <v>665</v>
      </c>
      <c r="C41" s="243"/>
      <c r="D41" s="243"/>
      <c r="E41" s="873">
        <f t="shared" si="2"/>
        <v>3653535</v>
      </c>
      <c r="F41" s="2056">
        <f>SUM(F23,F33,F34,F35:F39)</f>
        <v>0</v>
      </c>
      <c r="G41" s="2056">
        <f>SUM(G23,G33,G34,G35:G39)</f>
        <v>367500</v>
      </c>
      <c r="H41" s="2056">
        <f t="shared" ref="H41:L41" si="16">SUM(H23,H33,H34,H35:H39)</f>
        <v>376500</v>
      </c>
      <c r="I41" s="2056">
        <f t="shared" si="16"/>
        <v>388860</v>
      </c>
      <c r="J41" s="2056">
        <f t="shared" si="16"/>
        <v>817499.99999999988</v>
      </c>
      <c r="K41" s="2056">
        <f t="shared" si="16"/>
        <v>840000</v>
      </c>
      <c r="L41" s="2056">
        <f t="shared" si="16"/>
        <v>863175</v>
      </c>
      <c r="M41" s="49"/>
      <c r="N41" s="462"/>
    </row>
    <row r="42" spans="1:14" outlineLevel="1">
      <c r="A42" s="467">
        <f>ROW()</f>
        <v>42</v>
      </c>
      <c r="B42" s="56" t="s">
        <v>666</v>
      </c>
      <c r="E42" s="37"/>
      <c r="F42" s="979">
        <f t="shared" ref="F42" si="17">SUM(F23,F33)+F40</f>
        <v>0</v>
      </c>
      <c r="G42" s="979">
        <f>SUM(G23,G33)+G40</f>
        <v>367500</v>
      </c>
      <c r="H42" s="979">
        <f t="shared" ref="H42:L42" si="18">SUM(H23,H33)+H40</f>
        <v>376500</v>
      </c>
      <c r="I42" s="979">
        <f t="shared" si="18"/>
        <v>388860</v>
      </c>
      <c r="J42" s="979">
        <f t="shared" si="18"/>
        <v>817499.99999999988</v>
      </c>
      <c r="K42" s="979">
        <f t="shared" si="18"/>
        <v>840000</v>
      </c>
      <c r="L42" s="979">
        <f t="shared" si="18"/>
        <v>863175</v>
      </c>
      <c r="M42" s="49"/>
      <c r="N42" s="462"/>
    </row>
    <row r="43" spans="1:14" s="37" customFormat="1" ht="14.4" outlineLevel="1">
      <c r="A43" s="467">
        <f>ROW()</f>
        <v>43</v>
      </c>
      <c r="B43" s="624" t="s">
        <v>667</v>
      </c>
      <c r="F43" s="330">
        <f>+F42-F41</f>
        <v>0</v>
      </c>
      <c r="G43" s="330">
        <f>+G42-G41</f>
        <v>0</v>
      </c>
      <c r="H43" s="330">
        <f t="shared" ref="H43:L43" si="19">+H42-H41</f>
        <v>0</v>
      </c>
      <c r="I43" s="330">
        <f t="shared" si="19"/>
        <v>0</v>
      </c>
      <c r="J43" s="330">
        <f t="shared" si="19"/>
        <v>0</v>
      </c>
      <c r="K43" s="330">
        <f t="shared" si="19"/>
        <v>0</v>
      </c>
      <c r="L43" s="330">
        <f t="shared" si="19"/>
        <v>0</v>
      </c>
      <c r="M43" s="57"/>
      <c r="N43" s="462"/>
    </row>
    <row r="44" spans="1:14" s="37" customFormat="1" outlineLevel="1">
      <c r="A44" s="467">
        <f>ROW()</f>
        <v>44</v>
      </c>
      <c r="B44" s="81"/>
      <c r="C44" s="81"/>
      <c r="D44" s="81"/>
      <c r="E44" s="81"/>
      <c r="F44" s="210"/>
      <c r="G44" s="210"/>
      <c r="H44" s="210"/>
      <c r="I44" s="210"/>
      <c r="J44" s="210"/>
      <c r="K44" s="210"/>
      <c r="L44" s="210"/>
      <c r="M44" s="57"/>
      <c r="N44" s="462"/>
    </row>
    <row r="45" spans="1:14" s="37" customFormat="1" outlineLevel="1">
      <c r="A45" s="467">
        <f>ROW()</f>
        <v>45</v>
      </c>
      <c r="B45" s="625" t="s">
        <v>668</v>
      </c>
      <c r="C45" s="40"/>
      <c r="D45" s="40"/>
      <c r="E45" s="43"/>
      <c r="F45" s="40"/>
      <c r="G45" s="70">
        <f t="shared" ref="G45:L45" si="20">+G23/12</f>
        <v>25000</v>
      </c>
      <c r="H45" s="70">
        <f t="shared" si="20"/>
        <v>25750</v>
      </c>
      <c r="I45" s="70">
        <f t="shared" si="20"/>
        <v>26780</v>
      </c>
      <c r="J45" s="70">
        <f t="shared" si="20"/>
        <v>62499.999999999993</v>
      </c>
      <c r="K45" s="70">
        <f t="shared" si="20"/>
        <v>64375</v>
      </c>
      <c r="L45" s="70">
        <f t="shared" si="20"/>
        <v>66306.25</v>
      </c>
      <c r="M45" s="57"/>
      <c r="N45" s="462"/>
    </row>
    <row r="46" spans="1:14" s="37" customFormat="1" outlineLevel="1">
      <c r="A46" s="467">
        <f>ROW()</f>
        <v>46</v>
      </c>
      <c r="B46" s="52" t="s">
        <v>669</v>
      </c>
      <c r="C46" s="40"/>
      <c r="D46" s="40"/>
      <c r="E46" s="43"/>
      <c r="F46" s="40"/>
      <c r="G46" s="62">
        <f t="shared" ref="G46:L48" si="21">+G25/12</f>
        <v>0</v>
      </c>
      <c r="H46" s="62">
        <f t="shared" si="21"/>
        <v>0</v>
      </c>
      <c r="I46" s="62">
        <f t="shared" si="21"/>
        <v>0</v>
      </c>
      <c r="J46" s="62">
        <f t="shared" si="21"/>
        <v>0</v>
      </c>
      <c r="K46" s="62">
        <f t="shared" si="21"/>
        <v>0</v>
      </c>
      <c r="L46" s="62">
        <f t="shared" si="21"/>
        <v>0</v>
      </c>
      <c r="M46" s="57"/>
      <c r="N46" s="462"/>
    </row>
    <row r="47" spans="1:14" s="37" customFormat="1" outlineLevel="1">
      <c r="A47" s="467">
        <f>ROW()</f>
        <v>47</v>
      </c>
      <c r="B47" s="52" t="s">
        <v>670</v>
      </c>
      <c r="C47" s="40"/>
      <c r="D47" s="40"/>
      <c r="E47" s="43"/>
      <c r="F47" s="40"/>
      <c r="G47" s="62">
        <f t="shared" si="21"/>
        <v>4166.666666666667</v>
      </c>
      <c r="H47" s="62">
        <f t="shared" si="21"/>
        <v>4166.666666666667</v>
      </c>
      <c r="I47" s="62">
        <f t="shared" si="21"/>
        <v>4166.666666666667</v>
      </c>
      <c r="J47" s="62">
        <f t="shared" si="21"/>
        <v>4166.666666666667</v>
      </c>
      <c r="K47" s="62">
        <f t="shared" si="21"/>
        <v>4166.666666666667</v>
      </c>
      <c r="L47" s="62">
        <f t="shared" si="21"/>
        <v>4166.666666666667</v>
      </c>
      <c r="M47" s="57"/>
      <c r="N47" s="462"/>
    </row>
    <row r="48" spans="1:14" s="37" customFormat="1" outlineLevel="1">
      <c r="A48" s="467">
        <f>ROW()</f>
        <v>48</v>
      </c>
      <c r="B48" s="52" t="s">
        <v>671</v>
      </c>
      <c r="C48" s="40"/>
      <c r="D48" s="40"/>
      <c r="E48" s="43"/>
      <c r="F48" s="40"/>
      <c r="G48" s="62">
        <f t="shared" si="21"/>
        <v>937.5</v>
      </c>
      <c r="H48" s="62">
        <f t="shared" si="21"/>
        <v>937.5</v>
      </c>
      <c r="I48" s="62">
        <f t="shared" si="21"/>
        <v>937.5</v>
      </c>
      <c r="J48" s="62">
        <f t="shared" si="21"/>
        <v>937.5</v>
      </c>
      <c r="K48" s="62">
        <f t="shared" si="21"/>
        <v>937.5</v>
      </c>
      <c r="L48" s="62">
        <f t="shared" si="21"/>
        <v>937.5</v>
      </c>
      <c r="M48" s="57"/>
      <c r="N48" s="462"/>
    </row>
    <row r="49" spans="1:14" s="37" customFormat="1" outlineLevel="1">
      <c r="A49" s="467">
        <f>ROW()</f>
        <v>49</v>
      </c>
      <c r="B49" s="52" t="s">
        <v>654</v>
      </c>
      <c r="C49" s="40"/>
      <c r="D49" s="40"/>
      <c r="E49" s="40"/>
      <c r="F49" s="40"/>
      <c r="G49" s="62">
        <f t="shared" ref="G49:L49" si="22">+G29/12</f>
        <v>0</v>
      </c>
      <c r="H49" s="62">
        <f t="shared" si="22"/>
        <v>0</v>
      </c>
      <c r="I49" s="62">
        <f t="shared" si="22"/>
        <v>0</v>
      </c>
      <c r="J49" s="62">
        <f t="shared" si="22"/>
        <v>0</v>
      </c>
      <c r="K49" s="62">
        <f t="shared" si="22"/>
        <v>0</v>
      </c>
      <c r="L49" s="62">
        <f t="shared" si="22"/>
        <v>0</v>
      </c>
      <c r="M49" s="57"/>
      <c r="N49" s="462"/>
    </row>
    <row r="50" spans="1:14" s="37" customFormat="1" outlineLevel="1">
      <c r="A50" s="467">
        <f>ROW()</f>
        <v>50</v>
      </c>
      <c r="M50" s="57"/>
      <c r="N50" s="462"/>
    </row>
    <row r="51" spans="1:14" s="37" customFormat="1" outlineLevel="1">
      <c r="A51" s="467">
        <f>ROW()</f>
        <v>51</v>
      </c>
      <c r="B51" s="54" t="s">
        <v>672</v>
      </c>
      <c r="C51" s="38" t="s">
        <v>673</v>
      </c>
      <c r="G51" s="58"/>
      <c r="H51" s="58"/>
      <c r="I51" s="58"/>
      <c r="J51" s="58"/>
      <c r="K51" s="58"/>
      <c r="L51" s="58"/>
      <c r="M51" s="57"/>
      <c r="N51" s="462"/>
    </row>
    <row r="52" spans="1:14" s="37" customFormat="1" outlineLevel="1">
      <c r="A52" s="467">
        <f>ROW()</f>
        <v>52</v>
      </c>
      <c r="B52" s="56" t="s">
        <v>674</v>
      </c>
      <c r="C52" s="38"/>
      <c r="G52" s="58"/>
      <c r="H52" s="58"/>
      <c r="I52" s="58"/>
      <c r="J52" s="58"/>
      <c r="K52" s="58"/>
      <c r="L52" s="58"/>
      <c r="M52" s="57"/>
      <c r="N52" s="462"/>
    </row>
    <row r="53" spans="1:14" s="37" customFormat="1" outlineLevel="1">
      <c r="A53" s="467">
        <f>ROW()</f>
        <v>53</v>
      </c>
      <c r="B53" s="56"/>
      <c r="C53" s="38"/>
      <c r="G53" s="58"/>
      <c r="H53" s="58"/>
      <c r="I53" s="58"/>
      <c r="J53" s="58"/>
      <c r="K53" s="58"/>
      <c r="L53" s="58"/>
      <c r="M53" s="57"/>
      <c r="N53" s="462"/>
    </row>
    <row r="54" spans="1:14" ht="15" customHeight="1" outlineLevel="1">
      <c r="A54" s="467">
        <f>ROW()</f>
        <v>54</v>
      </c>
      <c r="B54" s="332" t="s">
        <v>675</v>
      </c>
      <c r="C54" s="334"/>
      <c r="D54" s="333"/>
      <c r="E54" s="37"/>
      <c r="G54" s="59"/>
      <c r="H54" s="60"/>
      <c r="I54" s="60"/>
      <c r="J54" s="60"/>
      <c r="K54" s="60"/>
      <c r="L54" s="60"/>
      <c r="M54" s="49"/>
      <c r="N54" s="462"/>
    </row>
    <row r="55" spans="1:14" ht="15" customHeight="1" outlineLevel="1">
      <c r="A55" s="467">
        <f>ROW()</f>
        <v>55</v>
      </c>
      <c r="B55" s="40" t="s">
        <v>676</v>
      </c>
      <c r="C55" s="1073">
        <v>2.5</v>
      </c>
      <c r="D55" s="416"/>
      <c r="E55" s="2008" t="s">
        <v>677</v>
      </c>
      <c r="F55" s="1957"/>
      <c r="G55" s="1070">
        <v>0</v>
      </c>
      <c r="H55" s="40" t="s">
        <v>678</v>
      </c>
      <c r="M55" s="49"/>
      <c r="N55" s="462"/>
    </row>
    <row r="56" spans="1:14" ht="15" customHeight="1" outlineLevel="1">
      <c r="A56" s="467">
        <f>ROW()</f>
        <v>56</v>
      </c>
      <c r="B56" s="40" t="s">
        <v>679</v>
      </c>
      <c r="C56" s="1068">
        <v>0</v>
      </c>
      <c r="D56" s="416" t="s">
        <v>649</v>
      </c>
      <c r="E56" s="2008" t="s">
        <v>680</v>
      </c>
      <c r="F56" s="1957"/>
      <c r="G56" s="2044">
        <f>C60*(1-G55)</f>
        <v>0</v>
      </c>
      <c r="I56" s="61"/>
      <c r="J56" s="61"/>
      <c r="K56" s="61"/>
      <c r="L56" s="61"/>
      <c r="M56" s="49"/>
      <c r="N56" s="462"/>
    </row>
    <row r="57" spans="1:14" ht="15" customHeight="1" outlineLevel="1">
      <c r="A57" s="467">
        <f>ROW()</f>
        <v>57</v>
      </c>
      <c r="B57" s="40" t="s">
        <v>681</v>
      </c>
      <c r="C57" s="2045">
        <f>C55*C56</f>
        <v>0</v>
      </c>
      <c r="D57" s="416"/>
      <c r="E57" s="416" t="s">
        <v>682</v>
      </c>
      <c r="F57" s="1957"/>
      <c r="G57" s="1072">
        <v>0</v>
      </c>
      <c r="H57" s="50"/>
      <c r="M57" s="49"/>
      <c r="N57" s="462"/>
    </row>
    <row r="58" spans="1:14" ht="15" customHeight="1" outlineLevel="1">
      <c r="A58" s="467">
        <f>ROW()</f>
        <v>58</v>
      </c>
      <c r="B58" s="40" t="s">
        <v>683</v>
      </c>
      <c r="C58" s="1068">
        <v>0</v>
      </c>
      <c r="D58" s="416" t="s">
        <v>649</v>
      </c>
      <c r="E58" s="2008" t="s">
        <v>684</v>
      </c>
      <c r="F58" s="1957"/>
      <c r="G58" s="1072">
        <v>0</v>
      </c>
      <c r="H58" s="50"/>
      <c r="M58" s="49"/>
      <c r="N58" s="462"/>
    </row>
    <row r="59" spans="1:14" ht="15" customHeight="1" outlineLevel="1">
      <c r="A59" s="467">
        <f>ROW()</f>
        <v>59</v>
      </c>
      <c r="B59" s="40" t="s">
        <v>685</v>
      </c>
      <c r="C59" s="2046">
        <f>C55*C58</f>
        <v>0</v>
      </c>
      <c r="D59" s="416"/>
      <c r="E59" s="416" t="s">
        <v>686</v>
      </c>
      <c r="F59" s="1957"/>
      <c r="G59" s="1071">
        <v>0</v>
      </c>
      <c r="M59" s="49"/>
      <c r="N59" s="462"/>
    </row>
    <row r="60" spans="1:14" ht="15" customHeight="1" outlineLevel="1">
      <c r="A60" s="467">
        <f>ROW()</f>
        <v>60</v>
      </c>
      <c r="B60" s="37" t="s">
        <v>687</v>
      </c>
      <c r="C60" s="2044">
        <f>C57+C59</f>
        <v>0</v>
      </c>
      <c r="D60" s="416"/>
      <c r="E60" s="1957"/>
      <c r="F60" s="1957"/>
      <c r="G60" s="416"/>
      <c r="M60" s="49"/>
      <c r="N60" s="462"/>
    </row>
    <row r="61" spans="1:14" ht="15" customHeight="1" outlineLevel="1">
      <c r="A61" s="467">
        <f>ROW()</f>
        <v>61</v>
      </c>
      <c r="B61" s="40" t="s">
        <v>688</v>
      </c>
      <c r="C61" s="1957"/>
      <c r="D61" s="2047">
        <f>IFERROR(-PMT(G59/12,G57*12,G56,0,1),0)</f>
        <v>0</v>
      </c>
      <c r="E61" s="416"/>
      <c r="F61" s="416"/>
      <c r="G61" s="416"/>
      <c r="H61" s="50"/>
      <c r="I61" s="50"/>
      <c r="J61" s="50"/>
      <c r="K61" s="50"/>
      <c r="L61" s="50"/>
      <c r="M61" s="49"/>
      <c r="N61" s="462"/>
    </row>
    <row r="62" spans="1:14" ht="15" customHeight="1" outlineLevel="1">
      <c r="A62" s="467">
        <f>ROW()</f>
        <v>62</v>
      </c>
      <c r="B62" s="40" t="s">
        <v>689</v>
      </c>
      <c r="C62" s="1957"/>
      <c r="D62" s="2044">
        <f>D61*12</f>
        <v>0</v>
      </c>
      <c r="E62" s="2048"/>
      <c r="F62" s="2048"/>
      <c r="G62" s="2049">
        <f>+D62</f>
        <v>0</v>
      </c>
      <c r="H62" s="337">
        <f>IF(H7-$G$7&lt;$G$57,$D$62,0)</f>
        <v>0</v>
      </c>
      <c r="I62" s="337">
        <f>IF(I7-$G$7&lt;$G$57,$D$62,0)</f>
        <v>0</v>
      </c>
      <c r="J62" s="337">
        <f>IF(J7-$G$7&lt;$G$57,$D$62,0)</f>
        <v>0</v>
      </c>
      <c r="K62" s="337">
        <f>IF(K7-$G$7&lt;$G$57,$D$62,0)</f>
        <v>0</v>
      </c>
      <c r="L62" s="337">
        <f>IF(L7-$G$7&lt;$G$57,$D$62,0)</f>
        <v>0</v>
      </c>
      <c r="M62" s="49"/>
      <c r="N62" s="462"/>
    </row>
    <row r="63" spans="1:14" ht="15" customHeight="1" outlineLevel="1">
      <c r="A63" s="467">
        <f>ROW()</f>
        <v>63</v>
      </c>
      <c r="B63" s="40" t="s">
        <v>690</v>
      </c>
      <c r="C63" s="1957"/>
      <c r="D63" s="2044">
        <f>IFERROR((-PV(0.02,G57,0,((D62*G57)-G56),0))/G57,0)</f>
        <v>0</v>
      </c>
      <c r="E63" s="2048"/>
      <c r="F63" s="2048"/>
      <c r="G63" s="2050">
        <f>$D$63</f>
        <v>0</v>
      </c>
      <c r="H63" s="338">
        <f>IF(H7-$G$7&lt;$G$57,$D$63,0)</f>
        <v>0</v>
      </c>
      <c r="I63" s="338">
        <f>IF(I7-$G$7&lt;$G$57,$D$63,0)</f>
        <v>0</v>
      </c>
      <c r="J63" s="338">
        <f>IF(J7-$G$7&lt;$G$57,$D$63,0)</f>
        <v>0</v>
      </c>
      <c r="K63" s="338">
        <f>IF(K7-$G$7&lt;$G$57,$D$63,0)</f>
        <v>0</v>
      </c>
      <c r="L63" s="338">
        <f>IF(L7-$G$7&lt;$G$57,$D$63,0)</f>
        <v>0</v>
      </c>
      <c r="M63" s="49"/>
      <c r="N63" s="462"/>
    </row>
    <row r="64" spans="1:14" ht="15" customHeight="1" outlineLevel="1">
      <c r="A64" s="467">
        <f>ROW()</f>
        <v>64</v>
      </c>
      <c r="B64" s="40" t="s">
        <v>691</v>
      </c>
      <c r="C64" s="1957"/>
      <c r="D64" s="416"/>
      <c r="E64" s="416"/>
      <c r="F64" s="416"/>
      <c r="G64" s="1990"/>
      <c r="H64" s="63"/>
      <c r="I64" s="63"/>
      <c r="J64" s="63"/>
      <c r="K64" s="63"/>
      <c r="L64" s="63"/>
      <c r="M64" s="49"/>
      <c r="N64" s="462"/>
    </row>
    <row r="65" spans="1:14" ht="15" customHeight="1" outlineLevel="1">
      <c r="A65" s="467">
        <f>ROW()</f>
        <v>65</v>
      </c>
      <c r="B65" s="40" t="s">
        <v>692</v>
      </c>
      <c r="C65" s="1068">
        <v>0</v>
      </c>
      <c r="D65" s="416" t="s">
        <v>649</v>
      </c>
      <c r="E65" s="416"/>
      <c r="F65" s="416"/>
      <c r="G65" s="1994">
        <f t="shared" ref="G65:L65" si="23">$C$65*$C$55</f>
        <v>0</v>
      </c>
      <c r="H65" s="331">
        <f t="shared" si="23"/>
        <v>0</v>
      </c>
      <c r="I65" s="331">
        <f t="shared" si="23"/>
        <v>0</v>
      </c>
      <c r="J65" s="331">
        <f t="shared" si="23"/>
        <v>0</v>
      </c>
      <c r="K65" s="331">
        <f t="shared" si="23"/>
        <v>0</v>
      </c>
      <c r="L65" s="331">
        <f t="shared" si="23"/>
        <v>0</v>
      </c>
      <c r="M65" s="49"/>
      <c r="N65" s="462"/>
    </row>
    <row r="66" spans="1:14" ht="15" customHeight="1" outlineLevel="1">
      <c r="A66" s="467">
        <f>ROW()</f>
        <v>66</v>
      </c>
      <c r="B66" s="54" t="s">
        <v>381</v>
      </c>
      <c r="C66" s="1068">
        <v>0</v>
      </c>
      <c r="D66" s="416" t="s">
        <v>649</v>
      </c>
      <c r="E66" s="416"/>
      <c r="F66" s="416"/>
      <c r="G66" s="1994">
        <f t="shared" ref="G66:L66" si="24">$C$66*$C$55</f>
        <v>0</v>
      </c>
      <c r="H66" s="331">
        <f t="shared" si="24"/>
        <v>0</v>
      </c>
      <c r="I66" s="331">
        <f t="shared" si="24"/>
        <v>0</v>
      </c>
      <c r="J66" s="331">
        <f t="shared" si="24"/>
        <v>0</v>
      </c>
      <c r="K66" s="331">
        <f t="shared" si="24"/>
        <v>0</v>
      </c>
      <c r="L66" s="331">
        <f t="shared" si="24"/>
        <v>0</v>
      </c>
      <c r="M66" s="49"/>
      <c r="N66" s="462"/>
    </row>
    <row r="67" spans="1:14" ht="15" customHeight="1" outlineLevel="1">
      <c r="A67" s="467">
        <f>ROW()</f>
        <v>67</v>
      </c>
      <c r="B67" s="54" t="s">
        <v>658</v>
      </c>
      <c r="C67" s="1068">
        <v>0</v>
      </c>
      <c r="D67" s="416" t="s">
        <v>649</v>
      </c>
      <c r="E67" s="416"/>
      <c r="F67" s="416"/>
      <c r="G67" s="1994">
        <f t="shared" ref="G67:L67" si="25">$C$67*$C$55</f>
        <v>0</v>
      </c>
      <c r="H67" s="331">
        <f t="shared" si="25"/>
        <v>0</v>
      </c>
      <c r="I67" s="331">
        <f t="shared" si="25"/>
        <v>0</v>
      </c>
      <c r="J67" s="331">
        <f t="shared" si="25"/>
        <v>0</v>
      </c>
      <c r="K67" s="331">
        <f t="shared" si="25"/>
        <v>0</v>
      </c>
      <c r="L67" s="331">
        <f t="shared" si="25"/>
        <v>0</v>
      </c>
      <c r="M67" s="49"/>
      <c r="N67" s="462"/>
    </row>
    <row r="68" spans="1:14" ht="15" customHeight="1" outlineLevel="1">
      <c r="A68" s="467">
        <f>ROW()</f>
        <v>68</v>
      </c>
      <c r="B68" s="54" t="s">
        <v>654</v>
      </c>
      <c r="C68" s="1068">
        <v>0</v>
      </c>
      <c r="D68" s="416" t="s">
        <v>423</v>
      </c>
      <c r="E68" s="416"/>
      <c r="F68" s="416"/>
      <c r="G68" s="1994">
        <f t="shared" ref="G68:L68" si="26">$C$68</f>
        <v>0</v>
      </c>
      <c r="H68" s="331">
        <f t="shared" si="26"/>
        <v>0</v>
      </c>
      <c r="I68" s="331">
        <f t="shared" si="26"/>
        <v>0</v>
      </c>
      <c r="J68" s="331">
        <f t="shared" si="26"/>
        <v>0</v>
      </c>
      <c r="K68" s="331">
        <f t="shared" si="26"/>
        <v>0</v>
      </c>
      <c r="L68" s="331">
        <f t="shared" si="26"/>
        <v>0</v>
      </c>
      <c r="M68" s="49"/>
      <c r="N68" s="462"/>
    </row>
    <row r="69" spans="1:14" ht="15" customHeight="1" outlineLevel="1">
      <c r="A69" s="467">
        <f>ROW()</f>
        <v>69</v>
      </c>
      <c r="B69" s="40" t="s">
        <v>693</v>
      </c>
      <c r="E69" s="40"/>
      <c r="F69" s="40"/>
      <c r="G69" s="331">
        <f>C57*G55</f>
        <v>0</v>
      </c>
      <c r="H69" s="331"/>
      <c r="I69" s="331"/>
      <c r="J69" s="331"/>
      <c r="K69" s="331"/>
      <c r="L69" s="331"/>
      <c r="M69" s="49"/>
      <c r="N69" s="462"/>
    </row>
    <row r="70" spans="1:14" ht="15" customHeight="1" outlineLevel="1">
      <c r="A70" s="467">
        <f>ROW()</f>
        <v>70</v>
      </c>
      <c r="B70" s="40" t="s">
        <v>694</v>
      </c>
      <c r="E70" s="40"/>
      <c r="F70" s="40"/>
      <c r="G70" s="331"/>
      <c r="H70" s="331"/>
      <c r="I70" s="331"/>
      <c r="J70" s="331"/>
      <c r="K70" s="331"/>
      <c r="L70" s="331"/>
      <c r="M70" s="49"/>
      <c r="N70" s="462"/>
    </row>
    <row r="71" spans="1:14" ht="15" customHeight="1" outlineLevel="1">
      <c r="A71" s="467">
        <f>ROW()</f>
        <v>71</v>
      </c>
      <c r="B71" s="1303" t="s">
        <v>695</v>
      </c>
      <c r="C71" s="1303"/>
      <c r="D71" s="1303"/>
      <c r="E71" s="1303"/>
      <c r="F71" s="1622"/>
      <c r="G71" s="911">
        <f t="shared" ref="G71:L71" si="27">SUM(G62:G70)-G63</f>
        <v>0</v>
      </c>
      <c r="H71" s="911">
        <f t="shared" si="27"/>
        <v>0</v>
      </c>
      <c r="I71" s="911">
        <f t="shared" si="27"/>
        <v>0</v>
      </c>
      <c r="J71" s="911">
        <f t="shared" si="27"/>
        <v>0</v>
      </c>
      <c r="K71" s="911">
        <f t="shared" si="27"/>
        <v>0</v>
      </c>
      <c r="L71" s="911">
        <f t="shared" si="27"/>
        <v>0</v>
      </c>
      <c r="M71" s="49"/>
      <c r="N71" s="462"/>
    </row>
    <row r="72" spans="1:14" ht="15" customHeight="1" outlineLevel="1">
      <c r="A72" s="467">
        <f>ROW()</f>
        <v>72</v>
      </c>
      <c r="B72" s="178" t="s">
        <v>696</v>
      </c>
      <c r="C72" s="178"/>
      <c r="D72" s="178"/>
      <c r="E72" s="178"/>
      <c r="F72" s="238"/>
      <c r="G72" s="686">
        <f t="shared" ref="G72:L72" si="28">(($C$57+$C$59)/50)+G65+G66+G67+G68</f>
        <v>0</v>
      </c>
      <c r="H72" s="686">
        <f t="shared" si="28"/>
        <v>0</v>
      </c>
      <c r="I72" s="686">
        <f t="shared" si="28"/>
        <v>0</v>
      </c>
      <c r="J72" s="686">
        <f t="shared" si="28"/>
        <v>0</v>
      </c>
      <c r="K72" s="686">
        <f t="shared" si="28"/>
        <v>0</v>
      </c>
      <c r="L72" s="686">
        <f t="shared" si="28"/>
        <v>0</v>
      </c>
      <c r="M72" s="49"/>
      <c r="N72" s="462"/>
    </row>
    <row r="73" spans="1:14" outlineLevel="1">
      <c r="A73" s="467">
        <f>ROW()</f>
        <v>73</v>
      </c>
      <c r="E73" s="40"/>
      <c r="F73" s="40"/>
      <c r="G73" s="687"/>
      <c r="H73" s="688"/>
      <c r="I73" s="688"/>
      <c r="J73" s="688"/>
      <c r="K73" s="688"/>
      <c r="L73" s="688"/>
      <c r="M73" s="49"/>
      <c r="N73" s="462"/>
    </row>
    <row r="74" spans="1:14" outlineLevel="1">
      <c r="A74" s="467">
        <f>ROW()</f>
        <v>74</v>
      </c>
      <c r="B74" s="705" t="s">
        <v>697</v>
      </c>
      <c r="C74" s="706"/>
      <c r="D74" s="706"/>
      <c r="E74" s="707">
        <f>SUM(F74:L74)</f>
        <v>3653535</v>
      </c>
      <c r="F74" s="708">
        <f t="shared" ref="F74:L75" si="29">IF($C$7="Lease",F41,F71)</f>
        <v>0</v>
      </c>
      <c r="G74" s="708">
        <f t="shared" si="29"/>
        <v>367500</v>
      </c>
      <c r="H74" s="708">
        <f t="shared" si="29"/>
        <v>376500</v>
      </c>
      <c r="I74" s="708">
        <f t="shared" si="29"/>
        <v>388860</v>
      </c>
      <c r="J74" s="708">
        <f t="shared" si="29"/>
        <v>817499.99999999988</v>
      </c>
      <c r="K74" s="708">
        <f t="shared" si="29"/>
        <v>840000</v>
      </c>
      <c r="L74" s="708">
        <f t="shared" si="29"/>
        <v>863175</v>
      </c>
      <c r="M74" s="49"/>
      <c r="N74" s="462"/>
    </row>
    <row r="75" spans="1:14" outlineLevel="1">
      <c r="A75" s="467">
        <f>ROW()</f>
        <v>75</v>
      </c>
      <c r="B75" s="700" t="s">
        <v>698</v>
      </c>
      <c r="C75" s="701"/>
      <c r="D75" s="701"/>
      <c r="E75" s="702">
        <f>SUM(F75:L75)</f>
        <v>3653535</v>
      </c>
      <c r="F75" s="704">
        <f t="shared" si="29"/>
        <v>0</v>
      </c>
      <c r="G75" s="704">
        <f t="shared" si="29"/>
        <v>367500</v>
      </c>
      <c r="H75" s="703">
        <f t="shared" si="29"/>
        <v>376500</v>
      </c>
      <c r="I75" s="703">
        <f t="shared" si="29"/>
        <v>388860</v>
      </c>
      <c r="J75" s="703">
        <f t="shared" si="29"/>
        <v>817499.99999999988</v>
      </c>
      <c r="K75" s="703">
        <f t="shared" si="29"/>
        <v>840000</v>
      </c>
      <c r="L75" s="703">
        <f t="shared" si="29"/>
        <v>863175</v>
      </c>
      <c r="M75" s="49"/>
      <c r="N75" s="462"/>
    </row>
    <row r="76" spans="1:14">
      <c r="A76" s="467">
        <f>ROW()</f>
        <v>76</v>
      </c>
      <c r="B76" s="964" t="str">
        <f>IF(C7="Lease",$B$42,B75)</f>
        <v>Total lease book expense (shown on Summary tab)</v>
      </c>
      <c r="C76" s="965"/>
      <c r="D76" s="965"/>
      <c r="E76" s="966">
        <f>SUM(F76:L76)</f>
        <v>3653535</v>
      </c>
      <c r="F76" s="967">
        <f t="shared" ref="F76:L76" si="30">IF($C$7="Lease",F42,F72)</f>
        <v>0</v>
      </c>
      <c r="G76" s="967">
        <f t="shared" si="30"/>
        <v>367500</v>
      </c>
      <c r="H76" s="967">
        <f t="shared" si="30"/>
        <v>376500</v>
      </c>
      <c r="I76" s="967">
        <f t="shared" si="30"/>
        <v>388860</v>
      </c>
      <c r="J76" s="967">
        <f t="shared" si="30"/>
        <v>817499.99999999988</v>
      </c>
      <c r="K76" s="967">
        <f t="shared" si="30"/>
        <v>840000</v>
      </c>
      <c r="L76" s="967">
        <f t="shared" si="30"/>
        <v>863175</v>
      </c>
      <c r="M76" s="49"/>
      <c r="N76" s="462"/>
    </row>
    <row r="77" spans="1:14">
      <c r="A77" s="467">
        <f>ROW()</f>
        <v>77</v>
      </c>
      <c r="B77" s="40" t="s">
        <v>699</v>
      </c>
      <c r="E77" s="689"/>
      <c r="F77" s="690">
        <f t="shared" ref="F77:L77" si="31">+F76-F74</f>
        <v>0</v>
      </c>
      <c r="G77" s="690">
        <f t="shared" si="31"/>
        <v>0</v>
      </c>
      <c r="H77" s="690">
        <f t="shared" si="31"/>
        <v>0</v>
      </c>
      <c r="I77" s="690">
        <f t="shared" si="31"/>
        <v>0</v>
      </c>
      <c r="J77" s="690">
        <f t="shared" si="31"/>
        <v>0</v>
      </c>
      <c r="K77" s="690">
        <f t="shared" si="31"/>
        <v>0</v>
      </c>
      <c r="L77" s="690">
        <f t="shared" si="31"/>
        <v>0</v>
      </c>
      <c r="N77" s="462"/>
    </row>
    <row r="78" spans="1:14">
      <c r="A78" s="467">
        <f>ROW()</f>
        <v>78</v>
      </c>
      <c r="F78" s="268"/>
      <c r="G78" s="268"/>
      <c r="H78" s="268"/>
      <c r="I78" s="268"/>
      <c r="J78" s="268"/>
      <c r="K78" s="268"/>
      <c r="L78" s="268"/>
      <c r="N78" s="462"/>
    </row>
    <row r="79" spans="1:14">
      <c r="A79" s="467">
        <f>ROW()</f>
        <v>79</v>
      </c>
      <c r="E79" s="40"/>
      <c r="F79" s="93" t="str">
        <f>Levers!C6</f>
        <v>SY 0/Incu</v>
      </c>
      <c r="G79" s="697">
        <f>Levers!D6</f>
        <v>1</v>
      </c>
      <c r="H79" s="697">
        <f>Levers!E6</f>
        <v>2</v>
      </c>
      <c r="I79" s="697">
        <f>Levers!F6</f>
        <v>3</v>
      </c>
      <c r="J79" s="697">
        <f>Levers!G6</f>
        <v>4</v>
      </c>
      <c r="K79" s="697">
        <f>Levers!H6</f>
        <v>5</v>
      </c>
      <c r="L79" s="697">
        <f>Levers!I6</f>
        <v>6</v>
      </c>
      <c r="N79" s="462"/>
    </row>
    <row r="80" spans="1:14" ht="15.6">
      <c r="A80" s="467">
        <f>ROW()</f>
        <v>80</v>
      </c>
      <c r="E80" s="40"/>
      <c r="F80" s="968">
        <f>Levers!C7</f>
        <v>2022</v>
      </c>
      <c r="G80" s="969">
        <f>Levers!D7</f>
        <v>2023</v>
      </c>
      <c r="H80" s="970">
        <f>Levers!E7</f>
        <v>2024</v>
      </c>
      <c r="I80" s="970">
        <f>Levers!F7</f>
        <v>2025</v>
      </c>
      <c r="J80" s="970">
        <f>Levers!G7</f>
        <v>2026</v>
      </c>
      <c r="K80" s="970">
        <f>Levers!H7</f>
        <v>2027</v>
      </c>
      <c r="L80" s="971">
        <f>Levers!I7</f>
        <v>2028</v>
      </c>
      <c r="N80" s="462"/>
    </row>
    <row r="81" spans="1:14" ht="15.6">
      <c r="A81" s="467">
        <f>ROW()</f>
        <v>81</v>
      </c>
      <c r="B81" s="976"/>
      <c r="E81" s="696" t="str">
        <f>Levers!B8</f>
        <v>Totals</v>
      </c>
      <c r="F81" s="972">
        <f>Levers!C8</f>
        <v>2023</v>
      </c>
      <c r="G81" s="973">
        <f>Levers!D8</f>
        <v>2024</v>
      </c>
      <c r="H81" s="974">
        <f>Levers!E8</f>
        <v>2025</v>
      </c>
      <c r="I81" s="974">
        <f>Levers!F8</f>
        <v>2026</v>
      </c>
      <c r="J81" s="974">
        <f>Levers!G8</f>
        <v>2027</v>
      </c>
      <c r="K81" s="974">
        <f>Levers!H8</f>
        <v>2028</v>
      </c>
      <c r="L81" s="975">
        <f>Levers!I8</f>
        <v>2029</v>
      </c>
      <c r="N81" s="462"/>
    </row>
    <row r="82" spans="1:14" ht="15.6">
      <c r="A82" s="467">
        <f>ROW()</f>
        <v>82</v>
      </c>
      <c r="B82" s="654" t="str">
        <f>Levers!A9</f>
        <v>Total Enrollment</v>
      </c>
      <c r="E82" s="977">
        <f>Levers!B9</f>
        <v>2400</v>
      </c>
      <c r="F82" s="978" t="str">
        <f>Levers!C9</f>
        <v xml:space="preserve"> </v>
      </c>
      <c r="G82" s="977">
        <f>Levers!D9</f>
        <v>200</v>
      </c>
      <c r="H82" s="977">
        <f>Levers!E9</f>
        <v>300</v>
      </c>
      <c r="I82" s="977">
        <f>Levers!F9</f>
        <v>400</v>
      </c>
      <c r="J82" s="977">
        <f>Levers!G9</f>
        <v>450</v>
      </c>
      <c r="K82" s="977">
        <f>Levers!H9</f>
        <v>500</v>
      </c>
      <c r="L82" s="977">
        <f>Levers!I9</f>
        <v>550</v>
      </c>
      <c r="M82" s="75"/>
      <c r="N82" s="462"/>
    </row>
    <row r="83" spans="1:14" ht="15.6">
      <c r="A83" s="467">
        <f>ROW()</f>
        <v>83</v>
      </c>
      <c r="B83" s="655" t="str">
        <f>Levers!A10</f>
        <v>Total Revenue</v>
      </c>
      <c r="E83" s="631">
        <f>Levers!B10</f>
        <v>24771327.680398501</v>
      </c>
      <c r="F83" s="631">
        <f>Levers!C10</f>
        <v>397500</v>
      </c>
      <c r="G83" s="631">
        <f>Levers!D10</f>
        <v>1748937.5</v>
      </c>
      <c r="H83" s="631">
        <f>Levers!E10</f>
        <v>2985042.728962</v>
      </c>
      <c r="I83" s="631">
        <f>Levers!F10</f>
        <v>4043933.2184430007</v>
      </c>
      <c r="J83" s="631">
        <f>Levers!G10</f>
        <v>4669192.8329240009</v>
      </c>
      <c r="K83" s="631">
        <f>Levers!H10</f>
        <v>5198638.0776644992</v>
      </c>
      <c r="L83" s="631">
        <f>Levers!I10</f>
        <v>5728083.3224050002</v>
      </c>
      <c r="M83" s="75"/>
      <c r="N83" s="462"/>
    </row>
    <row r="84" spans="1:14" ht="15.6">
      <c r="A84" s="467">
        <f>ROW()</f>
        <v>84</v>
      </c>
      <c r="B84" s="655" t="str">
        <f>Levers!A11</f>
        <v>Rev per student</v>
      </c>
      <c r="E84" s="631">
        <f>Levers!B11</f>
        <v>10321.386533499375</v>
      </c>
      <c r="F84" s="631"/>
      <c r="G84" s="631">
        <f>Levers!D11</f>
        <v>8744.6875</v>
      </c>
      <c r="H84" s="631">
        <f>Levers!E11</f>
        <v>9950.1424298733327</v>
      </c>
      <c r="I84" s="631">
        <f>Levers!F11</f>
        <v>10109.833046107502</v>
      </c>
      <c r="J84" s="631">
        <f>Levers!G11</f>
        <v>10375.984073164447</v>
      </c>
      <c r="K84" s="631">
        <f>Levers!H11</f>
        <v>10397.276155328998</v>
      </c>
      <c r="L84" s="631">
        <f>Levers!I11</f>
        <v>10414.696949827274</v>
      </c>
      <c r="M84" s="75"/>
      <c r="N84" s="462"/>
    </row>
    <row r="85" spans="1:14" ht="15.6">
      <c r="A85" s="467">
        <f>ROW()</f>
        <v>85</v>
      </c>
      <c r="B85" s="655" t="str">
        <f>Levers!A20</f>
        <v>Total Facilities</v>
      </c>
      <c r="E85" s="631">
        <f>Levers!B20</f>
        <v>3653535</v>
      </c>
      <c r="F85" s="631">
        <f>Levers!C20</f>
        <v>0</v>
      </c>
      <c r="G85" s="631">
        <f>Levers!D20</f>
        <v>367500</v>
      </c>
      <c r="H85" s="631">
        <f>Levers!E20</f>
        <v>376500</v>
      </c>
      <c r="I85" s="631">
        <f>Levers!F20</f>
        <v>388860</v>
      </c>
      <c r="J85" s="631">
        <f>Levers!G20</f>
        <v>817499.99999999988</v>
      </c>
      <c r="K85" s="631">
        <f>Levers!H20</f>
        <v>840000</v>
      </c>
      <c r="L85" s="631">
        <f>Levers!I20</f>
        <v>863175</v>
      </c>
      <c r="M85" s="75"/>
      <c r="N85" s="462"/>
    </row>
    <row r="86" spans="1:14" ht="15.6">
      <c r="A86" s="467">
        <f>ROW()</f>
        <v>86</v>
      </c>
      <c r="B86" s="655" t="str">
        <f>Levers!A21</f>
        <v>Facilities per Student</v>
      </c>
      <c r="E86" s="631">
        <f>Levers!B21</f>
        <v>1522.3062500000001</v>
      </c>
      <c r="F86" s="631"/>
      <c r="G86" s="631">
        <f>Levers!D21</f>
        <v>1837.5</v>
      </c>
      <c r="H86" s="631">
        <f>Levers!E21</f>
        <v>1255</v>
      </c>
      <c r="I86" s="631">
        <f>Levers!F21</f>
        <v>972.15</v>
      </c>
      <c r="J86" s="631">
        <f>Levers!G21</f>
        <v>1816.6666666666665</v>
      </c>
      <c r="K86" s="631">
        <f>Levers!H21</f>
        <v>1680</v>
      </c>
      <c r="L86" s="631">
        <f>Levers!I21</f>
        <v>1569.409090909091</v>
      </c>
      <c r="M86" s="75"/>
      <c r="N86" s="462"/>
    </row>
    <row r="87" spans="1:14" ht="15.6">
      <c r="A87" s="467">
        <f>ROW()</f>
        <v>87</v>
      </c>
      <c r="B87" s="655" t="str">
        <f>Levers!A22</f>
        <v>Net Surplus after Facilities</v>
      </c>
      <c r="E87" s="631">
        <f>Levers!B22</f>
        <v>21117792.680398501</v>
      </c>
      <c r="F87" s="631">
        <f>Levers!C22</f>
        <v>397500</v>
      </c>
      <c r="G87" s="631">
        <f>Levers!D22</f>
        <v>1381437.5</v>
      </c>
      <c r="H87" s="631">
        <f>Levers!E22</f>
        <v>2608542.728962</v>
      </c>
      <c r="I87" s="631">
        <f>Levers!F22</f>
        <v>3655073.2184430007</v>
      </c>
      <c r="J87" s="631">
        <f>Levers!G22</f>
        <v>3851692.8329240009</v>
      </c>
      <c r="K87" s="631">
        <f>Levers!H22</f>
        <v>4358638.0776644992</v>
      </c>
      <c r="L87" s="631">
        <f>Levers!I22</f>
        <v>4864908.3224050002</v>
      </c>
      <c r="M87" s="75"/>
      <c r="N87" s="462"/>
    </row>
    <row r="88" spans="1:14">
      <c r="A88" s="467">
        <f>ROW()</f>
        <v>88</v>
      </c>
      <c r="B88" s="75" t="str">
        <f>Levers!A23</f>
        <v>Net Surplus after Facilities per Student</v>
      </c>
      <c r="E88" s="632">
        <f>Levers!B23</f>
        <v>8799.0802834993756</v>
      </c>
      <c r="F88" s="632"/>
      <c r="G88" s="632">
        <f>Levers!D23</f>
        <v>6907.1875</v>
      </c>
      <c r="H88" s="632">
        <f>Levers!E23</f>
        <v>8695.1424298733327</v>
      </c>
      <c r="I88" s="632">
        <f>Levers!F23</f>
        <v>9137.6830461075024</v>
      </c>
      <c r="J88" s="632">
        <f>Levers!G23</f>
        <v>8559.3174064977793</v>
      </c>
      <c r="K88" s="632">
        <f>Levers!H23</f>
        <v>8717.2761553289984</v>
      </c>
      <c r="L88" s="632">
        <f>Levers!I23</f>
        <v>8845.2878589181819</v>
      </c>
      <c r="M88" s="75"/>
      <c r="N88" s="462"/>
    </row>
    <row r="89" spans="1:14">
      <c r="A89" s="467">
        <f>ROW()</f>
        <v>89</v>
      </c>
      <c r="B89" s="75" t="s">
        <v>416</v>
      </c>
      <c r="E89" s="632">
        <f>Levers!B38</f>
        <v>2938641.0999814454</v>
      </c>
      <c r="F89" s="632">
        <f>Levers!C38</f>
        <v>25000.400000000023</v>
      </c>
      <c r="G89" s="632">
        <f>Levers!D38</f>
        <v>26558.457068965479</v>
      </c>
      <c r="H89" s="632">
        <f>Levers!E38</f>
        <v>471641.62507160596</v>
      </c>
      <c r="I89" s="632">
        <f>Levers!F38</f>
        <v>582735.62196199258</v>
      </c>
      <c r="J89" s="632">
        <f>Levers!G38</f>
        <v>434487.22523108096</v>
      </c>
      <c r="K89" s="632">
        <f>Levers!H38</f>
        <v>497296.79179460974</v>
      </c>
      <c r="L89" s="632">
        <f>Levers!I38</f>
        <v>900920.97885319078</v>
      </c>
      <c r="M89" s="75"/>
      <c r="N89" s="462"/>
    </row>
    <row r="90" spans="1:14">
      <c r="A90" s="467">
        <f>ROW()</f>
        <v>90</v>
      </c>
      <c r="B90" s="169" t="s">
        <v>417</v>
      </c>
      <c r="E90" s="632">
        <f>Levers!B39</f>
        <v>1224.4337916589357</v>
      </c>
      <c r="F90" s="632"/>
      <c r="G90" s="632">
        <f>Levers!D39</f>
        <v>132.79228534482741</v>
      </c>
      <c r="H90" s="632">
        <f>Levers!E39</f>
        <v>1572.1387502386865</v>
      </c>
      <c r="I90" s="632">
        <f>Levers!F39</f>
        <v>1456.8390549049814</v>
      </c>
      <c r="J90" s="632">
        <f>Levers!G39</f>
        <v>965.52716718017996</v>
      </c>
      <c r="K90" s="632">
        <f>Levers!H39</f>
        <v>994.59358358921952</v>
      </c>
      <c r="L90" s="632">
        <f>Levers!I39</f>
        <v>1638.0381433694379</v>
      </c>
      <c r="M90" s="75"/>
      <c r="N90" s="462"/>
    </row>
    <row r="91" spans="1:14">
      <c r="A91" s="467">
        <f>ROW()</f>
        <v>91</v>
      </c>
      <c r="B91" s="75"/>
      <c r="C91" s="75"/>
      <c r="D91" s="75"/>
      <c r="E91" s="75"/>
      <c r="F91" s="75"/>
      <c r="G91" s="75"/>
      <c r="H91" s="75"/>
      <c r="I91" s="75"/>
      <c r="J91" s="75"/>
      <c r="K91" s="75"/>
      <c r="L91" s="75"/>
      <c r="M91" s="75"/>
      <c r="N91" s="462"/>
    </row>
    <row r="92" spans="1:14">
      <c r="A92" s="467">
        <f>ROW()</f>
        <v>92</v>
      </c>
      <c r="B92" s="105" t="s">
        <v>700</v>
      </c>
      <c r="C92" s="105"/>
      <c r="D92" s="105"/>
      <c r="E92" s="105"/>
      <c r="F92" s="105" t="s">
        <v>519</v>
      </c>
      <c r="G92" s="698" t="s">
        <v>701</v>
      </c>
      <c r="H92" s="698" t="s">
        <v>702</v>
      </c>
      <c r="I92" s="698" t="s">
        <v>703</v>
      </c>
      <c r="J92" s="698" t="s">
        <v>704</v>
      </c>
      <c r="K92" s="698" t="s">
        <v>705</v>
      </c>
      <c r="L92" s="698" t="s">
        <v>706</v>
      </c>
      <c r="M92" s="75"/>
      <c r="N92" s="462"/>
    </row>
    <row r="93" spans="1:14">
      <c r="A93" s="467">
        <f>ROW()</f>
        <v>93</v>
      </c>
      <c r="B93" s="79" t="s">
        <v>707</v>
      </c>
      <c r="C93" s="79"/>
      <c r="D93" s="79"/>
      <c r="E93" s="79"/>
      <c r="F93" s="79"/>
      <c r="G93" s="225">
        <f t="shared" ref="G93:L93" si="32">IF($C$7="lease",G11,$C$55)</f>
        <v>25000</v>
      </c>
      <c r="H93" s="225">
        <f t="shared" si="32"/>
        <v>25000</v>
      </c>
      <c r="I93" s="225">
        <f t="shared" si="32"/>
        <v>25000</v>
      </c>
      <c r="J93" s="225">
        <f t="shared" si="32"/>
        <v>25000</v>
      </c>
      <c r="K93" s="225">
        <f t="shared" si="32"/>
        <v>25000</v>
      </c>
      <c r="L93" s="225">
        <f t="shared" si="32"/>
        <v>25000</v>
      </c>
      <c r="M93" s="75"/>
      <c r="N93" s="462"/>
    </row>
    <row r="94" spans="1:14">
      <c r="A94" s="467">
        <f>ROW()</f>
        <v>94</v>
      </c>
      <c r="B94" s="656" t="s">
        <v>379</v>
      </c>
      <c r="C94" s="79"/>
      <c r="D94" s="79"/>
      <c r="E94" s="79"/>
      <c r="F94" s="79"/>
      <c r="G94" s="225">
        <f t="shared" ref="G94:L94" si="33">IF($C$7="lease",G23,G62)</f>
        <v>300000</v>
      </c>
      <c r="H94" s="225">
        <f t="shared" si="33"/>
        <v>309000</v>
      </c>
      <c r="I94" s="225">
        <f t="shared" si="33"/>
        <v>321360</v>
      </c>
      <c r="J94" s="225">
        <f t="shared" si="33"/>
        <v>749999.99999999988</v>
      </c>
      <c r="K94" s="225">
        <f t="shared" si="33"/>
        <v>772500</v>
      </c>
      <c r="L94" s="225">
        <f t="shared" si="33"/>
        <v>795675</v>
      </c>
      <c r="M94" s="75"/>
      <c r="N94" s="462"/>
    </row>
    <row r="95" spans="1:14">
      <c r="A95" s="467">
        <f>ROW()</f>
        <v>95</v>
      </c>
      <c r="B95" s="656" t="s">
        <v>380</v>
      </c>
      <c r="C95" s="79"/>
      <c r="D95" s="79"/>
      <c r="E95" s="79"/>
      <c r="F95" s="79"/>
      <c r="G95" s="225">
        <f t="shared" ref="G95:L97" si="34">IF($C$7="lease",G25,G65)</f>
        <v>0</v>
      </c>
      <c r="H95" s="225">
        <f t="shared" si="34"/>
        <v>0</v>
      </c>
      <c r="I95" s="225">
        <f t="shared" si="34"/>
        <v>0</v>
      </c>
      <c r="J95" s="225">
        <f t="shared" si="34"/>
        <v>0</v>
      </c>
      <c r="K95" s="225">
        <f t="shared" si="34"/>
        <v>0</v>
      </c>
      <c r="L95" s="225">
        <f t="shared" si="34"/>
        <v>0</v>
      </c>
      <c r="M95" s="75"/>
      <c r="N95" s="462"/>
    </row>
    <row r="96" spans="1:14">
      <c r="A96" s="467">
        <f>ROW()</f>
        <v>96</v>
      </c>
      <c r="B96" s="656" t="s">
        <v>381</v>
      </c>
      <c r="C96" s="79"/>
      <c r="D96" s="79"/>
      <c r="E96" s="79"/>
      <c r="F96" s="79"/>
      <c r="G96" s="225">
        <f t="shared" si="34"/>
        <v>50000</v>
      </c>
      <c r="H96" s="225">
        <f t="shared" si="34"/>
        <v>50000</v>
      </c>
      <c r="I96" s="225">
        <f t="shared" si="34"/>
        <v>50000</v>
      </c>
      <c r="J96" s="225">
        <f t="shared" si="34"/>
        <v>50000</v>
      </c>
      <c r="K96" s="225">
        <f t="shared" si="34"/>
        <v>50000</v>
      </c>
      <c r="L96" s="225">
        <f t="shared" si="34"/>
        <v>50000</v>
      </c>
      <c r="M96" s="75"/>
      <c r="N96" s="462"/>
    </row>
    <row r="97" spans="1:14">
      <c r="A97" s="467">
        <f>ROW()</f>
        <v>97</v>
      </c>
      <c r="B97" s="657" t="s">
        <v>382</v>
      </c>
      <c r="C97" s="79"/>
      <c r="D97" s="79"/>
      <c r="E97" s="79"/>
      <c r="F97" s="79"/>
      <c r="G97" s="225">
        <f t="shared" si="34"/>
        <v>11250</v>
      </c>
      <c r="H97" s="225">
        <f t="shared" si="34"/>
        <v>11250</v>
      </c>
      <c r="I97" s="225">
        <f t="shared" si="34"/>
        <v>11250</v>
      </c>
      <c r="J97" s="225">
        <f t="shared" si="34"/>
        <v>11250</v>
      </c>
      <c r="K97" s="225">
        <f t="shared" si="34"/>
        <v>11250</v>
      </c>
      <c r="L97" s="225">
        <f t="shared" si="34"/>
        <v>11250</v>
      </c>
      <c r="M97" s="75"/>
      <c r="N97" s="462"/>
    </row>
    <row r="98" spans="1:14">
      <c r="A98" s="467">
        <f>ROW()</f>
        <v>98</v>
      </c>
      <c r="B98" s="657" t="s">
        <v>383</v>
      </c>
      <c r="C98" s="79"/>
      <c r="D98" s="79"/>
      <c r="E98" s="79"/>
      <c r="F98" s="79"/>
      <c r="G98" s="225">
        <f t="shared" ref="G98:L98" si="35">IF($C$7="lease",G29,G68)</f>
        <v>0</v>
      </c>
      <c r="H98" s="225">
        <f t="shared" si="35"/>
        <v>0</v>
      </c>
      <c r="I98" s="225">
        <f t="shared" si="35"/>
        <v>0</v>
      </c>
      <c r="J98" s="225">
        <f t="shared" si="35"/>
        <v>0</v>
      </c>
      <c r="K98" s="225">
        <f t="shared" si="35"/>
        <v>0</v>
      </c>
      <c r="L98" s="225">
        <f t="shared" si="35"/>
        <v>0</v>
      </c>
      <c r="M98" s="75"/>
      <c r="N98" s="462"/>
    </row>
    <row r="99" spans="1:14">
      <c r="A99" s="467">
        <f>ROW()</f>
        <v>99</v>
      </c>
      <c r="B99" s="657" t="s">
        <v>384</v>
      </c>
      <c r="C99" s="79"/>
      <c r="D99" s="79"/>
      <c r="E99" s="79"/>
      <c r="F99" s="79"/>
      <c r="G99" s="225">
        <f t="shared" ref="G99:L99" si="36">IF($C$7="lease",G35,0)</f>
        <v>0</v>
      </c>
      <c r="H99" s="225">
        <f t="shared" si="36"/>
        <v>0</v>
      </c>
      <c r="I99" s="225">
        <f t="shared" si="36"/>
        <v>0</v>
      </c>
      <c r="J99" s="225">
        <f t="shared" si="36"/>
        <v>0</v>
      </c>
      <c r="K99" s="225">
        <f t="shared" si="36"/>
        <v>0</v>
      </c>
      <c r="L99" s="225">
        <f t="shared" si="36"/>
        <v>0</v>
      </c>
      <c r="M99" s="75"/>
      <c r="N99" s="462"/>
    </row>
    <row r="100" spans="1:14">
      <c r="A100" s="467">
        <f>ROW()</f>
        <v>100</v>
      </c>
      <c r="B100" s="657" t="s">
        <v>345</v>
      </c>
      <c r="C100" s="79"/>
      <c r="D100" s="79"/>
      <c r="E100" s="79"/>
      <c r="F100" s="79"/>
      <c r="G100" s="225">
        <f t="shared" ref="G100:L100" si="37">IF($C$7="lease",G34,0)</f>
        <v>0</v>
      </c>
      <c r="H100" s="225">
        <f t="shared" si="37"/>
        <v>0</v>
      </c>
      <c r="I100" s="225">
        <f t="shared" si="37"/>
        <v>0</v>
      </c>
      <c r="J100" s="225">
        <f t="shared" si="37"/>
        <v>0</v>
      </c>
      <c r="K100" s="225">
        <f t="shared" si="37"/>
        <v>0</v>
      </c>
      <c r="L100" s="225">
        <f t="shared" si="37"/>
        <v>0</v>
      </c>
      <c r="M100" s="75"/>
      <c r="N100" s="462"/>
    </row>
    <row r="101" spans="1:14">
      <c r="A101" s="467"/>
      <c r="B101" s="538"/>
      <c r="C101" s="75"/>
      <c r="D101" s="75"/>
      <c r="E101" s="75"/>
      <c r="F101" s="75"/>
      <c r="G101" s="75"/>
      <c r="H101" s="75"/>
      <c r="I101" s="75"/>
      <c r="J101" s="75"/>
      <c r="K101" s="75"/>
      <c r="L101" s="75"/>
      <c r="M101" s="75"/>
      <c r="N101" s="462"/>
    </row>
    <row r="102" spans="1:14">
      <c r="B102" s="75"/>
      <c r="C102" s="75"/>
      <c r="D102" s="75"/>
      <c r="E102" s="75"/>
      <c r="F102" s="75"/>
      <c r="G102" s="75"/>
      <c r="H102" s="75"/>
      <c r="I102" s="75"/>
      <c r="J102" s="75"/>
      <c r="K102" s="75"/>
      <c r="L102" s="75"/>
      <c r="M102" s="75"/>
    </row>
    <row r="103" spans="1:14" ht="14.4">
      <c r="B103" s="75"/>
      <c r="C103" s="75"/>
      <c r="D103" s="75"/>
      <c r="E103" s="75"/>
      <c r="F103" s="75"/>
      <c r="G103" s="75"/>
      <c r="H103" s="75"/>
      <c r="I103" s="75"/>
      <c r="J103" s="75"/>
      <c r="K103" s="75"/>
      <c r="L103" s="75"/>
      <c r="M103"/>
    </row>
    <row r="104" spans="1:14" ht="14.4">
      <c r="M104" s="2"/>
    </row>
  </sheetData>
  <sheetProtection algorithmName="SHA-512" hashValue="LJcwfQ3xZuR9s2r3JlU5jZeb/p+scJAmFUT9ktZxGBSEV0exhSlVjl/e/o4u/2J6dhZmHnIIcw9JQc3xMdvcXQ==" saltValue="wK5kHN6ViVrF0yVuu5h71w==" spinCount="100000" sheet="1" objects="1" scenarios="1"/>
  <mergeCells count="2">
    <mergeCell ref="G2:K2"/>
    <mergeCell ref="G3:K3"/>
  </mergeCells>
  <conditionalFormatting sqref="G57">
    <cfRule type="expression" dxfId="43" priority="6">
      <formula>"'=or(&lt;0.95*Facilities!$I$16,&gt;1.05*Facilities!$I$16,&lt;0.95*Facilities!$I$51,&gt;1.05*Facilities!$I$51)"</formula>
    </cfRule>
    <cfRule type="expression" priority="7">
      <formula>"'=or(&lt;.95*Facilities!$I$16,&gt;1.05*Facilities!$I$16,&lt;.95*Facilities!$I$51,&gt;1.05*Facilities!$I$51)"</formula>
    </cfRule>
  </conditionalFormatting>
  <conditionalFormatting sqref="F71:F72">
    <cfRule type="cellIs" dxfId="42" priority="8" stopIfTrue="1" operator="equal">
      <formula>0</formula>
    </cfRule>
  </conditionalFormatting>
  <conditionalFormatting sqref="D1">
    <cfRule type="expression" dxfId="41" priority="3" stopIfTrue="1">
      <formula>MOD(ROW(),2)=0</formula>
    </cfRule>
  </conditionalFormatting>
  <conditionalFormatting sqref="Z1:Z6">
    <cfRule type="cellIs" dxfId="40" priority="2" stopIfTrue="1" operator="equal">
      <formula>0</formula>
    </cfRule>
  </conditionalFormatting>
  <hyperlinks>
    <hyperlink ref="D1" location="HypLink1" display="HypLink1" xr:uid="{BFB53349-EB52-4EAC-873C-1948591BA618}"/>
  </hyperlinks>
  <pageMargins left="0.25" right="0.25" top="0.5" bottom="0.45" header="0.25" footer="0.25"/>
  <pageSetup scale="52" fitToWidth="2" orientation="landscape" r:id="rId1"/>
  <headerFooter>
    <oddHeader xml:space="preserve">&amp;L &amp;C &amp;R </oddHeader>
    <oddFooter>&amp;L&amp;7&amp;D  at &amp;T Mike 702.486.8879&amp;C&amp;7&amp;F  &amp;A&amp;R&amp;7Page &amp;P of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7996-F215-40F2-8028-B50CD1B7968C}">
  <sheetPr codeName="Sheet18">
    <tabColor rgb="FFFFFF00"/>
    <pageSetUpPr fitToPage="1"/>
  </sheetPr>
  <dimension ref="A1:AI198"/>
  <sheetViews>
    <sheetView showGridLines="0" zoomScaleNormal="100" workbookViewId="0"/>
  </sheetViews>
  <sheetFormatPr defaultColWidth="8.77734375" defaultRowHeight="13.8"/>
  <cols>
    <col min="1" max="1" width="8.21875" style="75" customWidth="1"/>
    <col min="2" max="2" width="47.77734375" style="75" customWidth="1"/>
    <col min="3" max="3" width="17.77734375" style="75" customWidth="1"/>
    <col min="4" max="4" width="9" style="75" customWidth="1"/>
    <col min="5" max="5" width="8.77734375" style="75" customWidth="1"/>
    <col min="6" max="6" width="15.21875" style="75" customWidth="1"/>
    <col min="7" max="7" width="16.21875" style="79" customWidth="1"/>
    <col min="8" max="9" width="21" style="79" customWidth="1"/>
    <col min="10" max="12" width="17" style="75" customWidth="1"/>
    <col min="13" max="16" width="1.21875" style="75" customWidth="1"/>
    <col min="17" max="17" width="0.44140625" style="75" customWidth="1"/>
    <col min="18" max="18" width="88.77734375" style="416" customWidth="1"/>
    <col min="19" max="19" width="10.77734375" style="75" customWidth="1"/>
    <col min="20" max="20" width="3.77734375" style="75" customWidth="1"/>
    <col min="21" max="21" width="6.21875" style="75" customWidth="1"/>
    <col min="22" max="22" width="6" style="75" customWidth="1"/>
    <col min="23" max="23" width="5.21875" style="75" customWidth="1"/>
    <col min="24" max="24" width="6.5546875" style="75" customWidth="1"/>
    <col min="25" max="25" width="17.21875" style="75" customWidth="1"/>
    <col min="26" max="16384" width="8.77734375" style="75"/>
  </cols>
  <sheetData>
    <row r="1" spans="1:35" ht="17.399999999999999">
      <c r="A1" s="191" t="s">
        <v>518</v>
      </c>
      <c r="B1" s="74"/>
      <c r="D1" s="558" t="s">
        <v>2</v>
      </c>
      <c r="P1" s="44"/>
    </row>
    <row r="2" spans="1:35" ht="15.6">
      <c r="A2" s="189" t="str">
        <f>SchoolName</f>
        <v>Southern Nevada Trades High School</v>
      </c>
      <c r="B2" s="76"/>
    </row>
    <row r="3" spans="1:35">
      <c r="A3" s="78" t="s">
        <v>72</v>
      </c>
      <c r="K3" s="81"/>
    </row>
    <row r="4" spans="1:35">
      <c r="A4" s="80" t="s">
        <v>73</v>
      </c>
    </row>
    <row r="5" spans="1:35">
      <c r="A5" s="71" t="str">
        <f ca="1">CELL("filename")</f>
        <v>C:\Users\jewel\Documents\SNTHS\CHARTER APP FINAL\FINAL COMPILED\[SNTHS Budget Worksheet.xlsx]Summary</v>
      </c>
    </row>
    <row r="6" spans="1:35" ht="15.6">
      <c r="A6" s="95"/>
      <c r="D6" s="96" t="s">
        <v>242</v>
      </c>
      <c r="E6" s="96"/>
      <c r="G6" s="367">
        <f>Cover!E11</f>
        <v>2023</v>
      </c>
      <c r="J6" s="96"/>
    </row>
    <row r="7" spans="1:35">
      <c r="A7" s="95"/>
      <c r="D7" s="97" t="s">
        <v>243</v>
      </c>
      <c r="E7" s="97"/>
      <c r="G7" s="72">
        <f>+G6+1</f>
        <v>2024</v>
      </c>
      <c r="J7" s="97"/>
    </row>
    <row r="8" spans="1:35">
      <c r="A8" s="95"/>
      <c r="F8" s="709"/>
      <c r="G8" s="139"/>
      <c r="H8" s="144"/>
      <c r="I8" s="144"/>
      <c r="J8" s="144"/>
      <c r="K8" s="144"/>
      <c r="L8" s="144"/>
    </row>
    <row r="9" spans="1:35">
      <c r="A9" s="95"/>
      <c r="B9" s="81"/>
      <c r="C9" s="40"/>
      <c r="D9" s="40"/>
      <c r="E9" s="40"/>
      <c r="F9" s="963" t="s">
        <v>519</v>
      </c>
      <c r="G9" s="953">
        <v>1</v>
      </c>
      <c r="H9" s="953">
        <f>1+G9</f>
        <v>2</v>
      </c>
      <c r="I9" s="953">
        <f t="shared" ref="I9:L9" si="0">1+H9</f>
        <v>3</v>
      </c>
      <c r="J9" s="953">
        <f t="shared" si="0"/>
        <v>4</v>
      </c>
      <c r="K9" s="953">
        <f t="shared" si="0"/>
        <v>5</v>
      </c>
      <c r="L9" s="1601">
        <f t="shared" si="0"/>
        <v>6</v>
      </c>
    </row>
    <row r="10" spans="1:35">
      <c r="A10" s="95"/>
      <c r="C10" s="40"/>
      <c r="D10" s="2196" t="s">
        <v>520</v>
      </c>
      <c r="E10" s="2197"/>
      <c r="F10" s="954">
        <f>+G10-1</f>
        <v>2022</v>
      </c>
      <c r="G10" s="955">
        <f>+G6</f>
        <v>2023</v>
      </c>
      <c r="H10" s="955">
        <f>+G11</f>
        <v>2024</v>
      </c>
      <c r="I10" s="955">
        <f>+H11</f>
        <v>2025</v>
      </c>
      <c r="J10" s="955">
        <f>+I11</f>
        <v>2026</v>
      </c>
      <c r="K10" s="955">
        <f>+J11</f>
        <v>2027</v>
      </c>
      <c r="L10" s="956">
        <f>+K11</f>
        <v>2028</v>
      </c>
    </row>
    <row r="11" spans="1:35" s="79" customFormat="1" ht="15.6">
      <c r="A11" s="95"/>
      <c r="B11" s="101"/>
      <c r="C11" s="794" t="s">
        <v>244</v>
      </c>
      <c r="D11" s="795"/>
      <c r="E11" s="795"/>
      <c r="F11" s="957">
        <f>+G11-1</f>
        <v>2023</v>
      </c>
      <c r="G11" s="958">
        <f t="shared" ref="G11:L11" si="1">+G10+1</f>
        <v>2024</v>
      </c>
      <c r="H11" s="958">
        <f t="shared" si="1"/>
        <v>2025</v>
      </c>
      <c r="I11" s="958">
        <f t="shared" si="1"/>
        <v>2026</v>
      </c>
      <c r="J11" s="958">
        <f t="shared" si="1"/>
        <v>2027</v>
      </c>
      <c r="K11" s="958">
        <f t="shared" si="1"/>
        <v>2028</v>
      </c>
      <c r="L11" s="959">
        <f t="shared" si="1"/>
        <v>2029</v>
      </c>
      <c r="R11" s="1957"/>
      <c r="S11" s="75"/>
      <c r="T11" s="75"/>
      <c r="U11" s="75"/>
      <c r="V11" s="75"/>
      <c r="W11" s="75"/>
      <c r="X11" s="75"/>
      <c r="Y11" s="75"/>
      <c r="Z11" s="75"/>
      <c r="AA11" s="75"/>
      <c r="AB11" s="75"/>
      <c r="AC11" s="75"/>
      <c r="AD11" s="75"/>
      <c r="AE11" s="75"/>
      <c r="AF11" s="75"/>
      <c r="AG11" s="75"/>
      <c r="AH11" s="75"/>
      <c r="AI11" s="75"/>
    </row>
    <row r="12" spans="1:35" s="79" customFormat="1" ht="15.6">
      <c r="A12" s="596"/>
      <c r="B12" s="1190" t="s">
        <v>521</v>
      </c>
      <c r="C12" s="43"/>
      <c r="D12" s="390"/>
      <c r="E12" s="390"/>
      <c r="F12" s="1618"/>
      <c r="G12" s="1619"/>
      <c r="H12" s="1619"/>
      <c r="I12" s="1619"/>
      <c r="J12" s="1619"/>
      <c r="K12" s="1619"/>
      <c r="L12" s="1619"/>
      <c r="R12" s="1957"/>
      <c r="S12" s="75"/>
      <c r="T12" s="75"/>
      <c r="U12" s="75"/>
      <c r="V12" s="75"/>
      <c r="W12" s="75"/>
      <c r="X12" s="75"/>
      <c r="Y12" s="75"/>
      <c r="Z12" s="75"/>
      <c r="AA12" s="75"/>
      <c r="AB12" s="75"/>
      <c r="AC12" s="75"/>
      <c r="AD12" s="75"/>
      <c r="AE12" s="75"/>
      <c r="AF12" s="75"/>
      <c r="AG12" s="75"/>
      <c r="AH12" s="75"/>
      <c r="AI12" s="75"/>
    </row>
    <row r="13" spans="1:35" s="79" customFormat="1" ht="15.6">
      <c r="A13" s="653">
        <f>ROW()</f>
        <v>13</v>
      </c>
      <c r="B13" s="597" t="s">
        <v>122</v>
      </c>
      <c r="C13" s="91"/>
      <c r="D13" s="91"/>
      <c r="E13" s="91"/>
      <c r="F13" s="776"/>
      <c r="G13" s="777"/>
      <c r="H13" s="777"/>
      <c r="I13" s="777"/>
      <c r="J13" s="777"/>
      <c r="K13" s="777"/>
      <c r="L13" s="777"/>
      <c r="R13" s="1936" t="s">
        <v>95</v>
      </c>
      <c r="S13" s="75"/>
      <c r="T13" s="75"/>
      <c r="U13" s="75"/>
      <c r="V13" s="75"/>
      <c r="W13" s="75"/>
      <c r="X13" s="75"/>
      <c r="Y13" s="75"/>
      <c r="Z13" s="75"/>
      <c r="AA13" s="75"/>
      <c r="AB13" s="75"/>
      <c r="AC13" s="75"/>
      <c r="AD13" s="75"/>
      <c r="AE13" s="75"/>
      <c r="AF13" s="75"/>
      <c r="AG13" s="75"/>
      <c r="AH13" s="75"/>
      <c r="AI13" s="75"/>
    </row>
    <row r="14" spans="1:35" s="79" customFormat="1" ht="15.6">
      <c r="A14" s="653">
        <f>ROW()</f>
        <v>14</v>
      </c>
      <c r="B14" s="77" t="s">
        <v>208</v>
      </c>
      <c r="F14" s="778"/>
      <c r="G14" s="810"/>
      <c r="H14" s="810"/>
      <c r="I14" s="810"/>
      <c r="J14" s="810"/>
      <c r="K14" s="810"/>
      <c r="L14" s="810"/>
      <c r="R14" s="628"/>
      <c r="S14" s="75"/>
      <c r="T14" s="75"/>
      <c r="U14" s="75"/>
      <c r="V14" s="75"/>
      <c r="W14" s="75"/>
      <c r="X14" s="75"/>
      <c r="Y14" s="75"/>
      <c r="Z14" s="75"/>
      <c r="AA14" s="75"/>
      <c r="AB14" s="75"/>
      <c r="AC14" s="75"/>
      <c r="AD14" s="75"/>
      <c r="AE14" s="75"/>
      <c r="AF14" s="75"/>
      <c r="AG14" s="75"/>
      <c r="AH14" s="75"/>
      <c r="AI14" s="75"/>
    </row>
    <row r="15" spans="1:35">
      <c r="A15" s="653">
        <f>ROW()</f>
        <v>15</v>
      </c>
      <c r="B15" s="223" t="s">
        <v>209</v>
      </c>
      <c r="C15" s="193"/>
      <c r="D15" s="193"/>
      <c r="E15" s="193"/>
      <c r="F15" s="812">
        <f>' Enrol &amp; Rev'!F16</f>
        <v>0</v>
      </c>
      <c r="G15" s="2139">
        <f>' Enrol &amp; Rev'!G16</f>
        <v>2</v>
      </c>
      <c r="H15" s="2139">
        <f>' Enrol &amp; Rev'!H16</f>
        <v>3</v>
      </c>
      <c r="I15" s="2139">
        <f>' Enrol &amp; Rev'!I16</f>
        <v>4</v>
      </c>
      <c r="J15" s="2139">
        <f>' Enrol &amp; Rev'!J16</f>
        <v>4</v>
      </c>
      <c r="K15" s="2139">
        <f>' Enrol &amp; Rev'!K16</f>
        <v>4</v>
      </c>
      <c r="L15" s="2139">
        <f>' Enrol &amp; Rev'!L16</f>
        <v>4</v>
      </c>
      <c r="R15" s="462"/>
    </row>
    <row r="16" spans="1:35">
      <c r="A16" s="653">
        <f>ROW()</f>
        <v>16</v>
      </c>
      <c r="B16" s="104" t="s">
        <v>210</v>
      </c>
      <c r="F16" s="883">
        <f>' Enrol &amp; Rev'!F18</f>
        <v>0</v>
      </c>
      <c r="G16" s="884">
        <f>' Enrol &amp; Rev'!G18</f>
        <v>6.8965517241379306</v>
      </c>
      <c r="H16" s="884">
        <f>' Enrol &amp; Rev'!H18</f>
        <v>14.285714285714286</v>
      </c>
      <c r="I16" s="884">
        <f>' Enrol &amp; Rev'!I18</f>
        <v>21.05263157894737</v>
      </c>
      <c r="J16" s="884">
        <f>' Enrol &amp; Rev'!J18</f>
        <v>25</v>
      </c>
      <c r="K16" s="884">
        <f>' Enrol &amp; Rev'!K18</f>
        <v>29.411764705882351</v>
      </c>
      <c r="L16" s="884">
        <f>' Enrol &amp; Rev'!L18</f>
        <v>28.94736842105263</v>
      </c>
      <c r="R16" s="462"/>
    </row>
    <row r="17" spans="1:35" hidden="1">
      <c r="A17" s="653">
        <f>ROW()</f>
        <v>17</v>
      </c>
      <c r="B17" s="49"/>
      <c r="C17" s="415"/>
      <c r="D17" s="415"/>
      <c r="E17" s="415"/>
      <c r="F17" s="811"/>
      <c r="G17" s="811"/>
      <c r="H17" s="811"/>
      <c r="I17" s="811"/>
      <c r="J17" s="811"/>
      <c r="K17" s="811"/>
      <c r="L17" s="811"/>
      <c r="R17" s="462"/>
    </row>
    <row r="18" spans="1:35" s="79" customFormat="1" hidden="1">
      <c r="A18" s="653">
        <f>ROW()</f>
        <v>18</v>
      </c>
      <c r="B18" s="1620" t="s">
        <v>211</v>
      </c>
      <c r="C18" s="488"/>
      <c r="D18" s="488"/>
      <c r="E18" s="488"/>
      <c r="F18" s="779">
        <f>' Enrol &amp; Rev'!F22</f>
        <v>0</v>
      </c>
      <c r="G18" s="779">
        <f>' Enrol &amp; Rev'!G22</f>
        <v>0</v>
      </c>
      <c r="H18" s="779">
        <f>' Enrol &amp; Rev'!H22</f>
        <v>0</v>
      </c>
      <c r="I18" s="779">
        <f>' Enrol &amp; Rev'!I22</f>
        <v>0</v>
      </c>
      <c r="J18" s="779">
        <f>' Enrol &amp; Rev'!J22</f>
        <v>0</v>
      </c>
      <c r="K18" s="779">
        <f>' Enrol &amp; Rev'!K22</f>
        <v>0</v>
      </c>
      <c r="L18" s="779">
        <f>' Enrol &amp; Rev'!L22</f>
        <v>0</v>
      </c>
      <c r="R18" s="462"/>
      <c r="S18" s="75"/>
      <c r="T18" s="75"/>
      <c r="U18" s="75"/>
      <c r="V18" s="75"/>
      <c r="W18" s="75"/>
      <c r="X18" s="75"/>
      <c r="Y18" s="75"/>
      <c r="Z18" s="75"/>
      <c r="AA18" s="75"/>
      <c r="AB18" s="75"/>
      <c r="AC18" s="75"/>
      <c r="AD18" s="75"/>
      <c r="AE18" s="75"/>
      <c r="AF18" s="75"/>
      <c r="AG18" s="75"/>
      <c r="AH18" s="75"/>
      <c r="AI18" s="75"/>
    </row>
    <row r="19" spans="1:35" s="79" customFormat="1" hidden="1">
      <c r="A19" s="653">
        <f>ROW()</f>
        <v>19</v>
      </c>
      <c r="B19" s="489" t="s">
        <v>212</v>
      </c>
      <c r="C19" s="488"/>
      <c r="D19" s="488"/>
      <c r="E19" s="488"/>
      <c r="F19" s="780">
        <f>' Enrol &amp; Rev'!F23</f>
        <v>0</v>
      </c>
      <c r="G19" s="780">
        <f>' Enrol &amp; Rev'!G23</f>
        <v>0</v>
      </c>
      <c r="H19" s="780">
        <f>' Enrol &amp; Rev'!H23</f>
        <v>0</v>
      </c>
      <c r="I19" s="780">
        <f>' Enrol &amp; Rev'!I23</f>
        <v>0</v>
      </c>
      <c r="J19" s="780">
        <f>' Enrol &amp; Rev'!J23</f>
        <v>0</v>
      </c>
      <c r="K19" s="780">
        <f>' Enrol &amp; Rev'!K23</f>
        <v>0</v>
      </c>
      <c r="L19" s="780">
        <f>' Enrol &amp; Rev'!L23</f>
        <v>0</v>
      </c>
      <c r="R19" s="462"/>
      <c r="S19" s="75"/>
      <c r="T19" s="75"/>
      <c r="U19" s="75"/>
      <c r="V19" s="75"/>
      <c r="W19" s="75"/>
      <c r="X19" s="75"/>
      <c r="Y19" s="75"/>
      <c r="Z19" s="75"/>
      <c r="AA19" s="75"/>
      <c r="AB19" s="75"/>
      <c r="AC19" s="75"/>
      <c r="AD19" s="75"/>
      <c r="AE19" s="75"/>
      <c r="AF19" s="75"/>
      <c r="AG19" s="75"/>
      <c r="AH19" s="75"/>
      <c r="AI19" s="75"/>
    </row>
    <row r="20" spans="1:35" s="79" customFormat="1" hidden="1">
      <c r="A20" s="653">
        <f>ROW()</f>
        <v>20</v>
      </c>
      <c r="B20" s="489" t="s">
        <v>213</v>
      </c>
      <c r="C20" s="488"/>
      <c r="D20" s="488"/>
      <c r="E20" s="488"/>
      <c r="F20" s="780">
        <f>' Enrol &amp; Rev'!F24</f>
        <v>0</v>
      </c>
      <c r="G20" s="781">
        <f>' Enrol &amp; Rev'!G24</f>
        <v>0</v>
      </c>
      <c r="H20" s="781">
        <f>' Enrol &amp; Rev'!H24</f>
        <v>0</v>
      </c>
      <c r="I20" s="781">
        <f>' Enrol &amp; Rev'!I24</f>
        <v>0</v>
      </c>
      <c r="J20" s="781">
        <f>' Enrol &amp; Rev'!J24</f>
        <v>0</v>
      </c>
      <c r="K20" s="781">
        <f>' Enrol &amp; Rev'!K24</f>
        <v>0</v>
      </c>
      <c r="L20" s="781">
        <f>' Enrol &amp; Rev'!L24</f>
        <v>0</v>
      </c>
      <c r="R20" s="462"/>
      <c r="S20" s="75"/>
      <c r="T20" s="75"/>
      <c r="U20" s="75"/>
      <c r="V20" s="75"/>
      <c r="W20" s="75"/>
      <c r="X20" s="75"/>
      <c r="Y20" s="75"/>
      <c r="Z20" s="75"/>
      <c r="AA20" s="75"/>
      <c r="AB20" s="75"/>
      <c r="AC20" s="75"/>
      <c r="AD20" s="75"/>
      <c r="AE20" s="75"/>
      <c r="AF20" s="75"/>
      <c r="AG20" s="75"/>
      <c r="AH20" s="75"/>
      <c r="AI20" s="75"/>
    </row>
    <row r="21" spans="1:35" s="79" customFormat="1" hidden="1">
      <c r="A21" s="653">
        <f>ROW()</f>
        <v>21</v>
      </c>
      <c r="B21" s="489" t="s">
        <v>214</v>
      </c>
      <c r="C21" s="488"/>
      <c r="D21" s="488"/>
      <c r="E21" s="488"/>
      <c r="F21" s="782">
        <f>' Enrol &amp; Rev'!F25</f>
        <v>0</v>
      </c>
      <c r="G21" s="783">
        <f>' Enrol &amp; Rev'!G25</f>
        <v>0</v>
      </c>
      <c r="H21" s="783">
        <f>' Enrol &amp; Rev'!H25</f>
        <v>0</v>
      </c>
      <c r="I21" s="783">
        <f>' Enrol &amp; Rev'!I25</f>
        <v>0</v>
      </c>
      <c r="J21" s="783">
        <f>' Enrol &amp; Rev'!J25</f>
        <v>0</v>
      </c>
      <c r="K21" s="783">
        <f>' Enrol &amp; Rev'!K25</f>
        <v>0</v>
      </c>
      <c r="L21" s="783">
        <f>' Enrol &amp; Rev'!L25</f>
        <v>0</v>
      </c>
      <c r="R21" s="462"/>
      <c r="S21" s="75"/>
      <c r="T21" s="75"/>
      <c r="U21" s="75"/>
      <c r="V21" s="75"/>
      <c r="W21" s="75"/>
      <c r="X21" s="75"/>
      <c r="Y21" s="75"/>
      <c r="Z21" s="75"/>
      <c r="AA21" s="75"/>
      <c r="AB21" s="75"/>
      <c r="AC21" s="75"/>
      <c r="AD21" s="75"/>
      <c r="AE21" s="75"/>
      <c r="AF21" s="75"/>
      <c r="AG21" s="75"/>
      <c r="AH21" s="75"/>
      <c r="AI21" s="75"/>
    </row>
    <row r="22" spans="1:35" s="79" customFormat="1" hidden="1">
      <c r="A22" s="653">
        <f>ROW()</f>
        <v>22</v>
      </c>
      <c r="B22" s="489" t="s">
        <v>215</v>
      </c>
      <c r="C22" s="488"/>
      <c r="D22" s="488"/>
      <c r="E22" s="488"/>
      <c r="F22" s="782">
        <f>' Enrol &amp; Rev'!F26</f>
        <v>0</v>
      </c>
      <c r="G22" s="783">
        <f>' Enrol &amp; Rev'!G26</f>
        <v>0</v>
      </c>
      <c r="H22" s="783">
        <f>' Enrol &amp; Rev'!H26</f>
        <v>0</v>
      </c>
      <c r="I22" s="783">
        <f>' Enrol &amp; Rev'!I26</f>
        <v>0</v>
      </c>
      <c r="J22" s="783">
        <f>' Enrol &amp; Rev'!J26</f>
        <v>0</v>
      </c>
      <c r="K22" s="783">
        <f>' Enrol &amp; Rev'!K26</f>
        <v>0</v>
      </c>
      <c r="L22" s="783">
        <f>' Enrol &amp; Rev'!L26</f>
        <v>0</v>
      </c>
      <c r="R22" s="1957"/>
      <c r="S22" s="75"/>
      <c r="T22" s="75"/>
      <c r="U22" s="75"/>
      <c r="V22" s="75"/>
      <c r="W22" s="75"/>
      <c r="X22" s="75"/>
      <c r="Y22" s="75"/>
      <c r="Z22" s="75"/>
      <c r="AA22" s="75"/>
      <c r="AB22" s="75"/>
      <c r="AC22" s="75"/>
      <c r="AD22" s="75"/>
      <c r="AE22" s="75"/>
      <c r="AF22" s="75"/>
      <c r="AG22" s="75"/>
      <c r="AH22" s="75"/>
      <c r="AI22" s="75"/>
    </row>
    <row r="23" spans="1:35" s="79" customFormat="1" hidden="1">
      <c r="A23" s="653">
        <f>ROW()</f>
        <v>23</v>
      </c>
      <c r="B23" s="489" t="s">
        <v>216</v>
      </c>
      <c r="C23" s="488"/>
      <c r="D23" s="488"/>
      <c r="E23" s="488"/>
      <c r="F23" s="782">
        <f>' Enrol &amp; Rev'!F27</f>
        <v>0</v>
      </c>
      <c r="G23" s="782">
        <f>' Enrol &amp; Rev'!G27</f>
        <v>0</v>
      </c>
      <c r="H23" s="782">
        <f>' Enrol &amp; Rev'!H27</f>
        <v>0</v>
      </c>
      <c r="I23" s="782">
        <f>' Enrol &amp; Rev'!I27</f>
        <v>0</v>
      </c>
      <c r="J23" s="782">
        <f>' Enrol &amp; Rev'!J27</f>
        <v>0</v>
      </c>
      <c r="K23" s="782">
        <f>' Enrol &amp; Rev'!K27</f>
        <v>0</v>
      </c>
      <c r="L23" s="782">
        <f>' Enrol &amp; Rev'!L27</f>
        <v>0</v>
      </c>
      <c r="R23" s="1957"/>
      <c r="S23" s="75"/>
      <c r="T23" s="75"/>
      <c r="U23" s="75"/>
      <c r="V23" s="75"/>
      <c r="W23" s="75"/>
      <c r="X23" s="75"/>
      <c r="Y23" s="75"/>
      <c r="Z23" s="75"/>
      <c r="AA23" s="75"/>
      <c r="AB23" s="75"/>
      <c r="AC23" s="75"/>
      <c r="AD23" s="75"/>
      <c r="AE23" s="75"/>
      <c r="AF23" s="75"/>
      <c r="AG23" s="75"/>
      <c r="AH23" s="75"/>
      <c r="AI23" s="75"/>
    </row>
    <row r="24" spans="1:35" s="79" customFormat="1" hidden="1">
      <c r="A24" s="653">
        <f>ROW()</f>
        <v>24</v>
      </c>
      <c r="B24" s="489" t="s">
        <v>217</v>
      </c>
      <c r="C24" s="488"/>
      <c r="D24" s="488"/>
      <c r="E24" s="488"/>
      <c r="F24" s="782">
        <f>' Enrol &amp; Rev'!F28</f>
        <v>0</v>
      </c>
      <c r="G24" s="782">
        <f>' Enrol &amp; Rev'!G28</f>
        <v>0</v>
      </c>
      <c r="H24" s="784">
        <f>' Enrol &amp; Rev'!H28</f>
        <v>0</v>
      </c>
      <c r="I24" s="784">
        <f>' Enrol &amp; Rev'!I28</f>
        <v>0</v>
      </c>
      <c r="J24" s="784">
        <f>' Enrol &amp; Rev'!J28</f>
        <v>0</v>
      </c>
      <c r="K24" s="784">
        <f>' Enrol &amp; Rev'!K28</f>
        <v>0</v>
      </c>
      <c r="L24" s="784">
        <f>' Enrol &amp; Rev'!L28</f>
        <v>0</v>
      </c>
      <c r="R24" s="1957"/>
      <c r="S24" s="75"/>
      <c r="T24" s="75"/>
      <c r="U24" s="75"/>
      <c r="V24" s="75"/>
      <c r="W24" s="75"/>
      <c r="X24" s="75"/>
      <c r="Y24" s="75"/>
      <c r="Z24" s="75"/>
      <c r="AA24" s="75"/>
      <c r="AB24" s="75"/>
      <c r="AC24" s="75"/>
      <c r="AD24" s="75"/>
      <c r="AE24" s="75"/>
      <c r="AF24" s="75"/>
      <c r="AG24" s="75"/>
      <c r="AH24" s="75"/>
      <c r="AI24" s="75"/>
    </row>
    <row r="25" spans="1:35" s="79" customFormat="1" hidden="1">
      <c r="A25" s="653">
        <f>ROW()</f>
        <v>25</v>
      </c>
      <c r="B25" s="489" t="s">
        <v>218</v>
      </c>
      <c r="C25" s="488"/>
      <c r="D25" s="488"/>
      <c r="E25" s="488"/>
      <c r="F25" s="782">
        <f>' Enrol &amp; Rev'!F29</f>
        <v>0</v>
      </c>
      <c r="G25" s="782">
        <f>' Enrol &amp; Rev'!G29</f>
        <v>0</v>
      </c>
      <c r="H25" s="784">
        <f>' Enrol &amp; Rev'!H29</f>
        <v>0</v>
      </c>
      <c r="I25" s="784">
        <f>' Enrol &amp; Rev'!I29</f>
        <v>0</v>
      </c>
      <c r="J25" s="784">
        <f>' Enrol &amp; Rev'!J29</f>
        <v>0</v>
      </c>
      <c r="K25" s="784">
        <f>' Enrol &amp; Rev'!K29</f>
        <v>0</v>
      </c>
      <c r="L25" s="784">
        <f>' Enrol &amp; Rev'!L29</f>
        <v>0</v>
      </c>
      <c r="R25" s="1957"/>
      <c r="S25" s="75"/>
      <c r="T25" s="75"/>
      <c r="U25" s="75"/>
      <c r="V25" s="75"/>
      <c r="W25" s="75"/>
      <c r="X25" s="75"/>
      <c r="Y25" s="75"/>
      <c r="Z25" s="75"/>
      <c r="AA25" s="75"/>
      <c r="AB25" s="75"/>
      <c r="AC25" s="75"/>
      <c r="AD25" s="75"/>
      <c r="AE25" s="75"/>
      <c r="AF25" s="75"/>
      <c r="AG25" s="75"/>
      <c r="AH25" s="75"/>
      <c r="AI25" s="75"/>
    </row>
    <row r="26" spans="1:35" s="79" customFormat="1" hidden="1">
      <c r="A26" s="653">
        <f>ROW()</f>
        <v>26</v>
      </c>
      <c r="B26" s="489" t="s">
        <v>219</v>
      </c>
      <c r="C26" s="488"/>
      <c r="D26" s="488"/>
      <c r="E26" s="488"/>
      <c r="F26" s="782">
        <f>' Enrol &amp; Rev'!F30</f>
        <v>0</v>
      </c>
      <c r="G26" s="782">
        <f>' Enrol &amp; Rev'!G30</f>
        <v>0</v>
      </c>
      <c r="H26" s="784">
        <f>' Enrol &amp; Rev'!H30</f>
        <v>0</v>
      </c>
      <c r="I26" s="784">
        <f>' Enrol &amp; Rev'!I30</f>
        <v>0</v>
      </c>
      <c r="J26" s="784">
        <f>' Enrol &amp; Rev'!J30</f>
        <v>0</v>
      </c>
      <c r="K26" s="784">
        <f>' Enrol &amp; Rev'!K30</f>
        <v>0</v>
      </c>
      <c r="L26" s="784">
        <f>' Enrol &amp; Rev'!L30</f>
        <v>0</v>
      </c>
      <c r="R26" s="1957"/>
      <c r="S26" s="75"/>
      <c r="T26" s="75"/>
      <c r="U26" s="75"/>
      <c r="V26" s="75"/>
      <c r="W26" s="75"/>
      <c r="X26" s="75"/>
      <c r="Y26" s="75"/>
      <c r="Z26" s="75"/>
      <c r="AA26" s="75"/>
      <c r="AB26" s="75"/>
      <c r="AC26" s="75"/>
      <c r="AD26" s="75"/>
      <c r="AE26" s="75"/>
      <c r="AF26" s="75"/>
      <c r="AG26" s="75"/>
      <c r="AH26" s="75"/>
      <c r="AI26" s="75"/>
    </row>
    <row r="27" spans="1:35" s="79" customFormat="1" hidden="1">
      <c r="A27" s="653">
        <f>ROW()</f>
        <v>27</v>
      </c>
      <c r="B27" s="489" t="s">
        <v>220</v>
      </c>
      <c r="C27" s="488"/>
      <c r="D27" s="488"/>
      <c r="E27" s="488"/>
      <c r="F27" s="782">
        <f>' Enrol &amp; Rev'!F31</f>
        <v>0</v>
      </c>
      <c r="G27" s="782">
        <f>' Enrol &amp; Rev'!G31</f>
        <v>100</v>
      </c>
      <c r="H27" s="784">
        <f>' Enrol &amp; Rev'!H31</f>
        <v>100</v>
      </c>
      <c r="I27" s="784">
        <f>' Enrol &amp; Rev'!I31</f>
        <v>100</v>
      </c>
      <c r="J27" s="784">
        <f>' Enrol &amp; Rev'!J31</f>
        <v>150</v>
      </c>
      <c r="K27" s="784">
        <f>' Enrol &amp; Rev'!K31</f>
        <v>150</v>
      </c>
      <c r="L27" s="784">
        <f>' Enrol &amp; Rev'!L31</f>
        <v>150</v>
      </c>
      <c r="R27" s="1957"/>
      <c r="S27" s="75"/>
      <c r="T27" s="75"/>
      <c r="U27" s="75"/>
      <c r="V27" s="75"/>
      <c r="W27" s="75"/>
      <c r="X27" s="75"/>
      <c r="Y27" s="75"/>
      <c r="Z27" s="75"/>
      <c r="AA27" s="75"/>
      <c r="AB27" s="75"/>
      <c r="AC27" s="75"/>
      <c r="AD27" s="75"/>
      <c r="AE27" s="75"/>
      <c r="AF27" s="75"/>
      <c r="AG27" s="75"/>
      <c r="AH27" s="75"/>
      <c r="AI27" s="75"/>
    </row>
    <row r="28" spans="1:35" s="79" customFormat="1" hidden="1">
      <c r="A28" s="653">
        <f>ROW()</f>
        <v>28</v>
      </c>
      <c r="B28" s="489" t="s">
        <v>221</v>
      </c>
      <c r="C28" s="488"/>
      <c r="D28" s="488"/>
      <c r="E28" s="488"/>
      <c r="F28" s="782">
        <f>' Enrol &amp; Rev'!F32</f>
        <v>0</v>
      </c>
      <c r="G28" s="782">
        <f>' Enrol &amp; Rev'!G32</f>
        <v>100</v>
      </c>
      <c r="H28" s="784">
        <f>' Enrol &amp; Rev'!H32</f>
        <v>100</v>
      </c>
      <c r="I28" s="784">
        <f>' Enrol &amp; Rev'!I32</f>
        <v>100</v>
      </c>
      <c r="J28" s="784">
        <f>' Enrol &amp; Rev'!J32</f>
        <v>100</v>
      </c>
      <c r="K28" s="784">
        <f>' Enrol &amp; Rev'!K32</f>
        <v>150</v>
      </c>
      <c r="L28" s="784">
        <f>' Enrol &amp; Rev'!L32</f>
        <v>150</v>
      </c>
      <c r="R28" s="1957"/>
      <c r="S28" s="75"/>
      <c r="T28" s="75"/>
      <c r="U28" s="75"/>
      <c r="V28" s="75"/>
      <c r="W28" s="75"/>
      <c r="X28" s="75"/>
      <c r="Y28" s="75"/>
      <c r="Z28" s="75"/>
      <c r="AA28" s="75"/>
      <c r="AB28" s="75"/>
      <c r="AC28" s="75"/>
      <c r="AD28" s="75"/>
      <c r="AE28" s="75"/>
      <c r="AF28" s="75"/>
      <c r="AG28" s="75"/>
      <c r="AH28" s="75"/>
      <c r="AI28" s="75"/>
    </row>
    <row r="29" spans="1:35" s="79" customFormat="1" hidden="1">
      <c r="A29" s="653">
        <f>ROW()</f>
        <v>29</v>
      </c>
      <c r="B29" s="489" t="s">
        <v>222</v>
      </c>
      <c r="C29" s="488"/>
      <c r="D29" s="488"/>
      <c r="E29" s="488"/>
      <c r="F29" s="782">
        <f>' Enrol &amp; Rev'!F33</f>
        <v>0</v>
      </c>
      <c r="G29" s="782">
        <f>' Enrol &amp; Rev'!G33</f>
        <v>0</v>
      </c>
      <c r="H29" s="784">
        <f>' Enrol &amp; Rev'!H33</f>
        <v>100</v>
      </c>
      <c r="I29" s="784">
        <f>' Enrol &amp; Rev'!I33</f>
        <v>100</v>
      </c>
      <c r="J29" s="784">
        <f>' Enrol &amp; Rev'!J33</f>
        <v>100</v>
      </c>
      <c r="K29" s="784">
        <f>' Enrol &amp; Rev'!K33</f>
        <v>100</v>
      </c>
      <c r="L29" s="784">
        <f>' Enrol &amp; Rev'!L33</f>
        <v>150</v>
      </c>
      <c r="R29" s="1957"/>
      <c r="S29" s="75"/>
      <c r="T29" s="75"/>
      <c r="U29" s="75"/>
      <c r="V29" s="75"/>
      <c r="W29" s="75"/>
      <c r="X29" s="75"/>
      <c r="Y29" s="75"/>
      <c r="Z29" s="75"/>
      <c r="AA29" s="75"/>
      <c r="AB29" s="75"/>
      <c r="AC29" s="75"/>
      <c r="AD29" s="75"/>
      <c r="AE29" s="75"/>
      <c r="AF29" s="75"/>
      <c r="AG29" s="75"/>
      <c r="AH29" s="75"/>
      <c r="AI29" s="75"/>
    </row>
    <row r="30" spans="1:35" s="79" customFormat="1" hidden="1">
      <c r="A30" s="653">
        <f>ROW()</f>
        <v>30</v>
      </c>
      <c r="B30" s="489" t="s">
        <v>223</v>
      </c>
      <c r="C30" s="488"/>
      <c r="D30" s="488"/>
      <c r="E30" s="488"/>
      <c r="F30" s="785">
        <f>' Enrol &amp; Rev'!F34</f>
        <v>0</v>
      </c>
      <c r="G30" s="785">
        <f>' Enrol &amp; Rev'!G34</f>
        <v>0</v>
      </c>
      <c r="H30" s="786">
        <f>' Enrol &amp; Rev'!H34</f>
        <v>0</v>
      </c>
      <c r="I30" s="786">
        <f>' Enrol &amp; Rev'!I34</f>
        <v>100</v>
      </c>
      <c r="J30" s="786">
        <f>' Enrol &amp; Rev'!J34</f>
        <v>100</v>
      </c>
      <c r="K30" s="786">
        <f>' Enrol &amp; Rev'!K34</f>
        <v>100</v>
      </c>
      <c r="L30" s="786">
        <f>' Enrol &amp; Rev'!L34</f>
        <v>100</v>
      </c>
      <c r="R30" s="1957"/>
      <c r="S30" s="75"/>
      <c r="T30" s="75"/>
      <c r="U30" s="75"/>
      <c r="V30" s="75"/>
      <c r="W30" s="75"/>
      <c r="X30" s="75"/>
      <c r="Y30" s="75"/>
      <c r="Z30" s="75"/>
      <c r="AA30" s="75"/>
      <c r="AB30" s="75"/>
      <c r="AC30" s="75"/>
      <c r="AD30" s="75"/>
      <c r="AE30" s="75"/>
      <c r="AF30" s="75"/>
      <c r="AG30" s="75"/>
      <c r="AH30" s="75"/>
      <c r="AI30" s="75"/>
    </row>
    <row r="31" spans="1:35" ht="15.6">
      <c r="A31" s="653">
        <f>ROW()</f>
        <v>31</v>
      </c>
      <c r="B31" s="813" t="s">
        <v>224</v>
      </c>
      <c r="C31" s="629"/>
      <c r="D31" s="629"/>
      <c r="E31" s="629"/>
      <c r="F31" s="611"/>
      <c r="G31" s="2138">
        <f t="shared" ref="G31:L31" si="2">SUM(G18:G30)</f>
        <v>200</v>
      </c>
      <c r="H31" s="2138">
        <f t="shared" si="2"/>
        <v>300</v>
      </c>
      <c r="I31" s="2138">
        <f t="shared" si="2"/>
        <v>400</v>
      </c>
      <c r="J31" s="2138">
        <f t="shared" si="2"/>
        <v>450</v>
      </c>
      <c r="K31" s="2138">
        <f t="shared" si="2"/>
        <v>500</v>
      </c>
      <c r="L31" s="2138">
        <f t="shared" si="2"/>
        <v>550</v>
      </c>
      <c r="R31" s="462"/>
    </row>
    <row r="32" spans="1:35">
      <c r="A32" s="653">
        <f>ROW()</f>
        <v>32</v>
      </c>
      <c r="B32" s="108" t="s">
        <v>522</v>
      </c>
      <c r="C32" s="108"/>
      <c r="D32" s="108"/>
      <c r="E32" s="108"/>
      <c r="F32" s="612"/>
      <c r="G32" s="2169">
        <f>IFERROR(G31/G16,0)</f>
        <v>29.000000000000004</v>
      </c>
      <c r="H32" s="2169">
        <f t="shared" ref="H32:L32" si="3">IFERROR(H31/H16,0)</f>
        <v>21</v>
      </c>
      <c r="I32" s="2169">
        <f t="shared" si="3"/>
        <v>19</v>
      </c>
      <c r="J32" s="2169">
        <f t="shared" si="3"/>
        <v>18</v>
      </c>
      <c r="K32" s="2169">
        <f t="shared" si="3"/>
        <v>17</v>
      </c>
      <c r="L32" s="2169">
        <f t="shared" si="3"/>
        <v>19</v>
      </c>
      <c r="R32" s="462"/>
    </row>
    <row r="33" spans="1:18">
      <c r="A33" s="653">
        <f>ROW()</f>
        <v>33</v>
      </c>
      <c r="B33" s="604" t="s">
        <v>250</v>
      </c>
      <c r="C33" s="108"/>
      <c r="D33" s="108"/>
      <c r="E33" s="108"/>
      <c r="F33" s="2166">
        <f>' Enrol &amp; Rev'!F37</f>
        <v>0</v>
      </c>
      <c r="G33" s="2171">
        <f>' Enrol &amp; Rev'!G37</f>
        <v>0.85</v>
      </c>
      <c r="H33" s="2171">
        <f>' Enrol &amp; Rev'!H37</f>
        <v>0.85</v>
      </c>
      <c r="I33" s="2171">
        <f>' Enrol &amp; Rev'!I37</f>
        <v>0.85</v>
      </c>
      <c r="J33" s="2171">
        <f>' Enrol &amp; Rev'!J37</f>
        <v>0.85</v>
      </c>
      <c r="K33" s="2171">
        <f>' Enrol &amp; Rev'!K37</f>
        <v>0.85</v>
      </c>
      <c r="L33" s="2171">
        <f>' Enrol &amp; Rev'!L37</f>
        <v>0.85</v>
      </c>
      <c r="R33" s="462"/>
    </row>
    <row r="34" spans="1:18">
      <c r="A34" s="653">
        <f>ROW()</f>
        <v>34</v>
      </c>
      <c r="B34" s="604" t="s">
        <v>523</v>
      </c>
      <c r="C34" s="108"/>
      <c r="D34" s="108"/>
      <c r="E34" s="108"/>
      <c r="F34" s="613"/>
      <c r="G34" s="787">
        <f t="shared" ref="G34:L34" si="4">+G31*(1-G33)</f>
        <v>30.000000000000004</v>
      </c>
      <c r="H34" s="787">
        <f t="shared" si="4"/>
        <v>45.000000000000007</v>
      </c>
      <c r="I34" s="787">
        <f t="shared" si="4"/>
        <v>60.000000000000007</v>
      </c>
      <c r="J34" s="787">
        <f t="shared" si="4"/>
        <v>67.500000000000014</v>
      </c>
      <c r="K34" s="787">
        <f t="shared" si="4"/>
        <v>75.000000000000014</v>
      </c>
      <c r="L34" s="787">
        <f t="shared" si="4"/>
        <v>82.500000000000014</v>
      </c>
      <c r="R34" s="462"/>
    </row>
    <row r="35" spans="1:18">
      <c r="A35" s="653">
        <f>ROW()</f>
        <v>35</v>
      </c>
      <c r="B35" s="604"/>
      <c r="C35" s="108"/>
      <c r="D35" s="108"/>
      <c r="E35" s="108"/>
      <c r="F35" s="613"/>
      <c r="G35" s="787"/>
      <c r="H35" s="787"/>
      <c r="I35" s="787"/>
      <c r="J35" s="787"/>
      <c r="K35" s="787"/>
      <c r="L35" s="787"/>
      <c r="R35" s="462"/>
    </row>
    <row r="36" spans="1:18">
      <c r="A36" s="653">
        <f>ROW()</f>
        <v>36</v>
      </c>
      <c r="B36" s="108" t="s">
        <v>524</v>
      </c>
      <c r="C36" s="108"/>
      <c r="D36" s="108"/>
      <c r="E36" s="108"/>
      <c r="F36" s="2166">
        <f>' Enrol &amp; Rev'!F85</f>
        <v>0</v>
      </c>
      <c r="G36" s="2171">
        <f>' Enrol &amp; Rev'!G85</f>
        <v>0.95</v>
      </c>
      <c r="H36" s="2171">
        <f>' Enrol &amp; Rev'!H85</f>
        <v>0.95</v>
      </c>
      <c r="I36" s="2171">
        <f>' Enrol &amp; Rev'!I85</f>
        <v>0.95</v>
      </c>
      <c r="J36" s="2171">
        <f>' Enrol &amp; Rev'!J85</f>
        <v>0.95</v>
      </c>
      <c r="K36" s="2171">
        <f>' Enrol &amp; Rev'!K85</f>
        <v>0.95</v>
      </c>
      <c r="L36" s="2171">
        <f>' Enrol &amp; Rev'!L85</f>
        <v>0.95</v>
      </c>
      <c r="R36" s="462"/>
    </row>
    <row r="37" spans="1:18">
      <c r="A37" s="653">
        <f>ROW()</f>
        <v>37</v>
      </c>
      <c r="B37" s="108" t="s">
        <v>525</v>
      </c>
      <c r="C37" s="108"/>
      <c r="D37" s="108"/>
      <c r="E37" s="108"/>
      <c r="F37" s="2167"/>
      <c r="G37" s="788">
        <f t="shared" ref="G37:L37" si="5">+G$31*G36</f>
        <v>190</v>
      </c>
      <c r="H37" s="788">
        <f t="shared" si="5"/>
        <v>285</v>
      </c>
      <c r="I37" s="788">
        <f t="shared" si="5"/>
        <v>380</v>
      </c>
      <c r="J37" s="788">
        <f t="shared" si="5"/>
        <v>427.5</v>
      </c>
      <c r="K37" s="788">
        <f t="shared" si="5"/>
        <v>475</v>
      </c>
      <c r="L37" s="788">
        <f t="shared" si="5"/>
        <v>522.5</v>
      </c>
      <c r="R37" s="462"/>
    </row>
    <row r="38" spans="1:18">
      <c r="A38" s="653">
        <f>ROW()</f>
        <v>38</v>
      </c>
      <c r="B38" s="108" t="s">
        <v>262</v>
      </c>
      <c r="C38" s="108"/>
      <c r="D38" s="108"/>
      <c r="E38" s="108"/>
      <c r="F38" s="2166">
        <f>' Enrol &amp; Rev'!F86</f>
        <v>0</v>
      </c>
      <c r="G38" s="2171">
        <f>' Enrol &amp; Rev'!G86</f>
        <v>0.3</v>
      </c>
      <c r="H38" s="2171">
        <f>' Enrol &amp; Rev'!H86</f>
        <v>0.3</v>
      </c>
      <c r="I38" s="2171">
        <f>' Enrol &amp; Rev'!I86</f>
        <v>0.3</v>
      </c>
      <c r="J38" s="2171">
        <f>' Enrol &amp; Rev'!J86</f>
        <v>0.3</v>
      </c>
      <c r="K38" s="2171">
        <f>' Enrol &amp; Rev'!K86</f>
        <v>0.3</v>
      </c>
      <c r="L38" s="2171">
        <f>' Enrol &amp; Rev'!L86</f>
        <v>0.3</v>
      </c>
      <c r="R38" s="462"/>
    </row>
    <row r="39" spans="1:18">
      <c r="A39" s="653">
        <f>ROW()</f>
        <v>39</v>
      </c>
      <c r="B39" s="108" t="s">
        <v>526</v>
      </c>
      <c r="C39" s="108"/>
      <c r="D39" s="108"/>
      <c r="E39" s="108"/>
      <c r="F39" s="2167"/>
      <c r="G39" s="788">
        <f t="shared" ref="G39:L39" si="6">+G$31*G38</f>
        <v>60</v>
      </c>
      <c r="H39" s="788">
        <f t="shared" si="6"/>
        <v>90</v>
      </c>
      <c r="I39" s="788">
        <f t="shared" si="6"/>
        <v>120</v>
      </c>
      <c r="J39" s="788">
        <f t="shared" si="6"/>
        <v>135</v>
      </c>
      <c r="K39" s="788">
        <f t="shared" si="6"/>
        <v>150</v>
      </c>
      <c r="L39" s="788">
        <f t="shared" si="6"/>
        <v>165</v>
      </c>
      <c r="R39" s="462"/>
    </row>
    <row r="40" spans="1:18">
      <c r="A40" s="653">
        <f>ROW()</f>
        <v>40</v>
      </c>
      <c r="B40" s="108" t="s">
        <v>263</v>
      </c>
      <c r="C40" s="108"/>
      <c r="D40" s="108"/>
      <c r="E40" s="108"/>
      <c r="F40" s="2166">
        <f>' Enrol &amp; Rev'!F87</f>
        <v>0</v>
      </c>
      <c r="G40" s="2171">
        <f>' Enrol &amp; Rev'!G87</f>
        <v>0.11</v>
      </c>
      <c r="H40" s="2171">
        <f>' Enrol &amp; Rev'!H87</f>
        <v>0.11</v>
      </c>
      <c r="I40" s="2171">
        <f>' Enrol &amp; Rev'!I87</f>
        <v>0.11</v>
      </c>
      <c r="J40" s="2171">
        <f>' Enrol &amp; Rev'!J87</f>
        <v>0.11</v>
      </c>
      <c r="K40" s="2171">
        <f>' Enrol &amp; Rev'!K87</f>
        <v>0.11</v>
      </c>
      <c r="L40" s="2171">
        <f>' Enrol &amp; Rev'!L87</f>
        <v>0.11</v>
      </c>
      <c r="R40" s="462"/>
    </row>
    <row r="41" spans="1:18">
      <c r="A41" s="653">
        <f>ROW()</f>
        <v>41</v>
      </c>
      <c r="B41" s="108" t="s">
        <v>264</v>
      </c>
      <c r="C41" s="108"/>
      <c r="D41" s="108"/>
      <c r="E41" s="108"/>
      <c r="F41" s="2167"/>
      <c r="G41" s="788">
        <f t="shared" ref="G41:L41" si="7">+G$31*G40</f>
        <v>22</v>
      </c>
      <c r="H41" s="788">
        <f t="shared" si="7"/>
        <v>33</v>
      </c>
      <c r="I41" s="788">
        <f t="shared" si="7"/>
        <v>44</v>
      </c>
      <c r="J41" s="788">
        <f t="shared" si="7"/>
        <v>49.5</v>
      </c>
      <c r="K41" s="788">
        <f t="shared" si="7"/>
        <v>55</v>
      </c>
      <c r="L41" s="788">
        <f t="shared" si="7"/>
        <v>60.5</v>
      </c>
      <c r="R41" s="462"/>
    </row>
    <row r="42" spans="1:18">
      <c r="A42" s="653">
        <f>ROW()</f>
        <v>42</v>
      </c>
      <c r="B42" s="108"/>
      <c r="C42" s="108"/>
      <c r="D42" s="108"/>
      <c r="E42" s="108"/>
      <c r="F42" s="2168"/>
      <c r="G42" s="2172"/>
      <c r="H42" s="2172"/>
      <c r="I42" s="2172"/>
      <c r="J42" s="2172"/>
      <c r="K42" s="2172"/>
      <c r="L42" s="2172"/>
      <c r="R42" s="462"/>
    </row>
    <row r="43" spans="1:18">
      <c r="A43" s="653">
        <f>ROW()</f>
        <v>43</v>
      </c>
      <c r="B43" s="108"/>
      <c r="C43" s="108"/>
      <c r="D43" s="108"/>
      <c r="E43" s="108"/>
      <c r="F43" s="614"/>
      <c r="G43" s="2170"/>
      <c r="H43" s="2170"/>
      <c r="I43" s="2170"/>
      <c r="J43" s="2170"/>
      <c r="K43" s="2170"/>
      <c r="L43" s="2170"/>
      <c r="R43" s="462"/>
    </row>
    <row r="44" spans="1:18">
      <c r="A44" s="653">
        <f>ROW()</f>
        <v>44</v>
      </c>
      <c r="B44" s="814"/>
      <c r="C44" s="814"/>
      <c r="D44" s="814"/>
      <c r="E44" s="814"/>
      <c r="F44" s="815"/>
      <c r="G44" s="816"/>
      <c r="H44" s="816"/>
      <c r="I44" s="816"/>
      <c r="J44" s="817"/>
      <c r="K44" s="817"/>
      <c r="L44" s="817"/>
      <c r="M44" s="113"/>
      <c r="N44" s="113"/>
      <c r="O44" s="113"/>
      <c r="P44" s="113"/>
      <c r="Q44" s="113"/>
      <c r="R44" s="462"/>
    </row>
    <row r="45" spans="1:18" ht="15.6">
      <c r="A45" s="653">
        <f>ROW()</f>
        <v>45</v>
      </c>
      <c r="B45" s="818" t="s">
        <v>196</v>
      </c>
      <c r="C45" s="629">
        <f t="shared" ref="C45" si="8">SUM(G45:L45)</f>
        <v>24373827.680398501</v>
      </c>
      <c r="D45" s="629"/>
      <c r="E45" s="629"/>
      <c r="F45" s="819">
        <f>' Enrol &amp; Rev'!F142</f>
        <v>397500</v>
      </c>
      <c r="G45" s="820">
        <f>' Enrol &amp; Rev'!G142</f>
        <v>1748937.5</v>
      </c>
      <c r="H45" s="820">
        <f>' Enrol &amp; Rev'!H142</f>
        <v>2985042.728962</v>
      </c>
      <c r="I45" s="820">
        <f>' Enrol &amp; Rev'!I142</f>
        <v>4043933.2184430007</v>
      </c>
      <c r="J45" s="820">
        <f>' Enrol &amp; Rev'!J142</f>
        <v>4669192.8329240009</v>
      </c>
      <c r="K45" s="820">
        <f>' Enrol &amp; Rev'!K142</f>
        <v>5198638.0776644992</v>
      </c>
      <c r="L45" s="820">
        <f>' Enrol &amp; Rev'!L142</f>
        <v>5728083.3224050002</v>
      </c>
      <c r="R45" s="462"/>
    </row>
    <row r="46" spans="1:18" ht="15.6">
      <c r="A46" s="653">
        <f>ROW()</f>
        <v>46</v>
      </c>
      <c r="B46" s="108" t="s">
        <v>527</v>
      </c>
      <c r="C46" s="603"/>
      <c r="D46" s="603"/>
      <c r="E46" s="603"/>
      <c r="F46" s="611"/>
      <c r="G46" s="610">
        <f t="shared" ref="G46:L46" si="9">IFERROR(G45/G31,0)</f>
        <v>8744.6875</v>
      </c>
      <c r="H46" s="610">
        <f t="shared" si="9"/>
        <v>9950.1424298733327</v>
      </c>
      <c r="I46" s="610">
        <f t="shared" si="9"/>
        <v>10109.833046107502</v>
      </c>
      <c r="J46" s="610">
        <f t="shared" si="9"/>
        <v>10375.984073164447</v>
      </c>
      <c r="K46" s="610">
        <f t="shared" si="9"/>
        <v>10397.276155328998</v>
      </c>
      <c r="L46" s="610">
        <f t="shared" si="9"/>
        <v>10414.696949827274</v>
      </c>
      <c r="R46" s="462"/>
    </row>
    <row r="47" spans="1:18" ht="15.6">
      <c r="A47" s="653">
        <f>ROW()</f>
        <v>47</v>
      </c>
      <c r="B47" s="108" t="s">
        <v>528</v>
      </c>
      <c r="C47" s="603">
        <f>SUM(G47:L47)</f>
        <v>3435443.3631786946</v>
      </c>
      <c r="D47" s="603"/>
      <c r="E47" s="603"/>
      <c r="F47" s="611">
        <f>Levers!C16</f>
        <v>243721</v>
      </c>
      <c r="G47" s="610">
        <f>Levers!D16</f>
        <v>300270.75</v>
      </c>
      <c r="H47" s="610">
        <f>Levers!E16</f>
        <v>418962.63324999996</v>
      </c>
      <c r="I47" s="610">
        <f>Levers!F16</f>
        <v>552342.43235769996</v>
      </c>
      <c r="J47" s="610">
        <f>Levers!G16</f>
        <v>633630.27429965709</v>
      </c>
      <c r="K47" s="610">
        <f>Levers!H16</f>
        <v>719880.83985485905</v>
      </c>
      <c r="L47" s="610">
        <f>Levers!I16</f>
        <v>810356.43341647834</v>
      </c>
      <c r="R47" s="462"/>
    </row>
    <row r="48" spans="1:18" ht="15.6">
      <c r="A48" s="653">
        <f>ROW()</f>
        <v>48</v>
      </c>
      <c r="B48" s="108" t="s">
        <v>529</v>
      </c>
      <c r="C48" s="603">
        <f>Levers!$B$17</f>
        <v>1532.9851513244562</v>
      </c>
      <c r="D48" s="603"/>
      <c r="E48" s="603"/>
      <c r="F48" s="611"/>
      <c r="G48" s="610">
        <f>Levers!D17</f>
        <v>1501.35375</v>
      </c>
      <c r="H48" s="610">
        <f>Levers!E17</f>
        <v>1396.5421108333333</v>
      </c>
      <c r="I48" s="610">
        <f>Levers!F17</f>
        <v>1380.85608089425</v>
      </c>
      <c r="J48" s="610">
        <f>Levers!G17</f>
        <v>1408.0672762214601</v>
      </c>
      <c r="K48" s="610">
        <f>Levers!H17</f>
        <v>1439.761679709718</v>
      </c>
      <c r="L48" s="610">
        <f>Levers!I17</f>
        <v>1473.375333484506</v>
      </c>
      <c r="R48" s="462"/>
    </row>
    <row r="49" spans="1:18" ht="15.6">
      <c r="A49" s="653">
        <f>ROW()</f>
        <v>49</v>
      </c>
      <c r="B49" s="108" t="s">
        <v>530</v>
      </c>
      <c r="C49" s="603">
        <f>SUM(G49:L49)</f>
        <v>20938384.317219805</v>
      </c>
      <c r="D49" s="603"/>
      <c r="E49" s="603"/>
      <c r="F49" s="611">
        <f>Levers!C18</f>
        <v>153779</v>
      </c>
      <c r="G49" s="610">
        <f>Levers!D18</f>
        <v>1448666.75</v>
      </c>
      <c r="H49" s="610">
        <f>Levers!E18</f>
        <v>2566080.095712</v>
      </c>
      <c r="I49" s="610">
        <f>Levers!F18</f>
        <v>3491590.7860853006</v>
      </c>
      <c r="J49" s="610">
        <f>Levers!G18</f>
        <v>4035562.5586243439</v>
      </c>
      <c r="K49" s="610">
        <f>Levers!H18</f>
        <v>4478757.2378096404</v>
      </c>
      <c r="L49" s="610">
        <f>Levers!I18</f>
        <v>4917726.8889885219</v>
      </c>
      <c r="R49" s="462"/>
    </row>
    <row r="50" spans="1:18" ht="15.6">
      <c r="A50" s="653">
        <f>ROW()</f>
        <v>50</v>
      </c>
      <c r="B50" s="108" t="s">
        <v>531</v>
      </c>
      <c r="C50" s="603">
        <f>Levers!$B$19</f>
        <v>8788.4013821749195</v>
      </c>
      <c r="D50" s="603"/>
      <c r="E50" s="603"/>
      <c r="F50" s="611"/>
      <c r="G50" s="610">
        <f>Levers!D19</f>
        <v>7243.3337499999998</v>
      </c>
      <c r="H50" s="610">
        <f>Levers!E19</f>
        <v>8553.6003190400006</v>
      </c>
      <c r="I50" s="610">
        <f>Levers!F19</f>
        <v>8728.9769652132509</v>
      </c>
      <c r="J50" s="610">
        <f>Levers!G19</f>
        <v>8967.9167969429873</v>
      </c>
      <c r="K50" s="610">
        <f>Levers!H19</f>
        <v>8957.5144756192803</v>
      </c>
      <c r="L50" s="610">
        <f>Levers!I19</f>
        <v>8941.3216163427678</v>
      </c>
      <c r="R50" s="462"/>
    </row>
    <row r="51" spans="1:18" ht="15.6">
      <c r="A51" s="653">
        <f>ROW()</f>
        <v>51</v>
      </c>
      <c r="B51" s="108" t="s">
        <v>416</v>
      </c>
      <c r="C51" s="603">
        <f>Levers!B38</f>
        <v>2938641.0999814454</v>
      </c>
      <c r="D51" s="603"/>
      <c r="E51" s="603"/>
      <c r="F51" s="611">
        <f>Levers!C38</f>
        <v>25000.400000000023</v>
      </c>
      <c r="G51" s="610">
        <f>Levers!D38</f>
        <v>26558.457068965479</v>
      </c>
      <c r="H51" s="610">
        <f>Levers!E38</f>
        <v>471641.62507160596</v>
      </c>
      <c r="I51" s="610">
        <f>Levers!F38</f>
        <v>582735.62196199258</v>
      </c>
      <c r="J51" s="610">
        <f>Levers!G38</f>
        <v>434487.22523108096</v>
      </c>
      <c r="K51" s="610">
        <f>Levers!H38</f>
        <v>497296.79179460974</v>
      </c>
      <c r="L51" s="610">
        <f>Levers!I38</f>
        <v>900920.97885319078</v>
      </c>
      <c r="R51" s="462"/>
    </row>
    <row r="52" spans="1:18" ht="15.6">
      <c r="A52" s="653">
        <f>ROW()</f>
        <v>52</v>
      </c>
      <c r="B52" s="108" t="s">
        <v>417</v>
      </c>
      <c r="C52" s="603">
        <f>Levers!B39</f>
        <v>1224.4337916589357</v>
      </c>
      <c r="D52" s="603"/>
      <c r="E52" s="603"/>
      <c r="F52" s="611">
        <f>Levers!C39</f>
        <v>0</v>
      </c>
      <c r="G52" s="610">
        <f>Levers!D39</f>
        <v>132.79228534482741</v>
      </c>
      <c r="H52" s="610">
        <f>Levers!E39</f>
        <v>1572.1387502386865</v>
      </c>
      <c r="I52" s="610">
        <f>Levers!F39</f>
        <v>1456.8390549049814</v>
      </c>
      <c r="J52" s="610">
        <f>Levers!G39</f>
        <v>965.52716718017996</v>
      </c>
      <c r="K52" s="610">
        <f>Levers!H39</f>
        <v>994.59358358921952</v>
      </c>
      <c r="L52" s="610">
        <f>Levers!I39</f>
        <v>1638.0381433694379</v>
      </c>
      <c r="R52" s="462"/>
    </row>
    <row r="53" spans="1:18">
      <c r="A53" s="653">
        <f>ROW()</f>
        <v>53</v>
      </c>
      <c r="B53" s="77"/>
      <c r="C53" s="77"/>
      <c r="D53" s="77"/>
      <c r="E53" s="81"/>
      <c r="F53" s="680"/>
      <c r="G53" s="682"/>
      <c r="H53" s="682"/>
      <c r="I53" s="682"/>
      <c r="J53" s="682"/>
      <c r="K53" s="682"/>
      <c r="L53" s="682"/>
      <c r="R53" s="462"/>
    </row>
    <row r="54" spans="1:18">
      <c r="A54" s="653">
        <f>ROW()</f>
        <v>54</v>
      </c>
      <c r="B54" s="257" t="s">
        <v>532</v>
      </c>
      <c r="C54" s="257"/>
      <c r="D54" s="257"/>
      <c r="E54" s="630"/>
      <c r="F54" s="789"/>
      <c r="G54" s="790"/>
      <c r="H54" s="790"/>
      <c r="I54" s="790"/>
      <c r="J54" s="790"/>
      <c r="K54" s="790"/>
      <c r="L54" s="790"/>
      <c r="M54" s="145"/>
      <c r="N54" s="102"/>
      <c r="O54" s="102"/>
      <c r="R54" s="462"/>
    </row>
    <row r="55" spans="1:18">
      <c r="A55" s="653">
        <f>ROW()</f>
        <v>55</v>
      </c>
      <c r="B55" s="100" t="s">
        <v>396</v>
      </c>
      <c r="C55" s="100"/>
      <c r="D55" s="100"/>
      <c r="E55" s="109"/>
      <c r="F55" s="617">
        <f>+Staff!G17</f>
        <v>1</v>
      </c>
      <c r="G55" s="791">
        <f>+Staff!H17</f>
        <v>2</v>
      </c>
      <c r="H55" s="791">
        <f>+Staff!I17</f>
        <v>2</v>
      </c>
      <c r="I55" s="791">
        <f>+Staff!J17</f>
        <v>3</v>
      </c>
      <c r="J55" s="791">
        <f>+Staff!K17</f>
        <v>3</v>
      </c>
      <c r="K55" s="791">
        <f>+Staff!L17</f>
        <v>4</v>
      </c>
      <c r="L55" s="791">
        <f>+Staff!M17</f>
        <v>4</v>
      </c>
      <c r="M55" s="145"/>
      <c r="N55" s="102"/>
      <c r="O55" s="102"/>
      <c r="R55" s="462"/>
    </row>
    <row r="56" spans="1:18">
      <c r="A56" s="653">
        <f>ROW()</f>
        <v>56</v>
      </c>
      <c r="B56" s="108" t="s">
        <v>397</v>
      </c>
      <c r="C56" s="108"/>
      <c r="D56" s="108"/>
      <c r="E56" s="2140"/>
      <c r="F56" s="610">
        <f>+Staff!G18</f>
        <v>0</v>
      </c>
      <c r="G56" s="2141">
        <f>+Staff!H18</f>
        <v>2.25</v>
      </c>
      <c r="H56" s="2141">
        <f>+Staff!I18</f>
        <v>3</v>
      </c>
      <c r="I56" s="2141">
        <f>+Staff!J18</f>
        <v>4</v>
      </c>
      <c r="J56" s="2141">
        <f>+Staff!K18</f>
        <v>4</v>
      </c>
      <c r="K56" s="2141">
        <f>+Staff!L18</f>
        <v>4</v>
      </c>
      <c r="L56" s="2141">
        <f>+Staff!M18</f>
        <v>4</v>
      </c>
      <c r="M56" s="145"/>
      <c r="N56" s="102"/>
      <c r="O56" s="102"/>
      <c r="R56" s="462"/>
    </row>
    <row r="57" spans="1:18">
      <c r="A57" s="653">
        <f>ROW()</f>
        <v>57</v>
      </c>
      <c r="B57" s="108" t="s">
        <v>398</v>
      </c>
      <c r="C57" s="108"/>
      <c r="D57" s="108"/>
      <c r="E57" s="2140"/>
      <c r="F57" s="610">
        <f>+Staff!G19</f>
        <v>0</v>
      </c>
      <c r="G57" s="2141">
        <f>+Staff!H19</f>
        <v>1</v>
      </c>
      <c r="H57" s="2141">
        <f>+Staff!I19</f>
        <v>2</v>
      </c>
      <c r="I57" s="2141">
        <f>+Staff!J19</f>
        <v>3</v>
      </c>
      <c r="J57" s="2141">
        <f>+Staff!K19</f>
        <v>3</v>
      </c>
      <c r="K57" s="2141">
        <f>+Staff!L19</f>
        <v>3</v>
      </c>
      <c r="L57" s="2141">
        <f>+Staff!M19</f>
        <v>3</v>
      </c>
      <c r="M57" s="145"/>
      <c r="N57" s="102"/>
      <c r="O57" s="102"/>
      <c r="R57" s="462"/>
    </row>
    <row r="58" spans="1:18">
      <c r="A58" s="653">
        <f>ROW()</f>
        <v>58</v>
      </c>
      <c r="B58" s="108" t="s">
        <v>399</v>
      </c>
      <c r="C58" s="108"/>
      <c r="D58" s="108"/>
      <c r="E58" s="2140"/>
      <c r="F58" s="610">
        <f>+Staff!G20</f>
        <v>0</v>
      </c>
      <c r="G58" s="2141">
        <f>+Staff!H20</f>
        <v>0</v>
      </c>
      <c r="H58" s="2141">
        <f>+Staff!I20</f>
        <v>1</v>
      </c>
      <c r="I58" s="2141">
        <f>+Staff!J20</f>
        <v>2</v>
      </c>
      <c r="J58" s="2141">
        <f>+Staff!K20</f>
        <v>2</v>
      </c>
      <c r="K58" s="2141">
        <f>+Staff!L20</f>
        <v>2</v>
      </c>
      <c r="L58" s="2141">
        <f>+Staff!M20</f>
        <v>2</v>
      </c>
      <c r="M58" s="145"/>
      <c r="N58" s="102"/>
      <c r="O58" s="102"/>
      <c r="R58" s="462"/>
    </row>
    <row r="59" spans="1:18">
      <c r="A59" s="653">
        <f>ROW()</f>
        <v>59</v>
      </c>
      <c r="B59" s="108" t="s">
        <v>400</v>
      </c>
      <c r="C59" s="108"/>
      <c r="D59" s="108"/>
      <c r="E59" s="2140"/>
      <c r="F59" s="610">
        <f>+Staff!G21</f>
        <v>0</v>
      </c>
      <c r="G59" s="2141">
        <f>+Staff!H21</f>
        <v>1</v>
      </c>
      <c r="H59" s="2141">
        <f>+Staff!I21</f>
        <v>2</v>
      </c>
      <c r="I59" s="2141">
        <f>+Staff!J21</f>
        <v>3</v>
      </c>
      <c r="J59" s="2141">
        <f>+Staff!K21</f>
        <v>3</v>
      </c>
      <c r="K59" s="2141">
        <f>+Staff!L21</f>
        <v>3</v>
      </c>
      <c r="L59" s="2141">
        <f>+Staff!M21</f>
        <v>3</v>
      </c>
      <c r="M59" s="145"/>
      <c r="N59" s="102"/>
      <c r="O59" s="102"/>
      <c r="R59" s="462"/>
    </row>
    <row r="60" spans="1:18">
      <c r="A60" s="653">
        <f>ROW()</f>
        <v>60</v>
      </c>
      <c r="B60" s="100" t="s">
        <v>401</v>
      </c>
      <c r="C60" s="100"/>
      <c r="D60" s="100"/>
      <c r="E60" s="630"/>
      <c r="F60" s="617">
        <f>+Staff!G22</f>
        <v>0</v>
      </c>
      <c r="G60" s="791">
        <f>+Staff!H22</f>
        <v>7</v>
      </c>
      <c r="H60" s="791">
        <f>+Staff!I22</f>
        <v>14</v>
      </c>
      <c r="I60" s="791">
        <f>+Staff!J22</f>
        <v>21</v>
      </c>
      <c r="J60" s="791">
        <f>+Staff!K22</f>
        <v>25</v>
      </c>
      <c r="K60" s="791">
        <f>+Staff!L22</f>
        <v>29</v>
      </c>
      <c r="L60" s="791">
        <f>+Staff!M22</f>
        <v>29</v>
      </c>
      <c r="M60" s="145"/>
      <c r="N60" s="102"/>
      <c r="O60" s="102"/>
      <c r="R60" s="462"/>
    </row>
    <row r="61" spans="1:18">
      <c r="A61" s="653">
        <f>ROW()</f>
        <v>61</v>
      </c>
      <c r="B61" s="198" t="s">
        <v>402</v>
      </c>
      <c r="C61" s="198"/>
      <c r="D61" s="198"/>
      <c r="E61" s="109"/>
      <c r="F61" s="2142">
        <f>SUM(F55:F60)</f>
        <v>1</v>
      </c>
      <c r="G61" s="2142">
        <f t="shared" ref="G61:L61" si="10">SUM(G55:G60)</f>
        <v>13.25</v>
      </c>
      <c r="H61" s="2142">
        <f t="shared" si="10"/>
        <v>24</v>
      </c>
      <c r="I61" s="2142">
        <f t="shared" si="10"/>
        <v>36</v>
      </c>
      <c r="J61" s="2142">
        <f t="shared" si="10"/>
        <v>40</v>
      </c>
      <c r="K61" s="2142">
        <f t="shared" si="10"/>
        <v>45</v>
      </c>
      <c r="L61" s="2142">
        <f t="shared" si="10"/>
        <v>45</v>
      </c>
      <c r="M61" s="145"/>
      <c r="N61" s="102"/>
      <c r="O61" s="102"/>
      <c r="R61" s="462"/>
    </row>
    <row r="62" spans="1:18">
      <c r="A62" s="653">
        <f>ROW()</f>
        <v>62</v>
      </c>
      <c r="D62" s="79"/>
      <c r="E62" s="79"/>
      <c r="M62" s="145"/>
      <c r="N62" s="102"/>
      <c r="O62" s="102"/>
      <c r="P62" s="147"/>
      <c r="Q62" s="147"/>
      <c r="R62" s="462"/>
    </row>
    <row r="63" spans="1:18">
      <c r="A63" s="653">
        <f>ROW()</f>
        <v>63</v>
      </c>
      <c r="B63" s="73" t="s">
        <v>533</v>
      </c>
      <c r="C63" s="605"/>
      <c r="D63" s="73"/>
      <c r="E63" s="73"/>
      <c r="F63" s="606"/>
      <c r="G63" s="606"/>
      <c r="H63" s="606"/>
      <c r="I63" s="606"/>
      <c r="J63" s="606"/>
      <c r="K63" s="606"/>
      <c r="L63" s="606"/>
      <c r="M63" s="40"/>
      <c r="R63" s="462"/>
    </row>
    <row r="64" spans="1:18">
      <c r="A64" s="653">
        <f>ROW()</f>
        <v>64</v>
      </c>
      <c r="B64" s="81" t="s">
        <v>534</v>
      </c>
      <c r="C64" s="212" t="s">
        <v>535</v>
      </c>
      <c r="D64" s="72"/>
      <c r="E64" s="72"/>
      <c r="F64" s="2145" t="s">
        <v>1467</v>
      </c>
      <c r="G64" s="37" t="s">
        <v>1468</v>
      </c>
      <c r="H64" s="40"/>
      <c r="I64" s="40"/>
      <c r="J64" s="40"/>
      <c r="K64" s="40"/>
      <c r="L64" s="40"/>
      <c r="M64" s="40"/>
      <c r="R64" s="462"/>
    </row>
    <row r="65" spans="1:18">
      <c r="A65" s="653">
        <f>ROW()</f>
        <v>65</v>
      </c>
      <c r="B65" s="108" t="s">
        <v>536</v>
      </c>
      <c r="C65" s="1067">
        <v>200</v>
      </c>
      <c r="D65" s="166" t="s">
        <v>537</v>
      </c>
      <c r="E65" s="166"/>
      <c r="F65" s="2143">
        <v>0</v>
      </c>
      <c r="G65" s="1060">
        <f>$C$65*Staff!H23</f>
        <v>2650</v>
      </c>
      <c r="H65" s="1060">
        <f>$C$65*Staff!I23</f>
        <v>4800</v>
      </c>
      <c r="I65" s="1060">
        <f>$C$65*Staff!J23</f>
        <v>7200</v>
      </c>
      <c r="J65" s="1060">
        <f>$C$65*Staff!K23</f>
        <v>8000</v>
      </c>
      <c r="K65" s="1060">
        <f>$C$65*Staff!L23</f>
        <v>9000</v>
      </c>
      <c r="L65" s="1060">
        <f>$C$65*Staff!M23</f>
        <v>9000</v>
      </c>
      <c r="M65" s="40"/>
      <c r="R65" s="462" t="s">
        <v>1504</v>
      </c>
    </row>
    <row r="66" spans="1:18">
      <c r="A66" s="653">
        <f>ROW()</f>
        <v>66</v>
      </c>
      <c r="B66" s="108" t="s">
        <v>538</v>
      </c>
      <c r="C66" s="1067">
        <v>500</v>
      </c>
      <c r="D66" s="166" t="s">
        <v>539</v>
      </c>
      <c r="E66" s="166"/>
      <c r="F66" s="2144">
        <v>0</v>
      </c>
      <c r="G66" s="927">
        <f t="shared" ref="G66:L66" si="11">$C66</f>
        <v>500</v>
      </c>
      <c r="H66" s="927">
        <f t="shared" si="11"/>
        <v>500</v>
      </c>
      <c r="I66" s="927">
        <f t="shared" si="11"/>
        <v>500</v>
      </c>
      <c r="J66" s="927">
        <f t="shared" si="11"/>
        <v>500</v>
      </c>
      <c r="K66" s="927">
        <f t="shared" si="11"/>
        <v>500</v>
      </c>
      <c r="L66" s="927">
        <f t="shared" si="11"/>
        <v>500</v>
      </c>
      <c r="M66" s="40"/>
      <c r="R66" s="462"/>
    </row>
    <row r="67" spans="1:18">
      <c r="A67" s="653">
        <f>ROW()</f>
        <v>67</v>
      </c>
      <c r="B67" s="108" t="s">
        <v>540</v>
      </c>
      <c r="C67" s="1067">
        <v>0</v>
      </c>
      <c r="D67" s="166" t="s">
        <v>541</v>
      </c>
      <c r="E67" s="166"/>
      <c r="F67" s="2144">
        <v>0</v>
      </c>
      <c r="G67" s="927">
        <f t="shared" ref="G67:L67" si="12">$C$67</f>
        <v>0</v>
      </c>
      <c r="H67" s="927">
        <f t="shared" si="12"/>
        <v>0</v>
      </c>
      <c r="I67" s="927">
        <f t="shared" si="12"/>
        <v>0</v>
      </c>
      <c r="J67" s="927">
        <f t="shared" si="12"/>
        <v>0</v>
      </c>
      <c r="K67" s="927">
        <f t="shared" si="12"/>
        <v>0</v>
      </c>
      <c r="L67" s="927">
        <f t="shared" si="12"/>
        <v>0</v>
      </c>
      <c r="M67" s="40"/>
      <c r="R67" s="462"/>
    </row>
    <row r="68" spans="1:18">
      <c r="A68" s="653">
        <f>ROW()</f>
        <v>68</v>
      </c>
      <c r="B68" s="108" t="s">
        <v>542</v>
      </c>
      <c r="C68" s="665"/>
      <c r="D68" s="166"/>
      <c r="E68" s="166"/>
      <c r="F68" s="2144">
        <v>0</v>
      </c>
      <c r="G68" s="839"/>
      <c r="H68" s="839"/>
      <c r="I68" s="839"/>
      <c r="J68" s="839"/>
      <c r="K68" s="839"/>
      <c r="L68" s="839"/>
      <c r="M68" s="40"/>
      <c r="R68" s="462"/>
    </row>
    <row r="69" spans="1:18">
      <c r="A69" s="653">
        <f>ROW()</f>
        <v>69</v>
      </c>
      <c r="B69" s="108" t="s">
        <v>543</v>
      </c>
      <c r="C69" s="1067">
        <v>20</v>
      </c>
      <c r="D69" s="166" t="s">
        <v>282</v>
      </c>
      <c r="E69" s="166"/>
      <c r="F69" s="2144">
        <v>0</v>
      </c>
      <c r="G69" s="927">
        <f>$C$69*(' Enrol &amp; Rev'!G35-' Enrol &amp; Rev'!F35)</f>
        <v>4000</v>
      </c>
      <c r="H69" s="927">
        <f>40*(' Enrol &amp; Rev'!H35-' Enrol &amp; Rev'!G35)</f>
        <v>4000</v>
      </c>
      <c r="I69" s="927">
        <f>40*(' Enrol &amp; Rev'!I35-' Enrol &amp; Rev'!H35)</f>
        <v>4000</v>
      </c>
      <c r="J69" s="927">
        <f>40*(' Enrol &amp; Rev'!J35-' Enrol &amp; Rev'!I35)</f>
        <v>2000</v>
      </c>
      <c r="K69" s="927">
        <f>40*(' Enrol &amp; Rev'!K35-' Enrol &amp; Rev'!J35)</f>
        <v>2000</v>
      </c>
      <c r="L69" s="927">
        <f>40*(' Enrol &amp; Rev'!L35-' Enrol &amp; Rev'!K35)</f>
        <v>2000</v>
      </c>
      <c r="M69" s="40"/>
      <c r="R69" s="1201" t="s">
        <v>1531</v>
      </c>
    </row>
    <row r="70" spans="1:18">
      <c r="A70" s="653">
        <f>ROW()</f>
        <v>70</v>
      </c>
      <c r="B70" s="108" t="s">
        <v>544</v>
      </c>
      <c r="C70" s="1067">
        <v>0</v>
      </c>
      <c r="D70" s="166" t="s">
        <v>545</v>
      </c>
      <c r="E70" s="166"/>
      <c r="F70" s="2144">
        <v>0</v>
      </c>
      <c r="G70" s="927"/>
      <c r="H70" s="927"/>
      <c r="I70" s="927"/>
      <c r="J70" s="927">
        <v>2000</v>
      </c>
      <c r="K70" s="927">
        <v>2000</v>
      </c>
      <c r="L70" s="927">
        <v>2000</v>
      </c>
      <c r="M70" s="40"/>
      <c r="R70" s="462"/>
    </row>
    <row r="71" spans="1:18">
      <c r="A71" s="653">
        <f>ROW()</f>
        <v>71</v>
      </c>
      <c r="B71" s="108" t="s">
        <v>546</v>
      </c>
      <c r="C71" s="1067">
        <v>0</v>
      </c>
      <c r="D71" s="166" t="s">
        <v>547</v>
      </c>
      <c r="E71" s="166"/>
      <c r="F71" s="2144">
        <v>0</v>
      </c>
      <c r="G71" s="927">
        <f>$C$71*' Enrol &amp; Rev'!G35</f>
        <v>0</v>
      </c>
      <c r="H71" s="927">
        <f>$C$71*' Enrol &amp; Rev'!H35</f>
        <v>0</v>
      </c>
      <c r="I71" s="927">
        <f>$C$71*' Enrol &amp; Rev'!I35</f>
        <v>0</v>
      </c>
      <c r="J71" s="927">
        <f>$C$71*' Enrol &amp; Rev'!J35</f>
        <v>0</v>
      </c>
      <c r="K71" s="927">
        <f>$C$71*' Enrol &amp; Rev'!K35</f>
        <v>0</v>
      </c>
      <c r="L71" s="927">
        <f>$C$71*' Enrol &amp; Rev'!L35</f>
        <v>0</v>
      </c>
      <c r="M71" s="40"/>
      <c r="R71" s="462"/>
    </row>
    <row r="72" spans="1:18">
      <c r="A72" s="653">
        <f>ROW()</f>
        <v>72</v>
      </c>
      <c r="B72" s="108" t="s">
        <v>548</v>
      </c>
      <c r="C72" s="329">
        <v>13</v>
      </c>
      <c r="D72" s="166" t="s">
        <v>282</v>
      </c>
      <c r="E72" s="166"/>
      <c r="F72" s="2144">
        <v>0</v>
      </c>
      <c r="G72" s="927">
        <f>$C$72*' Enrol &amp; Rev'!G35</f>
        <v>2600</v>
      </c>
      <c r="H72" s="927">
        <f>$C$72*' Enrol &amp; Rev'!H35</f>
        <v>3900</v>
      </c>
      <c r="I72" s="927">
        <f>$C$72*' Enrol &amp; Rev'!I35</f>
        <v>5200</v>
      </c>
      <c r="J72" s="927">
        <f>$C$72*' Enrol &amp; Rev'!J35</f>
        <v>5850</v>
      </c>
      <c r="K72" s="927">
        <f>$C$72*' Enrol &amp; Rev'!K35</f>
        <v>6500</v>
      </c>
      <c r="L72" s="927">
        <f>$C$72*' Enrol &amp; Rev'!L35</f>
        <v>7150</v>
      </c>
      <c r="M72" s="40"/>
      <c r="R72" s="462"/>
    </row>
    <row r="73" spans="1:18">
      <c r="A73" s="653">
        <f>ROW()</f>
        <v>73</v>
      </c>
      <c r="B73" s="108" t="s">
        <v>549</v>
      </c>
      <c r="C73" s="329">
        <v>0</v>
      </c>
      <c r="D73" s="166" t="s">
        <v>550</v>
      </c>
      <c r="E73" s="166"/>
      <c r="F73" s="2144">
        <v>0</v>
      </c>
      <c r="G73" s="1261">
        <f>$C$73*' Enrol &amp; Rev'!G35</f>
        <v>0</v>
      </c>
      <c r="H73" s="1261">
        <f>$C$73*' Enrol &amp; Rev'!H35</f>
        <v>0</v>
      </c>
      <c r="I73" s="1261">
        <f>$C$73*' Enrol &amp; Rev'!I35</f>
        <v>0</v>
      </c>
      <c r="J73" s="1261">
        <f>$C$73*' Enrol &amp; Rev'!J35</f>
        <v>0</v>
      </c>
      <c r="K73" s="1261">
        <f>$C$73*' Enrol &amp; Rev'!K35</f>
        <v>0</v>
      </c>
      <c r="L73" s="1261">
        <f>$C$73*' Enrol &amp; Rev'!L35</f>
        <v>0</v>
      </c>
      <c r="M73" s="40"/>
      <c r="R73" s="462"/>
    </row>
    <row r="74" spans="1:18">
      <c r="A74" s="653">
        <f>ROW()</f>
        <v>74</v>
      </c>
      <c r="B74" s="108" t="s">
        <v>551</v>
      </c>
      <c r="C74" s="1067">
        <v>0</v>
      </c>
      <c r="D74" s="166" t="s">
        <v>552</v>
      </c>
      <c r="E74" s="166"/>
      <c r="F74" s="2144">
        <v>0</v>
      </c>
      <c r="G74" s="927">
        <f>(' Enrol &amp; Rev'!G114+' Enrol &amp; Rev'!G132)*$C$74</f>
        <v>0</v>
      </c>
      <c r="H74" s="927">
        <f>(' Enrol &amp; Rev'!H114+' Enrol &amp; Rev'!H132)*$C$74</f>
        <v>0</v>
      </c>
      <c r="I74" s="927">
        <f>(' Enrol &amp; Rev'!I114+' Enrol &amp; Rev'!I132)*$C$74</f>
        <v>0</v>
      </c>
      <c r="J74" s="927">
        <f>(' Enrol &amp; Rev'!J114+' Enrol &amp; Rev'!J132)*$C$74</f>
        <v>0</v>
      </c>
      <c r="K74" s="927">
        <f>(' Enrol &amp; Rev'!K114+' Enrol &amp; Rev'!K132)*$C$74</f>
        <v>0</v>
      </c>
      <c r="L74" s="927">
        <f>(' Enrol &amp; Rev'!L114+' Enrol &amp; Rev'!L132)*$C$74</f>
        <v>0</v>
      </c>
      <c r="M74" s="40"/>
      <c r="R74" s="462"/>
    </row>
    <row r="75" spans="1:18">
      <c r="A75" s="653">
        <f>ROW()</f>
        <v>75</v>
      </c>
      <c r="B75" s="108" t="s">
        <v>553</v>
      </c>
      <c r="C75" s="1067">
        <v>0</v>
      </c>
      <c r="D75" s="166" t="s">
        <v>552</v>
      </c>
      <c r="E75" s="166"/>
      <c r="F75" s="2144">
        <v>0</v>
      </c>
      <c r="G75" s="927">
        <f>(' Enrol &amp; Rev'!G114+' Enrol &amp; Rev'!G132)*$C$75</f>
        <v>0</v>
      </c>
      <c r="H75" s="927">
        <f>(' Enrol &amp; Rev'!H114+' Enrol &amp; Rev'!H132)*$C$75</f>
        <v>0</v>
      </c>
      <c r="I75" s="927">
        <f>(' Enrol &amp; Rev'!I114+' Enrol &amp; Rev'!I132)*$C$75</f>
        <v>0</v>
      </c>
      <c r="J75" s="927">
        <f>(' Enrol &amp; Rev'!J114+' Enrol &amp; Rev'!J132)*$C$75</f>
        <v>0</v>
      </c>
      <c r="K75" s="927">
        <f>(' Enrol &amp; Rev'!K114+' Enrol &amp; Rev'!K132)*$C$75</f>
        <v>0</v>
      </c>
      <c r="L75" s="927">
        <f>(' Enrol &amp; Rev'!L114+' Enrol &amp; Rev'!L132)*$C$75</f>
        <v>0</v>
      </c>
      <c r="M75" s="40"/>
      <c r="R75" s="462"/>
    </row>
    <row r="76" spans="1:18">
      <c r="A76" s="653">
        <f>ROW()</f>
        <v>76</v>
      </c>
      <c r="B76" s="108" t="s">
        <v>554</v>
      </c>
      <c r="C76" s="1067">
        <v>20</v>
      </c>
      <c r="D76" s="166" t="s">
        <v>282</v>
      </c>
      <c r="E76" s="166"/>
      <c r="F76" s="2144">
        <v>0</v>
      </c>
      <c r="G76" s="925">
        <f>$C$76*' Enrol &amp; Rev'!G35</f>
        <v>4000</v>
      </c>
      <c r="H76" s="925">
        <f>$C$76*' Enrol &amp; Rev'!H35</f>
        <v>6000</v>
      </c>
      <c r="I76" s="925">
        <f>$C$76*' Enrol &amp; Rev'!I35</f>
        <v>8000</v>
      </c>
      <c r="J76" s="925">
        <f>$C$76*' Enrol &amp; Rev'!J35</f>
        <v>9000</v>
      </c>
      <c r="K76" s="925">
        <f>$C$76*' Enrol &amp; Rev'!K35</f>
        <v>10000</v>
      </c>
      <c r="L76" s="925">
        <f>$C$76*' Enrol &amp; Rev'!L35</f>
        <v>11000</v>
      </c>
      <c r="M76" s="40"/>
      <c r="R76" s="462"/>
    </row>
    <row r="77" spans="1:18">
      <c r="A77" s="653">
        <f>ROW()</f>
        <v>77</v>
      </c>
      <c r="B77" s="108" t="s">
        <v>555</v>
      </c>
      <c r="C77" s="1067">
        <v>25</v>
      </c>
      <c r="D77" s="166" t="s">
        <v>282</v>
      </c>
      <c r="E77" s="166"/>
      <c r="F77" s="2144">
        <v>0</v>
      </c>
      <c r="G77" s="925">
        <f>$C$77*' Enrol &amp; Rev'!G35</f>
        <v>5000</v>
      </c>
      <c r="H77" s="925">
        <f>$C$77*' Enrol &amp; Rev'!H35</f>
        <v>7500</v>
      </c>
      <c r="I77" s="925">
        <f>$C$77*' Enrol &amp; Rev'!I35</f>
        <v>10000</v>
      </c>
      <c r="J77" s="925">
        <f>$C$77*' Enrol &amp; Rev'!J35</f>
        <v>11250</v>
      </c>
      <c r="K77" s="925">
        <f>$C$77*' Enrol &amp; Rev'!K35</f>
        <v>12500</v>
      </c>
      <c r="L77" s="925">
        <f>$C$77*' Enrol &amp; Rev'!L35</f>
        <v>13750</v>
      </c>
      <c r="M77" s="40"/>
      <c r="R77" s="462" t="s">
        <v>1532</v>
      </c>
    </row>
    <row r="78" spans="1:18">
      <c r="A78" s="653">
        <f>ROW()</f>
        <v>78</v>
      </c>
      <c r="B78" s="108" t="s">
        <v>556</v>
      </c>
      <c r="C78" s="1067">
        <v>20</v>
      </c>
      <c r="D78" s="166" t="s">
        <v>282</v>
      </c>
      <c r="E78" s="166"/>
      <c r="F78" s="2144">
        <v>0</v>
      </c>
      <c r="G78" s="925">
        <f>$C$77*' Enrol &amp; Rev'!G$35</f>
        <v>5000</v>
      </c>
      <c r="H78" s="925">
        <f>$C$77*' Enrol &amp; Rev'!H$35</f>
        <v>7500</v>
      </c>
      <c r="I78" s="925">
        <f>$C$77*' Enrol &amp; Rev'!I$35</f>
        <v>10000</v>
      </c>
      <c r="J78" s="925">
        <f>$C$77*' Enrol &amp; Rev'!J$35</f>
        <v>11250</v>
      </c>
      <c r="K78" s="925">
        <f>$C$77*' Enrol &amp; Rev'!K$35</f>
        <v>12500</v>
      </c>
      <c r="L78" s="925">
        <f>$C$77*' Enrol &amp; Rev'!L$35</f>
        <v>13750</v>
      </c>
      <c r="M78" s="40"/>
      <c r="R78" s="462" t="s">
        <v>1506</v>
      </c>
    </row>
    <row r="79" spans="1:18">
      <c r="A79" s="653">
        <f>ROW()</f>
        <v>79</v>
      </c>
      <c r="B79" s="108" t="s">
        <v>557</v>
      </c>
      <c r="C79" s="1067">
        <v>0</v>
      </c>
      <c r="D79" s="166" t="s">
        <v>282</v>
      </c>
      <c r="E79" s="166"/>
      <c r="F79" s="2144">
        <v>0</v>
      </c>
      <c r="G79" s="925">
        <f>$C$79*' Enrol &amp; Rev'!G35</f>
        <v>0</v>
      </c>
      <c r="H79" s="925">
        <f>$C$79*' Enrol &amp; Rev'!H35</f>
        <v>0</v>
      </c>
      <c r="I79" s="925">
        <f>$C$79*' Enrol &amp; Rev'!I35</f>
        <v>0</v>
      </c>
      <c r="J79" s="925">
        <f>$C$79*' Enrol &amp; Rev'!J35</f>
        <v>0</v>
      </c>
      <c r="K79" s="925">
        <f>$C$79*' Enrol &amp; Rev'!K35</f>
        <v>0</v>
      </c>
      <c r="L79" s="925">
        <f>$C$79*' Enrol &amp; Rev'!L35</f>
        <v>0</v>
      </c>
      <c r="M79" s="40"/>
      <c r="R79" s="462"/>
    </row>
    <row r="80" spans="1:18">
      <c r="A80" s="653">
        <f>ROW()</f>
        <v>80</v>
      </c>
      <c r="B80" s="108" t="s">
        <v>558</v>
      </c>
      <c r="C80" s="1067">
        <v>0</v>
      </c>
      <c r="D80" s="166" t="s">
        <v>282</v>
      </c>
      <c r="E80" s="166"/>
      <c r="F80" s="2144">
        <v>0</v>
      </c>
      <c r="G80" s="925">
        <f>$C$80*' Enrol &amp; Rev'!G35</f>
        <v>0</v>
      </c>
      <c r="H80" s="925">
        <f>$C$80*' Enrol &amp; Rev'!H35</f>
        <v>0</v>
      </c>
      <c r="I80" s="925">
        <f>$C$80*' Enrol &amp; Rev'!I35</f>
        <v>0</v>
      </c>
      <c r="J80" s="925">
        <f>$C$80*' Enrol &amp; Rev'!J35</f>
        <v>0</v>
      </c>
      <c r="K80" s="925">
        <f>$C$80*' Enrol &amp; Rev'!K35</f>
        <v>0</v>
      </c>
      <c r="L80" s="925">
        <f>$C$80*' Enrol &amp; Rev'!L35</f>
        <v>0</v>
      </c>
      <c r="M80" s="40"/>
      <c r="R80" s="462"/>
    </row>
    <row r="81" spans="1:18">
      <c r="A81" s="653">
        <f>ROW()</f>
        <v>81</v>
      </c>
      <c r="B81" s="108" t="s">
        <v>559</v>
      </c>
      <c r="C81" s="1067">
        <v>1200</v>
      </c>
      <c r="D81" s="166" t="s">
        <v>275</v>
      </c>
      <c r="E81" s="166"/>
      <c r="F81" s="2144">
        <v>0</v>
      </c>
      <c r="G81" s="925">
        <f>$C$81*' Enrol &amp; Rev'!G35*' Enrol &amp; Rev'!G87</f>
        <v>26400</v>
      </c>
      <c r="H81" s="925">
        <f>$C$81*' Enrol &amp; Rev'!H35*' Enrol &amp; Rev'!H87</f>
        <v>39600</v>
      </c>
      <c r="I81" s="925">
        <f>$C$81*' Enrol &amp; Rev'!I35*' Enrol &amp; Rev'!I87</f>
        <v>52800</v>
      </c>
      <c r="J81" s="925">
        <f>$C$81*' Enrol &amp; Rev'!J35*' Enrol &amp; Rev'!J87</f>
        <v>59400</v>
      </c>
      <c r="K81" s="925">
        <f>$C$81*' Enrol &amp; Rev'!K35*' Enrol &amp; Rev'!K87</f>
        <v>66000</v>
      </c>
      <c r="L81" s="925">
        <f>$C$81*' Enrol &amp; Rev'!L35*' Enrol &amp; Rev'!L87</f>
        <v>72600</v>
      </c>
      <c r="M81" s="40"/>
      <c r="R81" s="462"/>
    </row>
    <row r="82" spans="1:18">
      <c r="A82" s="653">
        <f>ROW()</f>
        <v>82</v>
      </c>
      <c r="B82" s="108" t="s">
        <v>560</v>
      </c>
      <c r="C82" s="1067">
        <v>0</v>
      </c>
      <c r="D82" s="166" t="s">
        <v>561</v>
      </c>
      <c r="E82" s="166"/>
      <c r="F82" s="2144">
        <v>0</v>
      </c>
      <c r="G82" s="925">
        <f>$C$82*(Staff!G19+Staff!G20+Staff!G22)</f>
        <v>0</v>
      </c>
      <c r="H82" s="925">
        <f>$C$82*(Staff!H19+Staff!H20+Staff!H22)</f>
        <v>0</v>
      </c>
      <c r="I82" s="925">
        <f>$C$82*(Staff!I19+Staff!I20+Staff!I22)</f>
        <v>0</v>
      </c>
      <c r="J82" s="925">
        <f>$C$82*(Staff!J19+Staff!J20+Staff!J22)</f>
        <v>0</v>
      </c>
      <c r="K82" s="925">
        <f>$C$82*(Staff!K19+Staff!K20+Staff!K22)</f>
        <v>0</v>
      </c>
      <c r="L82" s="925">
        <f>$C$82*(Staff!L19+Staff!L20+Staff!L22)</f>
        <v>0</v>
      </c>
      <c r="M82" s="40"/>
      <c r="R82" s="462"/>
    </row>
    <row r="83" spans="1:18">
      <c r="A83" s="653">
        <f>ROW()</f>
        <v>83</v>
      </c>
      <c r="B83" s="108" t="s">
        <v>562</v>
      </c>
      <c r="C83" s="1067">
        <v>0</v>
      </c>
      <c r="D83" s="166" t="s">
        <v>563</v>
      </c>
      <c r="E83" s="166"/>
      <c r="F83" s="2144">
        <v>0</v>
      </c>
      <c r="G83" s="925">
        <f t="shared" ref="G83:L83" si="13">$C$83*12</f>
        <v>0</v>
      </c>
      <c r="H83" s="925">
        <f t="shared" si="13"/>
        <v>0</v>
      </c>
      <c r="I83" s="925">
        <f t="shared" si="13"/>
        <v>0</v>
      </c>
      <c r="J83" s="925">
        <f t="shared" si="13"/>
        <v>0</v>
      </c>
      <c r="K83" s="925">
        <f t="shared" si="13"/>
        <v>0</v>
      </c>
      <c r="L83" s="925">
        <f t="shared" si="13"/>
        <v>0</v>
      </c>
      <c r="M83" s="40"/>
      <c r="R83" s="462"/>
    </row>
    <row r="84" spans="1:18">
      <c r="A84" s="653">
        <f>ROW()</f>
        <v>84</v>
      </c>
      <c r="B84" s="108" t="s">
        <v>564</v>
      </c>
      <c r="C84" s="1067">
        <v>0</v>
      </c>
      <c r="D84" s="166" t="s">
        <v>565</v>
      </c>
      <c r="E84" s="166"/>
      <c r="F84" s="2144">
        <v>0</v>
      </c>
      <c r="G84" s="925">
        <f>$C$84*(' Enrol &amp; Rev'!G35-' Enrol &amp; Rev'!F35)</f>
        <v>0</v>
      </c>
      <c r="H84" s="925">
        <f>$C$84*(' Enrol &amp; Rev'!H35-' Enrol &amp; Rev'!G35)</f>
        <v>0</v>
      </c>
      <c r="I84" s="925">
        <f>$C$84*(' Enrol &amp; Rev'!I35-' Enrol &amp; Rev'!H35)</f>
        <v>0</v>
      </c>
      <c r="J84" s="925">
        <f>$C$84*(' Enrol &amp; Rev'!J35-' Enrol &amp; Rev'!I35)</f>
        <v>0</v>
      </c>
      <c r="K84" s="925">
        <f>$C$84*(' Enrol &amp; Rev'!K35-' Enrol &amp; Rev'!J35)</f>
        <v>0</v>
      </c>
      <c r="L84" s="925">
        <f>$C$84*(' Enrol &amp; Rev'!L35-' Enrol &amp; Rev'!K35)</f>
        <v>0</v>
      </c>
      <c r="M84" s="40"/>
      <c r="R84" s="462"/>
    </row>
    <row r="85" spans="1:18">
      <c r="A85" s="653">
        <f>ROW()</f>
        <v>85</v>
      </c>
      <c r="B85" s="108" t="s">
        <v>566</v>
      </c>
      <c r="C85" s="1067">
        <v>0</v>
      </c>
      <c r="D85" s="166" t="s">
        <v>567</v>
      </c>
      <c r="E85" s="166"/>
      <c r="F85" s="2144">
        <v>0</v>
      </c>
      <c r="G85" s="925">
        <v>0</v>
      </c>
      <c r="H85" s="925">
        <v>0</v>
      </c>
      <c r="I85" s="925">
        <v>0</v>
      </c>
      <c r="J85" s="925">
        <v>0</v>
      </c>
      <c r="K85" s="925">
        <v>0</v>
      </c>
      <c r="L85" s="925">
        <v>0</v>
      </c>
      <c r="M85" s="40"/>
      <c r="R85" s="462"/>
    </row>
    <row r="86" spans="1:18">
      <c r="A86" s="653">
        <f>ROW()</f>
        <v>86</v>
      </c>
      <c r="B86" s="108" t="s">
        <v>568</v>
      </c>
      <c r="C86" s="1067">
        <v>500</v>
      </c>
      <c r="D86" s="166" t="s">
        <v>569</v>
      </c>
      <c r="E86" s="166"/>
      <c r="F86" s="2144">
        <v>0</v>
      </c>
      <c r="G86" s="925">
        <f t="shared" ref="G86:L86" si="14">$C$86</f>
        <v>500</v>
      </c>
      <c r="H86" s="925">
        <f t="shared" si="14"/>
        <v>500</v>
      </c>
      <c r="I86" s="925">
        <f t="shared" si="14"/>
        <v>500</v>
      </c>
      <c r="J86" s="925">
        <f t="shared" si="14"/>
        <v>500</v>
      </c>
      <c r="K86" s="925">
        <f t="shared" si="14"/>
        <v>500</v>
      </c>
      <c r="L86" s="925">
        <f t="shared" si="14"/>
        <v>500</v>
      </c>
      <c r="M86" s="40"/>
      <c r="R86" s="462"/>
    </row>
    <row r="87" spans="1:18">
      <c r="A87" s="653">
        <f>ROW()</f>
        <v>87</v>
      </c>
      <c r="B87" s="108" t="s">
        <v>570</v>
      </c>
      <c r="C87" s="1067">
        <v>15</v>
      </c>
      <c r="D87" s="166" t="s">
        <v>571</v>
      </c>
      <c r="E87" s="166"/>
      <c r="F87" s="2144">
        <v>0</v>
      </c>
      <c r="G87" s="925">
        <f>$C$87*' Enrol &amp; Rev'!G35</f>
        <v>3000</v>
      </c>
      <c r="H87" s="925">
        <f>$C$87*' Enrol &amp; Rev'!H35</f>
        <v>4500</v>
      </c>
      <c r="I87" s="925">
        <f>$C$87*' Enrol &amp; Rev'!I35</f>
        <v>6000</v>
      </c>
      <c r="J87" s="925">
        <f>$C$87*' Enrol &amp; Rev'!J35</f>
        <v>6750</v>
      </c>
      <c r="K87" s="925">
        <f>$C$87*' Enrol &amp; Rev'!K35</f>
        <v>7500</v>
      </c>
      <c r="L87" s="925">
        <f>$C$87*' Enrol &amp; Rev'!L35</f>
        <v>8250</v>
      </c>
      <c r="M87" s="40"/>
      <c r="R87" s="462"/>
    </row>
    <row r="88" spans="1:18">
      <c r="A88" s="653">
        <f>ROW()</f>
        <v>88</v>
      </c>
      <c r="B88" s="108" t="s">
        <v>572</v>
      </c>
      <c r="C88" s="1067">
        <v>200</v>
      </c>
      <c r="D88" s="166" t="s">
        <v>569</v>
      </c>
      <c r="E88" s="166"/>
      <c r="F88" s="2144">
        <v>0</v>
      </c>
      <c r="G88" s="925">
        <f t="shared" ref="G88:L88" si="15">$C$88</f>
        <v>200</v>
      </c>
      <c r="H88" s="925">
        <f t="shared" si="15"/>
        <v>200</v>
      </c>
      <c r="I88" s="925">
        <f t="shared" si="15"/>
        <v>200</v>
      </c>
      <c r="J88" s="925">
        <f t="shared" si="15"/>
        <v>200</v>
      </c>
      <c r="K88" s="925">
        <f t="shared" si="15"/>
        <v>200</v>
      </c>
      <c r="L88" s="925">
        <f t="shared" si="15"/>
        <v>200</v>
      </c>
      <c r="M88" s="40"/>
      <c r="R88" s="462"/>
    </row>
    <row r="89" spans="1:18">
      <c r="A89" s="653">
        <f>ROW()</f>
        <v>89</v>
      </c>
      <c r="B89" s="108" t="s">
        <v>1469</v>
      </c>
      <c r="C89" s="1067">
        <v>0</v>
      </c>
      <c r="D89" s="166" t="s">
        <v>550</v>
      </c>
      <c r="E89" s="166"/>
      <c r="F89" s="2144">
        <v>0</v>
      </c>
      <c r="G89" s="925">
        <f>+G192</f>
        <v>0</v>
      </c>
      <c r="H89" s="925">
        <f t="shared" ref="H89:L89" si="16">+H192</f>
        <v>0</v>
      </c>
      <c r="I89" s="925">
        <f t="shared" si="16"/>
        <v>0</v>
      </c>
      <c r="J89" s="925">
        <f t="shared" si="16"/>
        <v>0</v>
      </c>
      <c r="K89" s="925">
        <f t="shared" si="16"/>
        <v>0</v>
      </c>
      <c r="L89" s="925">
        <f t="shared" si="16"/>
        <v>0</v>
      </c>
      <c r="M89" s="40"/>
      <c r="R89" s="462" t="s">
        <v>1488</v>
      </c>
    </row>
    <row r="90" spans="1:18">
      <c r="A90" s="653">
        <f>ROW()</f>
        <v>90</v>
      </c>
      <c r="B90" s="108" t="s">
        <v>573</v>
      </c>
      <c r="C90" s="1067">
        <v>5</v>
      </c>
      <c r="D90" s="166" t="s">
        <v>282</v>
      </c>
      <c r="E90" s="166"/>
      <c r="F90" s="2144">
        <v>0</v>
      </c>
      <c r="G90" s="925">
        <f>$C$90*' Enrol &amp; Rev'!G35</f>
        <v>1000</v>
      </c>
      <c r="H90" s="925">
        <f>$C$90*' Enrol &amp; Rev'!H35</f>
        <v>1500</v>
      </c>
      <c r="I90" s="925">
        <f>$C$90*' Enrol &amp; Rev'!I35</f>
        <v>2000</v>
      </c>
      <c r="J90" s="925">
        <f>$C$90*' Enrol &amp; Rev'!J35</f>
        <v>2250</v>
      </c>
      <c r="K90" s="925">
        <f>$C$90*' Enrol &amp; Rev'!K35</f>
        <v>2500</v>
      </c>
      <c r="L90" s="925">
        <f>$C$90*' Enrol &amp; Rev'!L35</f>
        <v>2750</v>
      </c>
      <c r="M90" s="40"/>
      <c r="R90" s="462" t="s">
        <v>1508</v>
      </c>
    </row>
    <row r="91" spans="1:18">
      <c r="A91" s="653">
        <f>ROW()</f>
        <v>91</v>
      </c>
      <c r="B91" s="108" t="s">
        <v>574</v>
      </c>
      <c r="C91" s="1067">
        <v>5</v>
      </c>
      <c r="D91" s="166" t="s">
        <v>282</v>
      </c>
      <c r="E91" s="166"/>
      <c r="F91" s="2144">
        <v>0</v>
      </c>
      <c r="G91" s="925">
        <f>$C$91*' Enrol &amp; Rev'!G35</f>
        <v>1000</v>
      </c>
      <c r="H91" s="925">
        <f>$C$91*' Enrol &amp; Rev'!H35</f>
        <v>1500</v>
      </c>
      <c r="I91" s="925">
        <f>$C$91*' Enrol &amp; Rev'!I35</f>
        <v>2000</v>
      </c>
      <c r="J91" s="925">
        <f>$C$91*' Enrol &amp; Rev'!J35</f>
        <v>2250</v>
      </c>
      <c r="K91" s="925">
        <f>$C$91*' Enrol &amp; Rev'!K35</f>
        <v>2500</v>
      </c>
      <c r="L91" s="925">
        <f>$C$91*' Enrol &amp; Rev'!L35</f>
        <v>2750</v>
      </c>
      <c r="M91" s="40"/>
      <c r="R91" s="462"/>
    </row>
    <row r="92" spans="1:18">
      <c r="A92" s="653">
        <f>ROW()</f>
        <v>92</v>
      </c>
      <c r="B92" s="108" t="s">
        <v>575</v>
      </c>
      <c r="C92" s="1067">
        <v>25</v>
      </c>
      <c r="D92" s="166" t="s">
        <v>537</v>
      </c>
      <c r="E92" s="166"/>
      <c r="F92" s="2144">
        <v>0</v>
      </c>
      <c r="G92" s="925">
        <f>$C$92*Staff!H$23</f>
        <v>331.25</v>
      </c>
      <c r="H92" s="925">
        <f>$C$92*Staff!I$23</f>
        <v>600</v>
      </c>
      <c r="I92" s="925">
        <f>$C$92*Staff!J$23</f>
        <v>900</v>
      </c>
      <c r="J92" s="925">
        <f>$C$92*Staff!K$23</f>
        <v>1000</v>
      </c>
      <c r="K92" s="925">
        <f>$C$92*Staff!L$23</f>
        <v>1125</v>
      </c>
      <c r="L92" s="925">
        <f>$C$92*Staff!M$23</f>
        <v>1125</v>
      </c>
      <c r="M92" s="40"/>
      <c r="R92" s="462"/>
    </row>
    <row r="93" spans="1:18">
      <c r="A93" s="653">
        <f>ROW()</f>
        <v>93</v>
      </c>
      <c r="B93" s="108" t="s">
        <v>576</v>
      </c>
      <c r="C93" s="1067">
        <v>75</v>
      </c>
      <c r="D93" s="166" t="s">
        <v>537</v>
      </c>
      <c r="E93" s="166"/>
      <c r="F93" s="2144">
        <v>0</v>
      </c>
      <c r="G93" s="925">
        <f>$C$93*Staff!H$23</f>
        <v>993.75</v>
      </c>
      <c r="H93" s="925">
        <f>$C$93*Staff!I$23</f>
        <v>1800</v>
      </c>
      <c r="I93" s="925">
        <f>$C$93*Staff!J$23</f>
        <v>2700</v>
      </c>
      <c r="J93" s="925">
        <f>$C$93*Staff!K$23</f>
        <v>3000</v>
      </c>
      <c r="K93" s="925">
        <f>$C$93*Staff!L$23</f>
        <v>3375</v>
      </c>
      <c r="L93" s="925">
        <f>$C$93*Staff!M$23</f>
        <v>3375</v>
      </c>
      <c r="M93" s="40"/>
      <c r="R93" s="462"/>
    </row>
    <row r="94" spans="1:18">
      <c r="A94" s="653">
        <f>ROW()</f>
        <v>94</v>
      </c>
      <c r="B94" s="108" t="s">
        <v>577</v>
      </c>
      <c r="C94" s="1067">
        <v>0</v>
      </c>
      <c r="D94" s="166" t="s">
        <v>537</v>
      </c>
      <c r="E94" s="166"/>
      <c r="F94" s="2144">
        <v>0</v>
      </c>
      <c r="G94" s="925">
        <f>$C$94*Staff!H$23</f>
        <v>0</v>
      </c>
      <c r="H94" s="925">
        <f>$C$94*Staff!I$23</f>
        <v>0</v>
      </c>
      <c r="I94" s="925">
        <f>$C$94*Staff!J$23</f>
        <v>0</v>
      </c>
      <c r="J94" s="925">
        <f>$C$94*Staff!K$23</f>
        <v>0</v>
      </c>
      <c r="K94" s="925">
        <f>$C$94*Staff!L$23</f>
        <v>0</v>
      </c>
      <c r="L94" s="925">
        <f>$C$94*Staff!M$23</f>
        <v>0</v>
      </c>
      <c r="M94" s="40"/>
      <c r="R94" s="462" t="s">
        <v>1551</v>
      </c>
    </row>
    <row r="95" spans="1:18">
      <c r="A95" s="653">
        <f>ROW()</f>
        <v>95</v>
      </c>
      <c r="B95" s="108" t="s">
        <v>578</v>
      </c>
      <c r="C95" s="1067">
        <v>50</v>
      </c>
      <c r="D95" s="166" t="s">
        <v>579</v>
      </c>
      <c r="E95" s="166"/>
      <c r="F95" s="2144">
        <v>0</v>
      </c>
      <c r="G95" s="925">
        <f>IF($C$95*(Staff!G23-Staff!F23)&gt;0,$C$95*(Staff!G23-Staff!F23),0)</f>
        <v>50</v>
      </c>
      <c r="H95" s="925">
        <f>IF($C$95*(Staff!H23-Staff!G23)&gt;0,$C$95*(Staff!H23-Staff!G23),0)</f>
        <v>612.5</v>
      </c>
      <c r="I95" s="925">
        <f>IF($C$95*(Staff!I23-Staff!H23)&gt;0,$C$95*(Staff!I23-Staff!H23),0)</f>
        <v>537.5</v>
      </c>
      <c r="J95" s="925">
        <f>IF($C$95*(Staff!J23-Staff!I23)&gt;0,$C$95*(Staff!J23-Staff!I23),0)</f>
        <v>600</v>
      </c>
      <c r="K95" s="925">
        <f>IF($C$95*(Staff!K23-Staff!J23)&gt;0,$C$95*(Staff!K23-Staff!J23),0)</f>
        <v>200</v>
      </c>
      <c r="L95" s="925">
        <f>IF($C$95*(Staff!L23-Staff!K23)&gt;0,$C$95*(Staff!L23-Staff!K23),0)</f>
        <v>250</v>
      </c>
      <c r="M95" s="40"/>
      <c r="R95" s="462"/>
    </row>
    <row r="96" spans="1:18">
      <c r="A96" s="653">
        <f>ROW()</f>
        <v>96</v>
      </c>
      <c r="B96" s="108" t="s">
        <v>580</v>
      </c>
      <c r="C96" s="1067">
        <v>55000</v>
      </c>
      <c r="D96" s="166" t="s">
        <v>569</v>
      </c>
      <c r="E96" s="166"/>
      <c r="F96" s="2144">
        <v>0</v>
      </c>
      <c r="G96" s="925">
        <f t="shared" ref="G96" si="17">$C$96</f>
        <v>55000</v>
      </c>
      <c r="H96" s="925">
        <f>+G96*1.1</f>
        <v>60500.000000000007</v>
      </c>
      <c r="I96" s="925">
        <f t="shared" ref="I96:L96" si="18">+H96*1.1</f>
        <v>66550.000000000015</v>
      </c>
      <c r="J96" s="925">
        <f t="shared" si="18"/>
        <v>73205.000000000029</v>
      </c>
      <c r="K96" s="925">
        <f t="shared" si="18"/>
        <v>80525.500000000044</v>
      </c>
      <c r="L96" s="925">
        <f t="shared" si="18"/>
        <v>88578.050000000061</v>
      </c>
      <c r="M96" s="40"/>
      <c r="R96" s="462" t="s">
        <v>1516</v>
      </c>
    </row>
    <row r="97" spans="1:18">
      <c r="A97" s="653">
        <f>ROW()</f>
        <v>97</v>
      </c>
      <c r="B97" s="108" t="s">
        <v>581</v>
      </c>
      <c r="C97" s="1067">
        <v>2500</v>
      </c>
      <c r="D97" s="166" t="s">
        <v>582</v>
      </c>
      <c r="E97" s="166"/>
      <c r="F97" s="2144">
        <v>0</v>
      </c>
      <c r="G97" s="925">
        <f>$C$97*' Enrol &amp; Rev'!G16</f>
        <v>5000</v>
      </c>
      <c r="H97" s="925">
        <f>$C$97*' Enrol &amp; Rev'!H16</f>
        <v>7500</v>
      </c>
      <c r="I97" s="925">
        <f>$C$97*' Enrol &amp; Rev'!I16</f>
        <v>10000</v>
      </c>
      <c r="J97" s="925">
        <f>$C$97*' Enrol &amp; Rev'!J16</f>
        <v>10000</v>
      </c>
      <c r="K97" s="925">
        <f>$C$97*' Enrol &amp; Rev'!K16</f>
        <v>10000</v>
      </c>
      <c r="L97" s="925">
        <f>$C$97*' Enrol &amp; Rev'!L16</f>
        <v>10000</v>
      </c>
      <c r="M97" s="40"/>
      <c r="R97" s="462" t="s">
        <v>1509</v>
      </c>
    </row>
    <row r="98" spans="1:18">
      <c r="A98" s="653">
        <f>ROW()</f>
        <v>98</v>
      </c>
      <c r="B98" s="108" t="s">
        <v>583</v>
      </c>
      <c r="C98" s="1067">
        <v>0</v>
      </c>
      <c r="D98" s="166" t="s">
        <v>582</v>
      </c>
      <c r="E98" s="166"/>
      <c r="F98" s="2144">
        <v>0</v>
      </c>
      <c r="G98" s="925">
        <v>0</v>
      </c>
      <c r="H98" s="925">
        <f>$C$98*' Enrol &amp; Rev'!H16</f>
        <v>0</v>
      </c>
      <c r="I98" s="925">
        <f>$C$98*' Enrol &amp; Rev'!I16</f>
        <v>0</v>
      </c>
      <c r="J98" s="925">
        <f>$C$98*' Enrol &amp; Rev'!J16</f>
        <v>0</v>
      </c>
      <c r="K98" s="925">
        <f>$C$98*' Enrol &amp; Rev'!K16</f>
        <v>0</v>
      </c>
      <c r="L98" s="925">
        <f>$C$98*' Enrol &amp; Rev'!L16</f>
        <v>0</v>
      </c>
      <c r="M98" s="40"/>
      <c r="R98" s="462"/>
    </row>
    <row r="99" spans="1:18">
      <c r="A99" s="653">
        <f>ROW()</f>
        <v>99</v>
      </c>
      <c r="B99" s="108" t="s">
        <v>584</v>
      </c>
      <c r="C99" s="329">
        <v>0</v>
      </c>
      <c r="D99" s="166" t="s">
        <v>423</v>
      </c>
      <c r="E99" s="166"/>
      <c r="F99" s="2144">
        <v>0</v>
      </c>
      <c r="G99" s="925">
        <f t="shared" ref="G99:L100" si="19">+$C99</f>
        <v>0</v>
      </c>
      <c r="H99" s="925">
        <f t="shared" si="19"/>
        <v>0</v>
      </c>
      <c r="I99" s="925">
        <f t="shared" si="19"/>
        <v>0</v>
      </c>
      <c r="J99" s="925">
        <f t="shared" si="19"/>
        <v>0</v>
      </c>
      <c r="K99" s="925">
        <f t="shared" si="19"/>
        <v>0</v>
      </c>
      <c r="L99" s="925">
        <f t="shared" si="19"/>
        <v>0</v>
      </c>
      <c r="M99" s="40"/>
      <c r="R99" s="462"/>
    </row>
    <row r="100" spans="1:18">
      <c r="A100" s="653">
        <f>ROW()</f>
        <v>100</v>
      </c>
      <c r="B100" s="108" t="s">
        <v>585</v>
      </c>
      <c r="C100" s="329">
        <v>500</v>
      </c>
      <c r="D100" s="166" t="s">
        <v>423</v>
      </c>
      <c r="E100" s="166"/>
      <c r="F100" s="2144">
        <v>0</v>
      </c>
      <c r="G100" s="925">
        <f t="shared" si="19"/>
        <v>500</v>
      </c>
      <c r="H100" s="925">
        <f t="shared" si="19"/>
        <v>500</v>
      </c>
      <c r="I100" s="925">
        <f t="shared" si="19"/>
        <v>500</v>
      </c>
      <c r="J100" s="925">
        <f t="shared" si="19"/>
        <v>500</v>
      </c>
      <c r="K100" s="925">
        <f t="shared" si="19"/>
        <v>500</v>
      </c>
      <c r="L100" s="925">
        <f t="shared" si="19"/>
        <v>500</v>
      </c>
      <c r="M100" s="40"/>
      <c r="R100" s="462"/>
    </row>
    <row r="101" spans="1:18">
      <c r="A101" s="653">
        <f>ROW()</f>
        <v>101</v>
      </c>
      <c r="B101" s="108" t="s">
        <v>586</v>
      </c>
      <c r="C101" s="329">
        <v>0</v>
      </c>
      <c r="D101" s="166" t="s">
        <v>423</v>
      </c>
      <c r="E101" s="166"/>
      <c r="F101" s="2144">
        <v>0</v>
      </c>
      <c r="G101" s="925">
        <v>0</v>
      </c>
      <c r="H101" s="925">
        <v>0</v>
      </c>
      <c r="I101" s="925">
        <v>0</v>
      </c>
      <c r="J101" s="925">
        <v>0</v>
      </c>
      <c r="K101" s="925">
        <v>0</v>
      </c>
      <c r="L101" s="925">
        <v>0</v>
      </c>
      <c r="M101" s="40"/>
      <c r="R101" s="462"/>
    </row>
    <row r="102" spans="1:18">
      <c r="A102" s="653">
        <f>ROW()</f>
        <v>102</v>
      </c>
      <c r="B102" s="108" t="s">
        <v>587</v>
      </c>
      <c r="C102" s="1067">
        <v>0</v>
      </c>
      <c r="D102" s="166" t="s">
        <v>569</v>
      </c>
      <c r="E102" s="166"/>
      <c r="F102" s="2144">
        <v>0</v>
      </c>
      <c r="G102" s="925">
        <v>0</v>
      </c>
      <c r="H102" s="925">
        <f>$C$102</f>
        <v>0</v>
      </c>
      <c r="I102" s="925">
        <f>$C$102</f>
        <v>0</v>
      </c>
      <c r="J102" s="925">
        <f>$C$102</f>
        <v>0</v>
      </c>
      <c r="K102" s="925">
        <f>$C$102</f>
        <v>0</v>
      </c>
      <c r="L102" s="925">
        <f>$C$102</f>
        <v>0</v>
      </c>
      <c r="M102" s="40"/>
      <c r="R102" s="462"/>
    </row>
    <row r="103" spans="1:18">
      <c r="A103" s="653">
        <f>ROW()</f>
        <v>103</v>
      </c>
      <c r="B103" s="108" t="s">
        <v>588</v>
      </c>
      <c r="C103" s="329" t="s">
        <v>589</v>
      </c>
      <c r="D103" s="166" t="s">
        <v>590</v>
      </c>
      <c r="E103" s="166"/>
      <c r="F103" s="2144">
        <v>0</v>
      </c>
      <c r="G103" s="925">
        <v>0</v>
      </c>
      <c r="H103" s="925">
        <f>IF($C$103="yes",Staff!$C$73*Staff!$C$72*Staff!$C$71,0)</f>
        <v>0</v>
      </c>
      <c r="I103" s="925">
        <f>IF($C$103="yes",Staff!$C$73*Staff!$C$72*Staff!$C$71,0)</f>
        <v>0</v>
      </c>
      <c r="J103" s="925">
        <f>IF($C$103="yes",Staff!$C$73*Staff!$C$72*Staff!$C$71,0)</f>
        <v>0</v>
      </c>
      <c r="K103" s="925">
        <f>IF($C$103="yes",Staff!$C$73*Staff!$C$72*Staff!$C$71,0)</f>
        <v>0</v>
      </c>
      <c r="L103" s="925">
        <f>IF($C$103="yes",Staff!$C$73*Staff!$C$72*Staff!$C$71,0)</f>
        <v>0</v>
      </c>
      <c r="M103" s="40"/>
      <c r="R103" s="462"/>
    </row>
    <row r="104" spans="1:18">
      <c r="A104" s="653">
        <f>ROW()</f>
        <v>104</v>
      </c>
      <c r="C104" s="207"/>
      <c r="D104" s="167"/>
      <c r="E104" s="167"/>
      <c r="F104" s="421"/>
      <c r="G104" s="421"/>
      <c r="H104" s="421"/>
      <c r="I104" s="421"/>
      <c r="J104" s="421"/>
      <c r="K104" s="421"/>
      <c r="L104" s="421"/>
      <c r="M104" s="43"/>
      <c r="N104" s="79"/>
      <c r="O104" s="79"/>
      <c r="P104" s="79"/>
      <c r="Q104" s="79"/>
      <c r="R104" s="462"/>
    </row>
    <row r="105" spans="1:18" ht="14.4" thickBot="1">
      <c r="A105" s="653">
        <f>ROW()</f>
        <v>105</v>
      </c>
      <c r="B105" s="1266" t="s">
        <v>591</v>
      </c>
      <c r="C105" s="1267"/>
      <c r="D105" s="1266"/>
      <c r="E105" s="1266"/>
      <c r="F105" s="1268">
        <f t="shared" ref="F105:L105" si="20">SUM(F65:F104)</f>
        <v>0</v>
      </c>
      <c r="G105" s="1268">
        <f t="shared" si="20"/>
        <v>117725</v>
      </c>
      <c r="H105" s="1268">
        <f t="shared" si="20"/>
        <v>153512.5</v>
      </c>
      <c r="I105" s="1268">
        <f t="shared" si="20"/>
        <v>189587.5</v>
      </c>
      <c r="J105" s="1268">
        <f t="shared" si="20"/>
        <v>209505.00000000003</v>
      </c>
      <c r="K105" s="1268">
        <f t="shared" si="20"/>
        <v>229925.50000000006</v>
      </c>
      <c r="L105" s="1268">
        <f t="shared" si="20"/>
        <v>250028.05000000005</v>
      </c>
      <c r="M105" s="40"/>
      <c r="R105" s="462"/>
    </row>
    <row r="106" spans="1:18" ht="14.4" thickTop="1">
      <c r="A106" s="653">
        <f>ROW()</f>
        <v>106</v>
      </c>
      <c r="B106" s="142" t="s">
        <v>282</v>
      </c>
      <c r="C106" s="213"/>
      <c r="D106" s="142"/>
      <c r="E106" s="142"/>
      <c r="F106" s="793">
        <f>IFERROR(F105/' Enrol &amp; Rev'!F35,0)</f>
        <v>0</v>
      </c>
      <c r="G106" s="793">
        <f>IFERROR(G105/' Enrol &amp; Rev'!G35,0)</f>
        <v>588.625</v>
      </c>
      <c r="H106" s="793">
        <f>IFERROR(H105/' Enrol &amp; Rev'!H35,0)</f>
        <v>511.70833333333331</v>
      </c>
      <c r="I106" s="793">
        <f>IFERROR(I105/' Enrol &amp; Rev'!I35,0)</f>
        <v>473.96875</v>
      </c>
      <c r="J106" s="793">
        <f>IFERROR(J105/' Enrol &amp; Rev'!J35,0)</f>
        <v>465.56666666666672</v>
      </c>
      <c r="K106" s="793">
        <f>IFERROR(K105/' Enrol &amp; Rev'!K35,0)</f>
        <v>459.85100000000011</v>
      </c>
      <c r="L106" s="793">
        <f>IFERROR(L105/' Enrol &amp; Rev'!L35,0)</f>
        <v>454.59645454545461</v>
      </c>
      <c r="M106" s="117"/>
      <c r="N106" s="141"/>
      <c r="O106" s="141"/>
      <c r="P106" s="141"/>
      <c r="Q106" s="141"/>
      <c r="R106" s="462"/>
    </row>
    <row r="107" spans="1:18">
      <c r="A107" s="653">
        <f>ROW()</f>
        <v>107</v>
      </c>
      <c r="B107" s="81"/>
      <c r="C107" s="212"/>
      <c r="D107" s="81"/>
      <c r="E107" s="142"/>
      <c r="F107" s="330"/>
      <c r="G107" s="919"/>
      <c r="H107" s="919"/>
      <c r="I107" s="919"/>
      <c r="J107" s="919"/>
      <c r="K107" s="919"/>
      <c r="L107" s="919"/>
      <c r="M107" s="422"/>
      <c r="R107" s="462"/>
    </row>
    <row r="108" spans="1:18">
      <c r="A108" s="653">
        <f>ROW()</f>
        <v>108</v>
      </c>
      <c r="B108" s="81" t="s">
        <v>1393</v>
      </c>
      <c r="C108" s="212"/>
      <c r="D108" s="81"/>
      <c r="E108" s="142"/>
      <c r="F108" s="919"/>
      <c r="G108" s="919"/>
      <c r="H108" s="919"/>
      <c r="I108" s="919"/>
      <c r="J108" s="919"/>
      <c r="K108" s="919"/>
      <c r="L108" s="919"/>
      <c r="M108" s="40"/>
      <c r="R108" s="462"/>
    </row>
    <row r="109" spans="1:18">
      <c r="A109" s="653">
        <f>ROW()</f>
        <v>109</v>
      </c>
      <c r="B109" s="79" t="s">
        <v>811</v>
      </c>
      <c r="C109" s="212"/>
      <c r="D109" s="81"/>
      <c r="E109" s="142"/>
      <c r="F109" s="1896"/>
      <c r="G109" s="1896"/>
      <c r="H109" s="1896"/>
      <c r="I109" s="1896"/>
      <c r="J109" s="1896"/>
      <c r="K109" s="1896"/>
      <c r="L109" s="1896"/>
      <c r="M109" s="40"/>
      <c r="R109" s="462" t="s">
        <v>1489</v>
      </c>
    </row>
    <row r="110" spans="1:18">
      <c r="A110" s="653">
        <f>ROW()</f>
        <v>110</v>
      </c>
      <c r="B110" s="79" t="s">
        <v>592</v>
      </c>
      <c r="C110" s="212"/>
      <c r="D110" s="81"/>
      <c r="E110" s="142"/>
      <c r="F110" s="1896"/>
      <c r="G110" s="1896">
        <v>14000</v>
      </c>
      <c r="H110" s="1896">
        <f>+G110*1.02</f>
        <v>14280</v>
      </c>
      <c r="I110" s="1896">
        <f t="shared" ref="I110:L110" si="21">+H110*1.02</f>
        <v>14565.6</v>
      </c>
      <c r="J110" s="1896">
        <f t="shared" si="21"/>
        <v>14856.912</v>
      </c>
      <c r="K110" s="1896">
        <f t="shared" si="21"/>
        <v>15154.05024</v>
      </c>
      <c r="L110" s="1896">
        <f t="shared" si="21"/>
        <v>15457.131244800001</v>
      </c>
      <c r="M110" s="40"/>
      <c r="R110" s="462"/>
    </row>
    <row r="111" spans="1:18">
      <c r="A111" s="653">
        <f>ROW()</f>
        <v>111</v>
      </c>
      <c r="B111" s="79" t="s">
        <v>805</v>
      </c>
      <c r="C111" s="212"/>
      <c r="D111" s="81"/>
      <c r="E111" s="142"/>
      <c r="F111" s="1896"/>
      <c r="G111" s="1896"/>
      <c r="H111" s="1896"/>
      <c r="I111" s="1896"/>
      <c r="J111" s="1896"/>
      <c r="K111" s="1896"/>
      <c r="L111" s="1896"/>
      <c r="M111" s="40"/>
      <c r="R111" s="462"/>
    </row>
    <row r="112" spans="1:18">
      <c r="A112" s="653">
        <f>ROW()</f>
        <v>112</v>
      </c>
      <c r="B112" s="79" t="s">
        <v>808</v>
      </c>
      <c r="C112" s="212"/>
      <c r="D112" s="81"/>
      <c r="E112" s="142"/>
      <c r="F112" s="1896"/>
      <c r="G112" s="1896"/>
      <c r="H112" s="1896"/>
      <c r="I112" s="1896"/>
      <c r="J112" s="1896"/>
      <c r="K112" s="1896"/>
      <c r="L112" s="1896"/>
      <c r="M112" s="40"/>
      <c r="R112" s="462"/>
    </row>
    <row r="113" spans="1:18">
      <c r="A113" s="653">
        <f>ROW()</f>
        <v>113</v>
      </c>
      <c r="B113" s="79" t="s">
        <v>1392</v>
      </c>
      <c r="C113" s="212"/>
      <c r="D113" s="81"/>
      <c r="E113" s="142"/>
      <c r="F113" s="1896"/>
      <c r="G113" s="1896"/>
      <c r="H113" s="1896"/>
      <c r="I113" s="1896"/>
      <c r="J113" s="1896"/>
      <c r="K113" s="1896"/>
      <c r="L113" s="1896"/>
      <c r="M113" s="40"/>
      <c r="R113" s="462"/>
    </row>
    <row r="114" spans="1:18">
      <c r="A114" s="653">
        <f>ROW()</f>
        <v>114</v>
      </c>
      <c r="B114" s="79" t="s">
        <v>806</v>
      </c>
      <c r="C114" s="212"/>
      <c r="D114" s="81"/>
      <c r="E114" s="142"/>
      <c r="F114" s="1896">
        <f>+'[1]Expense Details'!E16+'[1]Expense Details'!F16</f>
        <v>39500</v>
      </c>
      <c r="G114" s="1896"/>
      <c r="H114" s="1896"/>
      <c r="I114" s="1896"/>
      <c r="J114" s="1896"/>
      <c r="K114" s="1896"/>
      <c r="L114" s="1896"/>
      <c r="M114" s="40"/>
      <c r="R114" s="462" t="s">
        <v>1510</v>
      </c>
    </row>
    <row r="115" spans="1:18">
      <c r="A115" s="653">
        <f>ROW()</f>
        <v>115</v>
      </c>
      <c r="B115" s="79" t="s">
        <v>1388</v>
      </c>
      <c r="C115" s="212"/>
      <c r="D115" s="81"/>
      <c r="E115" s="142"/>
      <c r="F115" s="1896"/>
      <c r="G115" s="1896"/>
      <c r="H115" s="1896"/>
      <c r="I115" s="1896"/>
      <c r="J115" s="1896"/>
      <c r="K115" s="1896"/>
      <c r="L115" s="1896"/>
      <c r="M115" s="40"/>
      <c r="R115" s="462"/>
    </row>
    <row r="116" spans="1:18">
      <c r="A116" s="653">
        <f>ROW()</f>
        <v>116</v>
      </c>
      <c r="B116" s="79" t="s">
        <v>804</v>
      </c>
      <c r="C116" s="212"/>
      <c r="D116" s="81"/>
      <c r="E116" s="142"/>
      <c r="F116" s="1896"/>
      <c r="G116" s="1896"/>
      <c r="H116" s="1896"/>
      <c r="I116" s="1896"/>
      <c r="J116" s="1896"/>
      <c r="K116" s="1896"/>
      <c r="L116" s="1896"/>
      <c r="M116" s="40"/>
      <c r="R116" s="462"/>
    </row>
    <row r="117" spans="1:18">
      <c r="A117" s="653">
        <f>ROW()</f>
        <v>117</v>
      </c>
      <c r="B117" s="79" t="s">
        <v>1391</v>
      </c>
      <c r="C117" s="212"/>
      <c r="D117" s="81"/>
      <c r="E117" s="142"/>
      <c r="F117" s="1896"/>
      <c r="G117" s="1896"/>
      <c r="H117" s="1896"/>
      <c r="I117" s="1896"/>
      <c r="J117" s="1896"/>
      <c r="K117" s="1896"/>
      <c r="L117" s="1896"/>
      <c r="M117" s="40"/>
      <c r="R117" s="462"/>
    </row>
    <row r="118" spans="1:18">
      <c r="A118" s="653">
        <f>ROW()</f>
        <v>118</v>
      </c>
      <c r="B118" s="79" t="s">
        <v>1219</v>
      </c>
      <c r="C118" s="212"/>
      <c r="D118" s="81"/>
      <c r="E118" s="142"/>
      <c r="F118" s="1896"/>
      <c r="G118" s="1896"/>
      <c r="H118" s="1896"/>
      <c r="I118" s="1896"/>
      <c r="J118" s="1896"/>
      <c r="K118" s="1896"/>
      <c r="L118" s="1896"/>
      <c r="M118" s="40"/>
      <c r="R118" s="462"/>
    </row>
    <row r="119" spans="1:18">
      <c r="A119" s="653">
        <f>ROW()</f>
        <v>119</v>
      </c>
      <c r="B119" s="79" t="s">
        <v>1395</v>
      </c>
      <c r="C119" s="212"/>
      <c r="D119" s="81"/>
      <c r="E119" s="142"/>
      <c r="F119" s="1896"/>
      <c r="G119" s="1896"/>
      <c r="H119" s="1896"/>
      <c r="I119" s="1896"/>
      <c r="J119" s="1896"/>
      <c r="K119" s="1896"/>
      <c r="L119" s="1896"/>
      <c r="M119" s="40"/>
      <c r="R119" s="462"/>
    </row>
    <row r="120" spans="1:18">
      <c r="A120" s="653">
        <f>ROW()</f>
        <v>120</v>
      </c>
      <c r="B120" s="79" t="s">
        <v>1396</v>
      </c>
      <c r="C120" s="212"/>
      <c r="D120" s="81"/>
      <c r="E120" s="142"/>
      <c r="F120" s="1896"/>
      <c r="G120" s="1896"/>
      <c r="H120" s="1896"/>
      <c r="I120" s="1896"/>
      <c r="J120" s="1896"/>
      <c r="K120" s="1896"/>
      <c r="L120" s="1896"/>
      <c r="M120" s="40"/>
      <c r="R120" s="462"/>
    </row>
    <row r="121" spans="1:18">
      <c r="A121" s="653">
        <f>ROW()</f>
        <v>121</v>
      </c>
      <c r="B121" s="79" t="s">
        <v>1386</v>
      </c>
      <c r="C121" s="212"/>
      <c r="D121" s="81"/>
      <c r="E121" s="142"/>
      <c r="F121" s="1896"/>
      <c r="G121" s="1896"/>
      <c r="H121" s="1897"/>
      <c r="I121" s="1897"/>
      <c r="J121" s="1897"/>
      <c r="K121" s="1897"/>
      <c r="L121" s="1897"/>
      <c r="M121" s="40"/>
      <c r="R121" s="462"/>
    </row>
    <row r="122" spans="1:18">
      <c r="A122" s="653">
        <f>ROW()</f>
        <v>122</v>
      </c>
      <c r="B122" s="79" t="s">
        <v>1387</v>
      </c>
      <c r="C122" s="212"/>
      <c r="D122" s="81"/>
      <c r="E122" s="142"/>
      <c r="F122" s="1896"/>
      <c r="G122" s="1896">
        <v>5000</v>
      </c>
      <c r="H122" s="1896">
        <f>+G122*1.02</f>
        <v>5100</v>
      </c>
      <c r="I122" s="1896">
        <f t="shared" ref="I122:L122" si="22">+H122*1.02</f>
        <v>5202</v>
      </c>
      <c r="J122" s="1896">
        <f t="shared" si="22"/>
        <v>5306.04</v>
      </c>
      <c r="K122" s="1896">
        <f t="shared" si="22"/>
        <v>5412.1607999999997</v>
      </c>
      <c r="L122" s="1896">
        <f t="shared" si="22"/>
        <v>5520.4040159999995</v>
      </c>
      <c r="M122" s="40"/>
      <c r="R122" s="462"/>
    </row>
    <row r="123" spans="1:18">
      <c r="A123" s="653">
        <f>ROW()</f>
        <v>123</v>
      </c>
      <c r="B123" s="79" t="s">
        <v>1390</v>
      </c>
      <c r="C123" s="212"/>
      <c r="D123" s="81"/>
      <c r="E123" s="142"/>
      <c r="F123" s="1896">
        <v>600</v>
      </c>
      <c r="G123" s="1896"/>
      <c r="H123" s="1896"/>
      <c r="I123" s="1896"/>
      <c r="J123" s="1896"/>
      <c r="K123" s="1896"/>
      <c r="L123" s="1896"/>
      <c r="M123" s="40"/>
      <c r="R123" s="462" t="s">
        <v>1514</v>
      </c>
    </row>
    <row r="124" spans="1:18">
      <c r="A124" s="653">
        <f>ROW()</f>
        <v>124</v>
      </c>
      <c r="B124" s="79" t="s">
        <v>1389</v>
      </c>
      <c r="C124" s="212"/>
      <c r="D124" s="81"/>
      <c r="E124" s="142"/>
      <c r="F124" s="1896">
        <v>600</v>
      </c>
      <c r="G124" s="1896"/>
      <c r="H124" s="1896"/>
      <c r="I124" s="1896"/>
      <c r="J124" s="1896"/>
      <c r="K124" s="1896"/>
      <c r="L124" s="1896"/>
      <c r="M124" s="40"/>
      <c r="R124" s="462" t="s">
        <v>1515</v>
      </c>
    </row>
    <row r="125" spans="1:18">
      <c r="A125" s="653">
        <f>ROW()</f>
        <v>125</v>
      </c>
      <c r="B125" s="79" t="s">
        <v>1394</v>
      </c>
      <c r="C125" s="212"/>
      <c r="D125" s="81"/>
      <c r="E125" s="142"/>
      <c r="F125" s="1896"/>
      <c r="G125" s="1896"/>
      <c r="H125" s="1896"/>
      <c r="I125" s="1896"/>
      <c r="J125" s="1896"/>
      <c r="K125" s="1896"/>
      <c r="L125" s="1896"/>
      <c r="M125" s="40"/>
      <c r="R125" s="462"/>
    </row>
    <row r="126" spans="1:18">
      <c r="A126" s="653">
        <f>ROW()</f>
        <v>126</v>
      </c>
      <c r="B126" s="79" t="s">
        <v>807</v>
      </c>
      <c r="C126" s="212"/>
      <c r="D126" s="81"/>
      <c r="E126" s="142"/>
      <c r="F126" s="1896">
        <f>+'[1]Expense Details'!F15</f>
        <v>5667</v>
      </c>
      <c r="G126" s="1896"/>
      <c r="H126" s="1896"/>
      <c r="I126" s="1896"/>
      <c r="J126" s="1896"/>
      <c r="K126" s="1896"/>
      <c r="L126" s="1896"/>
      <c r="M126" s="40"/>
      <c r="R126" s="462"/>
    </row>
    <row r="127" spans="1:18">
      <c r="A127" s="653">
        <f>ROW()</f>
        <v>127</v>
      </c>
      <c r="B127" s="79" t="s">
        <v>809</v>
      </c>
      <c r="C127" s="212"/>
      <c r="D127" s="81"/>
      <c r="E127" s="142"/>
      <c r="F127" s="1896"/>
      <c r="G127" s="1896"/>
      <c r="H127" s="1896"/>
      <c r="I127" s="1896"/>
      <c r="J127" s="1896"/>
      <c r="K127" s="1896"/>
      <c r="L127" s="1896"/>
      <c r="M127" s="40"/>
      <c r="R127" s="462" t="s">
        <v>1512</v>
      </c>
    </row>
    <row r="128" spans="1:18">
      <c r="A128" s="653">
        <f>ROW()</f>
        <v>128</v>
      </c>
      <c r="B128" s="79"/>
      <c r="C128" s="212"/>
      <c r="D128" s="81"/>
      <c r="E128" s="142"/>
      <c r="F128" s="1896"/>
      <c r="G128" s="1896"/>
      <c r="H128" s="1896"/>
      <c r="I128" s="1896"/>
      <c r="J128" s="1896"/>
      <c r="K128" s="1896"/>
      <c r="L128" s="1896"/>
      <c r="M128" s="40"/>
      <c r="R128" s="462"/>
    </row>
    <row r="129" spans="1:18">
      <c r="A129" s="653">
        <f>ROW()</f>
        <v>129</v>
      </c>
      <c r="B129" s="2057" t="s">
        <v>1543</v>
      </c>
      <c r="C129" s="212"/>
      <c r="D129" s="81"/>
      <c r="E129" s="142"/>
      <c r="F129" s="1896">
        <f>326500-SUM(F110:F128)-SUM(F130:F140)-28779-4000-25000-25000</f>
        <v>106021</v>
      </c>
      <c r="G129" s="1896"/>
      <c r="H129" s="1896"/>
      <c r="I129" s="1896"/>
      <c r="J129" s="1896"/>
      <c r="K129" s="1896"/>
      <c r="L129" s="1896"/>
      <c r="M129" s="40"/>
      <c r="R129" s="462" t="s">
        <v>1527</v>
      </c>
    </row>
    <row r="130" spans="1:18">
      <c r="A130" s="653">
        <f>ROW()</f>
        <v>130</v>
      </c>
      <c r="B130" s="2057" t="s">
        <v>1513</v>
      </c>
      <c r="C130" s="212"/>
      <c r="D130" s="81"/>
      <c r="E130" s="142"/>
      <c r="F130" s="1896">
        <f>+'[1]Expense Details'!E14+'[1]Expense Details'!F14</f>
        <v>50000</v>
      </c>
      <c r="G130" s="1896"/>
      <c r="H130" s="1896"/>
      <c r="I130" s="1896"/>
      <c r="J130" s="1896"/>
      <c r="K130" s="1896"/>
      <c r="L130" s="1896"/>
      <c r="M130" s="40"/>
      <c r="R130" s="462"/>
    </row>
    <row r="131" spans="1:18">
      <c r="A131" s="653">
        <f>ROW()</f>
        <v>131</v>
      </c>
      <c r="B131" s="2057" t="s">
        <v>1534</v>
      </c>
      <c r="C131" s="212"/>
      <c r="D131" s="81"/>
      <c r="E131" s="142"/>
      <c r="F131" s="1896">
        <f>+'[1]Expense Details'!E8+'[1]Expense Details'!F8</f>
        <v>8000</v>
      </c>
      <c r="G131" s="1896"/>
      <c r="H131" s="1896"/>
      <c r="I131" s="1896"/>
      <c r="J131" s="1896"/>
      <c r="K131" s="1896"/>
      <c r="L131" s="1896"/>
      <c r="M131" s="40"/>
      <c r="R131" s="462"/>
    </row>
    <row r="132" spans="1:18">
      <c r="A132" s="653">
        <f>ROW()</f>
        <v>132</v>
      </c>
      <c r="B132" s="2057" t="s">
        <v>1535</v>
      </c>
      <c r="C132" s="212"/>
      <c r="D132" s="81"/>
      <c r="E132" s="142"/>
      <c r="F132" s="1896">
        <f>+'[1]Expense Details'!E7</f>
        <v>33333</v>
      </c>
      <c r="G132" s="1896"/>
      <c r="H132" s="1896"/>
      <c r="I132" s="1896"/>
      <c r="J132" s="1896"/>
      <c r="K132" s="1896"/>
      <c r="L132" s="1896"/>
      <c r="M132" s="40"/>
      <c r="R132" s="462"/>
    </row>
    <row r="133" spans="1:18">
      <c r="A133" s="653">
        <f>ROW()</f>
        <v>133</v>
      </c>
      <c r="B133" s="2057" t="s">
        <v>1212</v>
      </c>
      <c r="C133" s="212"/>
      <c r="D133" s="81"/>
      <c r="E133" s="142"/>
      <c r="F133" s="1896"/>
      <c r="G133" s="1896"/>
      <c r="H133" s="1896"/>
      <c r="I133" s="1896"/>
      <c r="J133" s="1896"/>
      <c r="K133" s="1896"/>
      <c r="L133" s="1896"/>
      <c r="M133" s="40"/>
      <c r="R133" s="462"/>
    </row>
    <row r="134" spans="1:18">
      <c r="A134" s="653">
        <f>ROW()</f>
        <v>134</v>
      </c>
      <c r="B134" s="2057" t="s">
        <v>1212</v>
      </c>
      <c r="C134" s="212"/>
      <c r="D134" s="81"/>
      <c r="E134" s="142"/>
      <c r="F134" s="1896"/>
      <c r="G134" s="1896"/>
      <c r="H134" s="1896"/>
      <c r="I134" s="1896"/>
      <c r="J134" s="1896"/>
      <c r="K134" s="1896"/>
      <c r="L134" s="1896"/>
      <c r="M134" s="40"/>
      <c r="R134" s="462"/>
    </row>
    <row r="135" spans="1:18">
      <c r="A135" s="653">
        <f>ROW()</f>
        <v>135</v>
      </c>
      <c r="B135" s="2057" t="s">
        <v>1229</v>
      </c>
      <c r="C135" s="212"/>
      <c r="D135" s="81"/>
      <c r="E135" s="142"/>
      <c r="F135" s="1896"/>
      <c r="G135" s="1896"/>
      <c r="H135" s="1896"/>
      <c r="I135" s="1896"/>
      <c r="J135" s="1896"/>
      <c r="K135" s="1896"/>
      <c r="L135" s="1896"/>
      <c r="M135" s="40"/>
      <c r="R135" s="462"/>
    </row>
    <row r="136" spans="1:18">
      <c r="A136" s="653">
        <f>ROW()</f>
        <v>136</v>
      </c>
      <c r="B136" s="2057" t="s">
        <v>1229</v>
      </c>
      <c r="C136" s="212"/>
      <c r="D136" s="81"/>
      <c r="E136" s="142"/>
      <c r="F136" s="1896"/>
      <c r="G136" s="1896"/>
      <c r="H136" s="1896"/>
      <c r="I136" s="1896"/>
      <c r="J136" s="1896"/>
      <c r="K136" s="1896"/>
      <c r="L136" s="1896"/>
      <c r="M136" s="40"/>
      <c r="R136" s="462"/>
    </row>
    <row r="137" spans="1:18">
      <c r="A137" s="653">
        <f>ROW()</f>
        <v>137</v>
      </c>
      <c r="B137" s="2057" t="s">
        <v>1229</v>
      </c>
      <c r="C137" s="212"/>
      <c r="D137" s="81"/>
      <c r="E137" s="142"/>
      <c r="F137" s="1896"/>
      <c r="G137" s="1896"/>
      <c r="H137" s="1896"/>
      <c r="I137" s="1896"/>
      <c r="J137" s="1896"/>
      <c r="K137" s="1896"/>
      <c r="L137" s="1896"/>
      <c r="M137" s="40"/>
      <c r="R137" s="462"/>
    </row>
    <row r="138" spans="1:18">
      <c r="A138" s="653">
        <f>ROW()</f>
        <v>138</v>
      </c>
      <c r="B138" s="2057" t="s">
        <v>1229</v>
      </c>
      <c r="C138" s="212"/>
      <c r="D138" s="81"/>
      <c r="E138" s="142"/>
      <c r="F138" s="1896"/>
      <c r="G138" s="1896"/>
      <c r="H138" s="1896"/>
      <c r="I138" s="1896"/>
      <c r="J138" s="1896"/>
      <c r="K138" s="1896"/>
      <c r="L138" s="1896"/>
      <c r="M138" s="40"/>
      <c r="R138" s="462"/>
    </row>
    <row r="139" spans="1:18">
      <c r="A139" s="653">
        <f>ROW()</f>
        <v>139</v>
      </c>
      <c r="B139" s="2057" t="s">
        <v>1229</v>
      </c>
      <c r="C139" s="212"/>
      <c r="D139" s="81"/>
      <c r="E139" s="142"/>
      <c r="F139" s="1896"/>
      <c r="G139" s="1896"/>
      <c r="H139" s="1896"/>
      <c r="I139" s="1896"/>
      <c r="J139" s="1896"/>
      <c r="K139" s="1896"/>
      <c r="L139" s="1896"/>
      <c r="M139" s="40"/>
      <c r="R139" s="462"/>
    </row>
    <row r="140" spans="1:18">
      <c r="A140" s="653">
        <f>ROW()</f>
        <v>140</v>
      </c>
      <c r="B140" s="462"/>
      <c r="C140" s="212"/>
      <c r="D140" s="81"/>
      <c r="E140" s="142"/>
      <c r="F140" s="1896"/>
      <c r="G140" s="1896"/>
      <c r="H140" s="1896"/>
      <c r="I140" s="1896"/>
      <c r="J140" s="1896"/>
      <c r="K140" s="1896"/>
      <c r="L140" s="1896"/>
      <c r="M140" s="40"/>
      <c r="R140" s="462"/>
    </row>
    <row r="141" spans="1:18">
      <c r="A141" s="653">
        <f>ROW()</f>
        <v>141</v>
      </c>
      <c r="B141" s="462"/>
      <c r="C141" s="212"/>
      <c r="D141" s="81"/>
      <c r="E141" s="142"/>
      <c r="F141" s="1896"/>
      <c r="G141" s="1896"/>
      <c r="H141" s="1896"/>
      <c r="I141" s="1896"/>
      <c r="J141" s="1896"/>
      <c r="K141" s="1896"/>
      <c r="L141" s="1896"/>
      <c r="M141" s="40"/>
      <c r="R141" s="462"/>
    </row>
    <row r="142" spans="1:18">
      <c r="A142" s="653">
        <f>ROW()</f>
        <v>142</v>
      </c>
      <c r="B142" s="81"/>
      <c r="C142" s="210"/>
      <c r="D142" s="87"/>
      <c r="E142" s="142"/>
      <c r="F142" s="1052"/>
      <c r="G142" s="1052"/>
      <c r="H142" s="1052"/>
      <c r="I142" s="1052"/>
      <c r="J142" s="1052"/>
      <c r="K142" s="1052"/>
      <c r="L142" s="1052"/>
      <c r="M142" s="40"/>
      <c r="R142" s="462"/>
    </row>
    <row r="143" spans="1:18" ht="14.4" thickBot="1">
      <c r="A143" s="653">
        <f>ROW()</f>
        <v>143</v>
      </c>
      <c r="B143" s="1266" t="s">
        <v>1397</v>
      </c>
      <c r="C143" s="1267"/>
      <c r="D143" s="1266"/>
      <c r="E143" s="1266"/>
      <c r="F143" s="1268">
        <f t="shared" ref="F143:L143" si="23">SUM(F109:F141)</f>
        <v>243721</v>
      </c>
      <c r="G143" s="1268">
        <f t="shared" si="23"/>
        <v>19000</v>
      </c>
      <c r="H143" s="1268">
        <f t="shared" si="23"/>
        <v>19380</v>
      </c>
      <c r="I143" s="1268">
        <f t="shared" si="23"/>
        <v>19767.599999999999</v>
      </c>
      <c r="J143" s="1268">
        <f t="shared" si="23"/>
        <v>20162.952000000001</v>
      </c>
      <c r="K143" s="1268">
        <f t="shared" si="23"/>
        <v>20566.211040000002</v>
      </c>
      <c r="L143" s="1268">
        <f t="shared" si="23"/>
        <v>20977.535260799999</v>
      </c>
      <c r="M143" s="40"/>
      <c r="R143" s="462"/>
    </row>
    <row r="144" spans="1:18" ht="14.4" thickTop="1">
      <c r="A144" s="653">
        <f>ROW()</f>
        <v>144</v>
      </c>
      <c r="B144" s="81"/>
      <c r="C144" s="212"/>
      <c r="D144" s="81"/>
      <c r="E144" s="142"/>
      <c r="F144" s="1053"/>
      <c r="G144" s="1053"/>
      <c r="H144" s="1053"/>
      <c r="I144" s="919"/>
      <c r="J144" s="919"/>
      <c r="K144" s="919"/>
      <c r="L144" s="919"/>
      <c r="M144" s="40"/>
      <c r="N144" s="88"/>
      <c r="O144" s="88"/>
      <c r="P144" s="88"/>
      <c r="Q144" s="88"/>
      <c r="R144" s="462"/>
    </row>
    <row r="145" spans="1:18">
      <c r="A145" s="653">
        <f>ROW()</f>
        <v>145</v>
      </c>
      <c r="B145" s="81" t="s">
        <v>593</v>
      </c>
      <c r="C145" s="212" t="s">
        <v>594</v>
      </c>
      <c r="D145" s="81"/>
      <c r="E145" s="81"/>
      <c r="F145" s="1053"/>
      <c r="G145" s="1053"/>
      <c r="H145" s="1053"/>
      <c r="I145" s="919"/>
      <c r="J145" s="919"/>
      <c r="K145" s="919"/>
      <c r="L145" s="919"/>
      <c r="M145" s="40"/>
      <c r="N145" s="88"/>
      <c r="O145" s="88"/>
      <c r="P145" s="88"/>
      <c r="Q145" s="88"/>
      <c r="R145" s="462"/>
    </row>
    <row r="146" spans="1:18">
      <c r="A146" s="653">
        <f>ROW()</f>
        <v>146</v>
      </c>
      <c r="B146" s="75" t="s">
        <v>595</v>
      </c>
      <c r="C146" s="440" t="s">
        <v>1490</v>
      </c>
      <c r="D146" s="470">
        <v>1.6</v>
      </c>
      <c r="E146" s="796"/>
      <c r="F146" s="919"/>
      <c r="G146" s="919">
        <f>IF($C$146="yes",' Enrol &amp; Rev'!G35*Staff!$C$70*$D$146,(' Enrol &amp; Rev'!G35*' Enrol &amp; Rev'!G85)*Staff!$C$70*$D$146)</f>
        <v>57600</v>
      </c>
      <c r="H146" s="919">
        <f>IF($C$146="yes",' Enrol &amp; Rev'!H35*Staff!$C$70*$D$146,(' Enrol &amp; Rev'!H35*' Enrol &amp; Rev'!H85)*Staff!$C$70*$D$146)</f>
        <v>86400</v>
      </c>
      <c r="I146" s="919">
        <f>IF($C$146="yes",' Enrol &amp; Rev'!I35*Staff!$C$70*$D$146,(' Enrol &amp; Rev'!I35*' Enrol &amp; Rev'!I85)*Staff!$C$70*$D$146)</f>
        <v>115200</v>
      </c>
      <c r="J146" s="919">
        <f>IF($C$146="yes",' Enrol &amp; Rev'!J35*Staff!$C$70*$D$146,(' Enrol &amp; Rev'!J35*' Enrol &amp; Rev'!J85)*Staff!$C$70*$D$146)</f>
        <v>129600</v>
      </c>
      <c r="K146" s="919">
        <f>IF($C$146="yes",' Enrol &amp; Rev'!K35*Staff!$C$70*$D$146,(' Enrol &amp; Rev'!K35*' Enrol &amp; Rev'!K85)*Staff!$C$70*$D$146)</f>
        <v>144000</v>
      </c>
      <c r="L146" s="919">
        <f>IF($C$146="yes",' Enrol &amp; Rev'!L35*Staff!$C$70*$D$146,(' Enrol &amp; Rev'!L35*' Enrol &amp; Rev'!L85)*Staff!$C$70*$D$146)</f>
        <v>158400</v>
      </c>
      <c r="M146" s="40"/>
      <c r="R146" s="462" t="s">
        <v>1552</v>
      </c>
    </row>
    <row r="147" spans="1:18">
      <c r="A147" s="653">
        <f>ROW()</f>
        <v>147</v>
      </c>
      <c r="B147" s="168" t="s">
        <v>596</v>
      </c>
      <c r="C147" s="440" t="s">
        <v>1490</v>
      </c>
      <c r="D147" s="798">
        <v>2.5</v>
      </c>
      <c r="E147" s="797"/>
      <c r="F147" s="1054"/>
      <c r="G147" s="919">
        <f>IF($C$147="yes",' Enrol &amp; Rev'!G35*Staff!$C$70*$D$147,(' Enrol &amp; Rev'!G35*' Enrol &amp; Rev'!G85)*Staff!$C$70*$D$147)</f>
        <v>90000</v>
      </c>
      <c r="H147" s="919">
        <f>IF($C$147="yes",' Enrol &amp; Rev'!H35*Staff!$C$70*$D$147,(' Enrol &amp; Rev'!H35*' Enrol &amp; Rev'!H85)*Staff!$C$70*$D$147)</f>
        <v>135000</v>
      </c>
      <c r="I147" s="919">
        <f>IF($C$147="yes",' Enrol &amp; Rev'!I35*Staff!$C$70*$D$147,(' Enrol &amp; Rev'!I35*' Enrol &amp; Rev'!I85)*Staff!$C$70*$D$147)</f>
        <v>180000</v>
      </c>
      <c r="J147" s="919">
        <f>IF($C$147="yes",' Enrol &amp; Rev'!J35*Staff!$C$70*$D$147,(' Enrol &amp; Rev'!J35*' Enrol &amp; Rev'!J85)*Staff!$C$70*$D$147)</f>
        <v>202500</v>
      </c>
      <c r="K147" s="919">
        <f>IF($C$147="yes",' Enrol &amp; Rev'!K35*Staff!$C$70*$D$147,(' Enrol &amp; Rev'!K35*' Enrol &amp; Rev'!K85)*Staff!$C$70*$D$147)</f>
        <v>225000</v>
      </c>
      <c r="L147" s="919">
        <f>IF($C$147="yes",' Enrol &amp; Rev'!L35*Staff!$C$70*$D$147,(' Enrol &amp; Rev'!L35*' Enrol &amp; Rev'!L85)*Staff!$C$70*$D$147)</f>
        <v>247500</v>
      </c>
      <c r="M147" s="51"/>
      <c r="N147" s="169"/>
      <c r="O147" s="169"/>
      <c r="P147" s="169"/>
      <c r="Q147" s="169"/>
      <c r="R147" s="462" t="s">
        <v>1552</v>
      </c>
    </row>
    <row r="148" spans="1:18">
      <c r="A148" s="653">
        <f>ROW()</f>
        <v>148</v>
      </c>
      <c r="B148" s="79" t="s">
        <v>597</v>
      </c>
      <c r="C148" s="440" t="s">
        <v>589</v>
      </c>
      <c r="D148" s="470">
        <v>0</v>
      </c>
      <c r="E148" s="796"/>
      <c r="F148" s="919"/>
      <c r="G148" s="919">
        <f>IF($C$148="yes",$D$148*' Enrol &amp; Rev'!G35*Staff!$C$70,0)</f>
        <v>0</v>
      </c>
      <c r="H148" s="919">
        <f>IF($C$148="yes",$D$148*' Enrol &amp; Rev'!H35*Staff!$C$70,0)</f>
        <v>0</v>
      </c>
      <c r="I148" s="919">
        <f>IF($C$148="yes",$D$148*' Enrol &amp; Rev'!I35*Staff!$C$70,0)</f>
        <v>0</v>
      </c>
      <c r="J148" s="919">
        <f>IF($C$148="yes",$D$148*' Enrol &amp; Rev'!J35*Staff!$C$70,0)</f>
        <v>0</v>
      </c>
      <c r="K148" s="919">
        <f>IF($C$148="yes",$D$148*' Enrol &amp; Rev'!K35*Staff!$C$70,0)</f>
        <v>0</v>
      </c>
      <c r="L148" s="919">
        <f>IF($C$148="yes",$D$148*' Enrol &amp; Rev'!L35*Staff!$C$70,0)</f>
        <v>0</v>
      </c>
      <c r="M148" s="40"/>
      <c r="R148" s="462"/>
    </row>
    <row r="149" spans="1:18">
      <c r="A149" s="653">
        <f>ROW()</f>
        <v>149</v>
      </c>
      <c r="B149" s="100" t="s">
        <v>598</v>
      </c>
      <c r="C149" s="440" t="s">
        <v>589</v>
      </c>
      <c r="D149" s="470">
        <v>0</v>
      </c>
      <c r="E149" s="796"/>
      <c r="F149" s="773"/>
      <c r="G149" s="773">
        <f>IF($C$149="yes",$D$149*Staff!$C$71*' Enrol &amp; Rev'!G35,0)</f>
        <v>0</v>
      </c>
      <c r="H149" s="773">
        <f>IF($C$149="yes",$D$149*Staff!$C$71*' Enrol &amp; Rev'!H35,0)</f>
        <v>0</v>
      </c>
      <c r="I149" s="773">
        <f>IF($C$149="yes",$D$149*Staff!$C$71*' Enrol &amp; Rev'!I35,0)</f>
        <v>0</v>
      </c>
      <c r="J149" s="773">
        <f>IF($C$149="yes",$D$149*Staff!$C$71*' Enrol &amp; Rev'!J35,0)</f>
        <v>0</v>
      </c>
      <c r="K149" s="773">
        <f>IF($C$149="yes",$D$149*Staff!$C$71*' Enrol &amp; Rev'!K35,0)</f>
        <v>0</v>
      </c>
      <c r="L149" s="773">
        <f>IF($C$149="yes",$D$149*Staff!$C$71*' Enrol &amp; Rev'!L35,0)</f>
        <v>0</v>
      </c>
      <c r="M149" s="40"/>
      <c r="R149" s="462"/>
    </row>
    <row r="150" spans="1:18">
      <c r="A150" s="653">
        <f>ROW()</f>
        <v>150</v>
      </c>
      <c r="B150" s="144"/>
      <c r="C150" s="208"/>
      <c r="D150" s="144"/>
      <c r="E150" s="144"/>
      <c r="F150" s="1052"/>
      <c r="G150" s="1052"/>
      <c r="H150" s="1052"/>
      <c r="I150" s="1052"/>
      <c r="J150" s="1052"/>
      <c r="K150" s="1052"/>
      <c r="L150" s="1052"/>
      <c r="M150" s="40"/>
      <c r="R150" s="462"/>
    </row>
    <row r="151" spans="1:18" ht="14.4" thickBot="1">
      <c r="A151" s="653">
        <f>ROW()</f>
        <v>151</v>
      </c>
      <c r="B151" s="1266" t="s">
        <v>599</v>
      </c>
      <c r="C151" s="1267"/>
      <c r="D151" s="1266"/>
      <c r="E151" s="1266"/>
      <c r="F151" s="1268">
        <f t="shared" ref="F151:L151" si="24">SUM(F146:F149)</f>
        <v>0</v>
      </c>
      <c r="G151" s="1268">
        <f t="shared" si="24"/>
        <v>147600</v>
      </c>
      <c r="H151" s="1268">
        <f t="shared" si="24"/>
        <v>221400</v>
      </c>
      <c r="I151" s="1268">
        <f t="shared" si="24"/>
        <v>295200</v>
      </c>
      <c r="J151" s="1268">
        <f t="shared" si="24"/>
        <v>332100</v>
      </c>
      <c r="K151" s="1268">
        <f t="shared" si="24"/>
        <v>369000</v>
      </c>
      <c r="L151" s="1268">
        <f t="shared" si="24"/>
        <v>405900</v>
      </c>
      <c r="M151" s="40"/>
      <c r="R151" s="462"/>
    </row>
    <row r="152" spans="1:18" ht="14.4" thickTop="1">
      <c r="A152" s="653">
        <f>ROW()</f>
        <v>152</v>
      </c>
      <c r="C152" s="210"/>
      <c r="F152" s="919"/>
      <c r="G152" s="919"/>
      <c r="H152" s="919"/>
      <c r="I152" s="919"/>
      <c r="J152" s="919"/>
      <c r="K152" s="919"/>
      <c r="L152" s="919"/>
      <c r="M152" s="40"/>
      <c r="R152" s="462"/>
    </row>
    <row r="153" spans="1:18">
      <c r="A153" s="653">
        <f>ROW()</f>
        <v>153</v>
      </c>
      <c r="B153" s="81" t="s">
        <v>600</v>
      </c>
      <c r="C153" s="212"/>
      <c r="D153" s="81"/>
      <c r="E153" s="81"/>
      <c r="G153" s="425"/>
      <c r="H153" s="425"/>
      <c r="I153" s="425"/>
      <c r="J153" s="425"/>
      <c r="K153" s="425"/>
      <c r="L153" s="425"/>
      <c r="M153" s="40"/>
      <c r="R153" s="462"/>
    </row>
    <row r="154" spans="1:18">
      <c r="A154" s="653">
        <f>ROW()</f>
        <v>154</v>
      </c>
      <c r="B154" s="102" t="s">
        <v>601</v>
      </c>
      <c r="C154" s="214"/>
      <c r="D154" s="102"/>
      <c r="E154" s="102"/>
      <c r="F154" s="926">
        <v>0</v>
      </c>
      <c r="G154" s="926">
        <v>0</v>
      </c>
      <c r="H154" s="926">
        <v>0</v>
      </c>
      <c r="I154" s="926">
        <v>0</v>
      </c>
      <c r="J154" s="926">
        <v>0</v>
      </c>
      <c r="K154" s="926">
        <v>0</v>
      </c>
      <c r="L154" s="926">
        <v>0</v>
      </c>
      <c r="M154" s="40"/>
      <c r="R154" s="462"/>
    </row>
    <row r="155" spans="1:18">
      <c r="A155" s="653">
        <f>ROW()</f>
        <v>155</v>
      </c>
      <c r="B155" s="102"/>
      <c r="C155" s="214"/>
      <c r="D155" s="102"/>
      <c r="E155" s="102"/>
      <c r="F155" s="102"/>
      <c r="G155" s="425"/>
      <c r="H155" s="425"/>
      <c r="I155" s="425"/>
      <c r="J155" s="425"/>
      <c r="K155" s="425"/>
      <c r="L155" s="425"/>
      <c r="M155" s="40"/>
      <c r="R155" s="462"/>
    </row>
    <row r="156" spans="1:18">
      <c r="A156" s="653">
        <f>ROW()</f>
        <v>156</v>
      </c>
      <c r="B156" s="81" t="s">
        <v>602</v>
      </c>
      <c r="C156" s="212"/>
      <c r="D156" s="81"/>
      <c r="E156" s="81"/>
      <c r="M156" s="39"/>
      <c r="N156" s="72"/>
      <c r="O156" s="72"/>
      <c r="P156" s="72"/>
      <c r="Q156" s="72"/>
      <c r="R156" s="462"/>
    </row>
    <row r="157" spans="1:18">
      <c r="A157" s="653">
        <f>ROW()</f>
        <v>157</v>
      </c>
      <c r="B157" s="102" t="s">
        <v>603</v>
      </c>
      <c r="C157" s="1154">
        <v>0.25</v>
      </c>
      <c r="D157" s="49"/>
      <c r="E157" s="102"/>
      <c r="H157" s="49"/>
      <c r="I157" s="49"/>
      <c r="J157" s="49"/>
      <c r="K157" s="49"/>
      <c r="L157" s="49"/>
      <c r="M157" s="49"/>
      <c r="N157" s="102"/>
      <c r="O157" s="102"/>
      <c r="P157" s="102"/>
      <c r="Q157" s="150"/>
      <c r="R157" s="462" t="s">
        <v>1492</v>
      </c>
    </row>
    <row r="158" spans="1:18">
      <c r="A158" s="653">
        <f>ROW()</f>
        <v>158</v>
      </c>
      <c r="B158" s="102" t="s">
        <v>604</v>
      </c>
      <c r="C158" s="1155">
        <v>14</v>
      </c>
      <c r="D158" s="49"/>
      <c r="E158" s="102"/>
      <c r="H158" s="49"/>
      <c r="I158" s="49"/>
      <c r="J158" s="49"/>
      <c r="K158" s="49"/>
      <c r="L158" s="49"/>
      <c r="M158" s="49"/>
      <c r="N158" s="102"/>
      <c r="O158" s="102"/>
      <c r="P158" s="102"/>
      <c r="Q158" s="102"/>
      <c r="R158" s="462"/>
    </row>
    <row r="159" spans="1:18">
      <c r="A159" s="653">
        <f>ROW()</f>
        <v>159</v>
      </c>
      <c r="B159" s="102" t="s">
        <v>605</v>
      </c>
      <c r="C159" s="1156">
        <v>0</v>
      </c>
      <c r="D159" s="426"/>
      <c r="E159" s="102"/>
      <c r="H159" s="426"/>
      <c r="I159" s="426"/>
      <c r="J159" s="49"/>
      <c r="K159" s="49"/>
      <c r="L159" s="49"/>
      <c r="M159" s="49"/>
      <c r="N159" s="102"/>
      <c r="O159" s="102"/>
      <c r="P159" s="102"/>
      <c r="Q159" s="102"/>
      <c r="R159" s="462" t="s">
        <v>1493</v>
      </c>
    </row>
    <row r="160" spans="1:18">
      <c r="A160" s="653">
        <f>ROW()</f>
        <v>160</v>
      </c>
      <c r="B160" s="102" t="s">
        <v>606</v>
      </c>
      <c r="C160" s="1155">
        <v>20</v>
      </c>
      <c r="D160" s="427"/>
      <c r="E160" s="102"/>
      <c r="H160" s="427"/>
      <c r="I160" s="427"/>
      <c r="J160" s="49"/>
      <c r="K160" s="49"/>
      <c r="L160" s="49"/>
      <c r="M160" s="49"/>
      <c r="N160" s="102"/>
      <c r="O160" s="102"/>
      <c r="P160" s="102"/>
      <c r="Q160" s="102"/>
      <c r="R160" s="462"/>
    </row>
    <row r="161" spans="1:18">
      <c r="A161" s="653">
        <f>ROW()</f>
        <v>161</v>
      </c>
      <c r="B161" s="102" t="s">
        <v>607</v>
      </c>
      <c r="C161" s="2058">
        <f>C160*Staff!C70</f>
        <v>3600</v>
      </c>
      <c r="D161" s="427"/>
      <c r="E161" s="102"/>
      <c r="H161" s="427"/>
      <c r="I161" s="427"/>
      <c r="J161" s="49"/>
      <c r="K161" s="49"/>
      <c r="L161" s="49"/>
      <c r="M161" s="49"/>
      <c r="N161" s="102"/>
      <c r="O161" s="102"/>
      <c r="P161" s="102"/>
      <c r="Q161" s="102"/>
      <c r="R161" s="462"/>
    </row>
    <row r="162" spans="1:18">
      <c r="A162" s="653">
        <f>ROW()</f>
        <v>162</v>
      </c>
      <c r="B162" s="102" t="s">
        <v>608</v>
      </c>
      <c r="C162" s="1157">
        <v>15</v>
      </c>
      <c r="D162" s="49"/>
      <c r="E162" s="102"/>
      <c r="H162" s="49"/>
      <c r="I162" s="49"/>
      <c r="J162" s="49"/>
      <c r="K162" s="49"/>
      <c r="L162" s="49"/>
      <c r="M162" s="49"/>
      <c r="N162" s="102"/>
      <c r="O162" s="102"/>
      <c r="P162" s="102"/>
      <c r="Q162" s="102"/>
      <c r="R162" s="462"/>
    </row>
    <row r="163" spans="1:18">
      <c r="A163" s="653">
        <f>ROW()</f>
        <v>163</v>
      </c>
      <c r="B163" s="102" t="s">
        <v>609</v>
      </c>
      <c r="C163" s="2058">
        <f>IF(C161&lt;&gt;0,C161/C162,0)</f>
        <v>240</v>
      </c>
      <c r="D163" s="49"/>
      <c r="E163" s="102"/>
      <c r="H163" s="49"/>
      <c r="I163" s="49"/>
      <c r="J163" s="49"/>
      <c r="K163" s="49"/>
      <c r="L163" s="49"/>
      <c r="M163" s="49"/>
      <c r="N163" s="102"/>
      <c r="O163" s="102"/>
      <c r="P163" s="102"/>
      <c r="Q163" s="102"/>
      <c r="R163" s="462"/>
    </row>
    <row r="164" spans="1:18">
      <c r="A164" s="653">
        <f>ROW()</f>
        <v>164</v>
      </c>
      <c r="B164" s="102" t="s">
        <v>610</v>
      </c>
      <c r="C164" s="1158">
        <v>4.5</v>
      </c>
      <c r="D164" s="49"/>
      <c r="E164" s="102"/>
      <c r="H164" s="49"/>
      <c r="I164" s="49"/>
      <c r="J164" s="49"/>
      <c r="K164" s="49"/>
      <c r="L164" s="49"/>
      <c r="M164" s="49"/>
      <c r="N164" s="102"/>
      <c r="O164" s="102"/>
      <c r="P164" s="102"/>
      <c r="Q164" s="102"/>
      <c r="R164" s="462"/>
    </row>
    <row r="165" spans="1:18">
      <c r="A165" s="653">
        <f>ROW()</f>
        <v>165</v>
      </c>
      <c r="B165" s="102" t="s">
        <v>611</v>
      </c>
      <c r="C165" s="2059">
        <f>C163*C164</f>
        <v>1080</v>
      </c>
      <c r="D165" s="49"/>
      <c r="E165" s="102"/>
      <c r="H165" s="49"/>
      <c r="I165" s="49"/>
      <c r="J165" s="49"/>
      <c r="K165" s="49"/>
      <c r="L165" s="49"/>
      <c r="M165" s="49"/>
      <c r="N165" s="102"/>
      <c r="O165" s="102"/>
      <c r="P165" s="102"/>
      <c r="Q165" s="102"/>
      <c r="R165" s="462"/>
    </row>
    <row r="166" spans="1:18">
      <c r="A166" s="653">
        <f>ROW()</f>
        <v>166</v>
      </c>
      <c r="B166" s="102" t="s">
        <v>612</v>
      </c>
      <c r="C166" s="1159">
        <v>0.2</v>
      </c>
      <c r="D166" s="49" t="s">
        <v>613</v>
      </c>
      <c r="E166" s="102"/>
      <c r="H166" s="49"/>
      <c r="I166" s="49"/>
      <c r="J166" s="49"/>
      <c r="K166" s="49"/>
      <c r="L166" s="49"/>
      <c r="M166" s="49"/>
      <c r="N166" s="102"/>
      <c r="O166" s="102"/>
      <c r="P166" s="102"/>
      <c r="Q166" s="102"/>
      <c r="R166" s="462"/>
    </row>
    <row r="167" spans="1:18">
      <c r="A167" s="653">
        <f>ROW()</f>
        <v>167</v>
      </c>
      <c r="B167" s="102" t="s">
        <v>614</v>
      </c>
      <c r="C167" s="2060">
        <f>C166*C161</f>
        <v>720</v>
      </c>
      <c r="D167" s="49"/>
      <c r="E167" s="102"/>
      <c r="H167" s="49"/>
      <c r="I167" s="49"/>
      <c r="J167" s="49"/>
      <c r="K167" s="49"/>
      <c r="L167" s="49"/>
      <c r="M167" s="49"/>
      <c r="N167" s="102"/>
      <c r="O167" s="102"/>
      <c r="P167" s="102"/>
      <c r="Q167" s="102"/>
      <c r="R167" s="462"/>
    </row>
    <row r="168" spans="1:18">
      <c r="A168" s="653">
        <f>ROW()</f>
        <v>168</v>
      </c>
      <c r="B168" s="102" t="s">
        <v>615</v>
      </c>
      <c r="C168" s="1156">
        <v>0</v>
      </c>
      <c r="D168" s="49" t="s">
        <v>616</v>
      </c>
      <c r="E168" s="102"/>
      <c r="H168" s="49"/>
      <c r="I168" s="49"/>
      <c r="J168" s="49"/>
      <c r="K168" s="49"/>
      <c r="L168" s="49"/>
      <c r="M168" s="49"/>
      <c r="N168" s="102"/>
      <c r="O168" s="102"/>
      <c r="P168" s="102"/>
      <c r="Q168" s="102"/>
      <c r="R168" s="462"/>
    </row>
    <row r="169" spans="1:18">
      <c r="A169" s="653">
        <f>ROW()</f>
        <v>169</v>
      </c>
      <c r="C169" s="1989"/>
      <c r="F169" s="40"/>
      <c r="G169" s="689"/>
      <c r="H169" s="689"/>
      <c r="I169" s="689"/>
      <c r="J169" s="687"/>
      <c r="K169" s="687"/>
      <c r="L169" s="687"/>
      <c r="M169" s="40"/>
      <c r="R169" s="462"/>
    </row>
    <row r="170" spans="1:18">
      <c r="A170" s="653">
        <f>ROW()</f>
        <v>170</v>
      </c>
      <c r="B170" s="75" t="s">
        <v>617</v>
      </c>
      <c r="C170" s="210"/>
      <c r="F170" s="50"/>
      <c r="G170" s="331">
        <f>$C$157*' Enrol &amp; Rev'!G35</f>
        <v>50</v>
      </c>
      <c r="H170" s="331">
        <f>$C$157*' Enrol &amp; Rev'!H35</f>
        <v>75</v>
      </c>
      <c r="I170" s="331">
        <f>$C$157*' Enrol &amp; Rev'!I35</f>
        <v>100</v>
      </c>
      <c r="J170" s="331">
        <f>$C$157*' Enrol &amp; Rev'!J35</f>
        <v>112.5</v>
      </c>
      <c r="K170" s="331">
        <f>$C$157*' Enrol &amp; Rev'!K35</f>
        <v>125</v>
      </c>
      <c r="L170" s="331">
        <f>$C$157*' Enrol &amp; Rev'!L35</f>
        <v>137.5</v>
      </c>
      <c r="M170" s="40"/>
      <c r="R170" s="462"/>
    </row>
    <row r="171" spans="1:18">
      <c r="A171" s="653">
        <f>ROW()</f>
        <v>171</v>
      </c>
      <c r="B171" s="94" t="s">
        <v>618</v>
      </c>
      <c r="C171" s="215"/>
      <c r="D171" s="94"/>
      <c r="E171" s="94"/>
      <c r="F171" s="428"/>
      <c r="G171" s="1056">
        <f t="shared" ref="G171:L171" si="25">IF(G170=0,0,IF(G170&gt;($C$158*5),6,IF(G170&gt;($C$158*4),5,IF(G170&gt;($C$158*3),4,IF(G170&gt;($C$158*2),3,IF(G170&gt;$C$158,2,IF(G170&gt;0,1)))))))</f>
        <v>4</v>
      </c>
      <c r="H171" s="1056">
        <f t="shared" si="25"/>
        <v>6</v>
      </c>
      <c r="I171" s="1056">
        <f t="shared" si="25"/>
        <v>6</v>
      </c>
      <c r="J171" s="1056">
        <f t="shared" si="25"/>
        <v>6</v>
      </c>
      <c r="K171" s="1056">
        <f t="shared" si="25"/>
        <v>6</v>
      </c>
      <c r="L171" s="1056">
        <f t="shared" si="25"/>
        <v>6</v>
      </c>
      <c r="M171" s="40"/>
      <c r="R171" s="462"/>
    </row>
    <row r="172" spans="1:18">
      <c r="A172" s="653">
        <f>ROW()</f>
        <v>172</v>
      </c>
      <c r="B172" s="75" t="s">
        <v>619</v>
      </c>
      <c r="C172" s="210"/>
      <c r="F172" s="424"/>
      <c r="G172" s="773">
        <f>G171*$C$159</f>
        <v>0</v>
      </c>
      <c r="H172" s="773">
        <f>(H171-G171)*$C$159</f>
        <v>0</v>
      </c>
      <c r="I172" s="773">
        <f>(I171-H171)*$C$159</f>
        <v>0</v>
      </c>
      <c r="J172" s="773">
        <f>(J171-I171)*$C$159</f>
        <v>0</v>
      </c>
      <c r="K172" s="773">
        <f>(K171-J171)*$C$159</f>
        <v>0</v>
      </c>
      <c r="L172" s="773">
        <f>(L171-K171)*$C$159</f>
        <v>0</v>
      </c>
      <c r="M172" s="40"/>
      <c r="R172" s="462"/>
    </row>
    <row r="173" spans="1:18">
      <c r="A173" s="653">
        <f>ROW()</f>
        <v>173</v>
      </c>
      <c r="B173" s="75" t="s">
        <v>620</v>
      </c>
      <c r="C173" s="210"/>
      <c r="F173" s="64"/>
      <c r="G173" s="330">
        <f t="shared" ref="G173:L173" si="26">G171*$C$165</f>
        <v>4320</v>
      </c>
      <c r="H173" s="330">
        <f t="shared" si="26"/>
        <v>6480</v>
      </c>
      <c r="I173" s="330">
        <f t="shared" si="26"/>
        <v>6480</v>
      </c>
      <c r="J173" s="330">
        <f t="shared" si="26"/>
        <v>6480</v>
      </c>
      <c r="K173" s="330">
        <f t="shared" si="26"/>
        <v>6480</v>
      </c>
      <c r="L173" s="330">
        <f t="shared" si="26"/>
        <v>6480</v>
      </c>
      <c r="M173" s="40"/>
      <c r="R173" s="462"/>
    </row>
    <row r="174" spans="1:18">
      <c r="A174" s="653">
        <f>ROW()</f>
        <v>174</v>
      </c>
      <c r="B174" s="75" t="s">
        <v>621</v>
      </c>
      <c r="C174" s="210"/>
      <c r="F174" s="429"/>
      <c r="G174" s="774">
        <f t="shared" ref="G174:L174" si="27">G171*$C$167</f>
        <v>2880</v>
      </c>
      <c r="H174" s="774">
        <f t="shared" si="27"/>
        <v>4320</v>
      </c>
      <c r="I174" s="774">
        <f t="shared" si="27"/>
        <v>4320</v>
      </c>
      <c r="J174" s="774">
        <f t="shared" si="27"/>
        <v>4320</v>
      </c>
      <c r="K174" s="774">
        <f t="shared" si="27"/>
        <v>4320</v>
      </c>
      <c r="L174" s="774">
        <f t="shared" si="27"/>
        <v>4320</v>
      </c>
      <c r="M174" s="40"/>
      <c r="R174" s="462"/>
    </row>
    <row r="175" spans="1:18">
      <c r="A175" s="653">
        <f>ROW()</f>
        <v>175</v>
      </c>
      <c r="B175" s="75" t="s">
        <v>615</v>
      </c>
      <c r="C175" s="210"/>
      <c r="F175" s="429"/>
      <c r="G175" s="774">
        <f t="shared" ref="G175:L175" si="28">G171*$C$168</f>
        <v>0</v>
      </c>
      <c r="H175" s="774">
        <f t="shared" si="28"/>
        <v>0</v>
      </c>
      <c r="I175" s="774">
        <f t="shared" si="28"/>
        <v>0</v>
      </c>
      <c r="J175" s="774">
        <f t="shared" si="28"/>
        <v>0</v>
      </c>
      <c r="K175" s="774">
        <f t="shared" si="28"/>
        <v>0</v>
      </c>
      <c r="L175" s="774">
        <f t="shared" si="28"/>
        <v>0</v>
      </c>
      <c r="M175" s="40"/>
      <c r="R175" s="462"/>
    </row>
    <row r="176" spans="1:18" ht="14.4" thickBot="1">
      <c r="A176" s="653">
        <f>ROW()</f>
        <v>176</v>
      </c>
      <c r="C176" s="210"/>
      <c r="F176" s="430"/>
      <c r="G176" s="430"/>
      <c r="H176" s="430"/>
      <c r="I176" s="430"/>
      <c r="J176" s="430"/>
      <c r="K176" s="430"/>
      <c r="L176" s="430"/>
      <c r="M176" s="40"/>
      <c r="R176" s="462"/>
    </row>
    <row r="177" spans="1:18" ht="14.4" thickBot="1">
      <c r="A177" s="653">
        <f>ROW()</f>
        <v>177</v>
      </c>
      <c r="B177" s="1186" t="s">
        <v>622</v>
      </c>
      <c r="C177" s="1187">
        <f>SUM(F177:L177)</f>
        <v>61200</v>
      </c>
      <c r="D177" s="1188"/>
      <c r="E177" s="1188"/>
      <c r="F177" s="1189">
        <f t="shared" ref="F177" si="29">SUM(F172:F175)</f>
        <v>0</v>
      </c>
      <c r="G177" s="1189">
        <f t="shared" ref="G177:L177" si="30">SUM(G172:G175)</f>
        <v>7200</v>
      </c>
      <c r="H177" s="1189">
        <f t="shared" si="30"/>
        <v>10800</v>
      </c>
      <c r="I177" s="1189">
        <f t="shared" si="30"/>
        <v>10800</v>
      </c>
      <c r="J177" s="1189">
        <f t="shared" si="30"/>
        <v>10800</v>
      </c>
      <c r="K177" s="1189">
        <f t="shared" si="30"/>
        <v>10800</v>
      </c>
      <c r="L177" s="1189">
        <f t="shared" si="30"/>
        <v>10800</v>
      </c>
      <c r="M177" s="40"/>
      <c r="R177" s="462"/>
    </row>
    <row r="178" spans="1:18">
      <c r="A178" s="653">
        <f>ROW()</f>
        <v>178</v>
      </c>
      <c r="G178" s="75"/>
      <c r="H178" s="75"/>
      <c r="I178" s="75"/>
      <c r="M178" s="40"/>
      <c r="R178" s="462"/>
    </row>
    <row r="179" spans="1:18" ht="14.4" thickBot="1">
      <c r="A179" s="653">
        <f>ROW()</f>
        <v>179</v>
      </c>
      <c r="B179" s="1266" t="s">
        <v>623</v>
      </c>
      <c r="C179" s="1267">
        <f>SUM(F179:L179)</f>
        <v>61200</v>
      </c>
      <c r="D179" s="1266"/>
      <c r="E179" s="1266"/>
      <c r="F179" s="1268">
        <f t="shared" ref="F179" si="31">F177-F154</f>
        <v>0</v>
      </c>
      <c r="G179" s="1268">
        <f>G177-G154</f>
        <v>7200</v>
      </c>
      <c r="H179" s="1268">
        <f t="shared" ref="H179:L179" si="32">H177-H154</f>
        <v>10800</v>
      </c>
      <c r="I179" s="1268">
        <f t="shared" si="32"/>
        <v>10800</v>
      </c>
      <c r="J179" s="1268">
        <f t="shared" si="32"/>
        <v>10800</v>
      </c>
      <c r="K179" s="1268">
        <f t="shared" si="32"/>
        <v>10800</v>
      </c>
      <c r="L179" s="1268">
        <f t="shared" si="32"/>
        <v>10800</v>
      </c>
      <c r="M179" s="40"/>
      <c r="R179" s="1269" t="s">
        <v>624</v>
      </c>
    </row>
    <row r="180" spans="1:18" ht="14.4" thickTop="1">
      <c r="A180" s="653">
        <f>ROW()</f>
        <v>180</v>
      </c>
      <c r="C180" s="210"/>
      <c r="F180" s="40"/>
      <c r="G180" s="43"/>
      <c r="H180" s="43"/>
      <c r="I180" s="43"/>
      <c r="J180" s="40"/>
      <c r="K180" s="40"/>
      <c r="L180" s="40"/>
      <c r="M180" s="40"/>
    </row>
    <row r="181" spans="1:18">
      <c r="A181" s="653">
        <f>ROW()</f>
        <v>181</v>
      </c>
      <c r="B181" s="1597" t="s">
        <v>625</v>
      </c>
      <c r="C181" s="215"/>
      <c r="D181" s="1270"/>
      <c r="E181" s="1270"/>
      <c r="F181" s="112"/>
      <c r="G181" s="177"/>
      <c r="H181" s="897"/>
      <c r="I181" s="177"/>
      <c r="J181" s="177"/>
      <c r="K181" s="898"/>
      <c r="L181" s="898"/>
      <c r="M181" s="40"/>
    </row>
    <row r="182" spans="1:18">
      <c r="A182" s="653">
        <f>ROW()</f>
        <v>182</v>
      </c>
      <c r="B182" s="358" t="s">
        <v>626</v>
      </c>
      <c r="C182" s="1989"/>
      <c r="D182" s="2061"/>
      <c r="E182" s="1272"/>
      <c r="F182" s="924">
        <v>0</v>
      </c>
      <c r="G182" s="924">
        <v>0</v>
      </c>
      <c r="H182" s="924">
        <v>0</v>
      </c>
      <c r="I182" s="924">
        <v>0</v>
      </c>
      <c r="J182" s="924">
        <v>0</v>
      </c>
      <c r="K182" s="924">
        <v>0</v>
      </c>
      <c r="L182" s="924">
        <v>0</v>
      </c>
      <c r="M182" s="40"/>
    </row>
    <row r="183" spans="1:18">
      <c r="A183" s="653">
        <f>ROW()</f>
        <v>183</v>
      </c>
      <c r="B183" s="1598" t="s">
        <v>627</v>
      </c>
      <c r="C183" s="1989"/>
      <c r="D183" s="2062"/>
      <c r="E183" s="1271"/>
      <c r="F183" s="925">
        <v>0</v>
      </c>
      <c r="G183" s="925">
        <v>0</v>
      </c>
      <c r="H183" s="925">
        <v>0</v>
      </c>
      <c r="I183" s="925">
        <v>0</v>
      </c>
      <c r="J183" s="925">
        <v>0</v>
      </c>
      <c r="K183" s="925">
        <v>0</v>
      </c>
      <c r="L183" s="925">
        <v>0</v>
      </c>
      <c r="M183" s="40"/>
    </row>
    <row r="184" spans="1:18">
      <c r="A184" s="653">
        <f>ROW()</f>
        <v>184</v>
      </c>
      <c r="B184" s="1598" t="s">
        <v>628</v>
      </c>
      <c r="C184" s="1989"/>
      <c r="D184" s="2062"/>
      <c r="E184" s="1271"/>
      <c r="F184" s="925">
        <v>0</v>
      </c>
      <c r="G184" s="925">
        <v>0</v>
      </c>
      <c r="H184" s="925">
        <v>0</v>
      </c>
      <c r="I184" s="925">
        <v>0</v>
      </c>
      <c r="J184" s="925">
        <v>0</v>
      </c>
      <c r="K184" s="925">
        <v>0</v>
      </c>
      <c r="L184" s="925">
        <v>0</v>
      </c>
      <c r="M184" s="40"/>
    </row>
    <row r="185" spans="1:18">
      <c r="A185" s="653">
        <f>ROW()</f>
        <v>185</v>
      </c>
      <c r="B185" s="1598" t="s">
        <v>629</v>
      </c>
      <c r="C185" s="1989"/>
      <c r="D185" s="2062"/>
      <c r="E185" s="1271"/>
      <c r="F185" s="925">
        <v>0</v>
      </c>
      <c r="G185" s="925">
        <v>0</v>
      </c>
      <c r="H185" s="925">
        <v>0</v>
      </c>
      <c r="I185" s="925">
        <v>0</v>
      </c>
      <c r="J185" s="925">
        <v>0</v>
      </c>
      <c r="K185" s="925">
        <v>0</v>
      </c>
      <c r="L185" s="925">
        <v>0</v>
      </c>
      <c r="M185" s="40"/>
    </row>
    <row r="186" spans="1:18">
      <c r="A186" s="653">
        <f>ROW()</f>
        <v>186</v>
      </c>
      <c r="B186" s="1598" t="s">
        <v>630</v>
      </c>
      <c r="C186" s="1989"/>
      <c r="D186" s="2062"/>
      <c r="E186" s="1271"/>
      <c r="F186" s="925">
        <v>0</v>
      </c>
      <c r="G186" s="925">
        <v>0</v>
      </c>
      <c r="H186" s="925">
        <v>0</v>
      </c>
      <c r="I186" s="925">
        <v>0</v>
      </c>
      <c r="J186" s="925">
        <v>0</v>
      </c>
      <c r="K186" s="925">
        <v>0</v>
      </c>
      <c r="L186" s="925">
        <v>0</v>
      </c>
      <c r="M186" s="40"/>
    </row>
    <row r="187" spans="1:18">
      <c r="A187" s="653">
        <f>ROW()</f>
        <v>187</v>
      </c>
      <c r="B187" s="1598" t="s">
        <v>631</v>
      </c>
      <c r="C187" s="1989"/>
      <c r="D187" s="2062"/>
      <c r="E187" s="1271"/>
      <c r="F187" s="925">
        <v>0</v>
      </c>
      <c r="G187" s="925">
        <v>0</v>
      </c>
      <c r="H187" s="925">
        <v>0</v>
      </c>
      <c r="I187" s="925">
        <v>0</v>
      </c>
      <c r="J187" s="925">
        <v>0</v>
      </c>
      <c r="K187" s="925">
        <v>0</v>
      </c>
      <c r="L187" s="925">
        <v>0</v>
      </c>
      <c r="M187" s="40"/>
    </row>
    <row r="188" spans="1:18">
      <c r="A188" s="653">
        <f>ROW()</f>
        <v>188</v>
      </c>
      <c r="B188" s="1598" t="s">
        <v>632</v>
      </c>
      <c r="C188" s="1989"/>
      <c r="D188" s="2062"/>
      <c r="E188" s="1271"/>
      <c r="F188" s="925">
        <v>0</v>
      </c>
      <c r="G188" s="925">
        <v>0</v>
      </c>
      <c r="H188" s="925">
        <v>0</v>
      </c>
      <c r="I188" s="925">
        <v>0</v>
      </c>
      <c r="J188" s="925">
        <v>0</v>
      </c>
      <c r="K188" s="925">
        <v>0</v>
      </c>
      <c r="L188" s="925">
        <v>0</v>
      </c>
      <c r="M188" s="40"/>
    </row>
    <row r="189" spans="1:18">
      <c r="A189" s="653">
        <f>ROW()</f>
        <v>189</v>
      </c>
      <c r="B189" s="1598" t="s">
        <v>633</v>
      </c>
      <c r="C189" s="1989"/>
      <c r="D189" s="2062"/>
      <c r="E189" s="1271"/>
      <c r="F189" s="925">
        <v>0</v>
      </c>
      <c r="G189" s="925">
        <v>0</v>
      </c>
      <c r="H189" s="925">
        <v>0</v>
      </c>
      <c r="I189" s="925">
        <v>0</v>
      </c>
      <c r="J189" s="925">
        <v>0</v>
      </c>
      <c r="K189" s="925">
        <v>0</v>
      </c>
      <c r="L189" s="925">
        <v>0</v>
      </c>
      <c r="M189" s="40"/>
    </row>
    <row r="190" spans="1:18">
      <c r="A190" s="653">
        <f>ROW()</f>
        <v>190</v>
      </c>
      <c r="B190" s="1598" t="s">
        <v>634</v>
      </c>
      <c r="C190" s="1989"/>
      <c r="D190" s="2062"/>
      <c r="E190" s="1271"/>
      <c r="F190" s="925">
        <v>0</v>
      </c>
      <c r="G190" s="925">
        <v>0</v>
      </c>
      <c r="H190" s="925">
        <v>0</v>
      </c>
      <c r="I190" s="925">
        <v>0</v>
      </c>
      <c r="J190" s="925">
        <v>0</v>
      </c>
      <c r="K190" s="925">
        <v>0</v>
      </c>
      <c r="L190" s="925">
        <v>0</v>
      </c>
      <c r="M190" s="40"/>
    </row>
    <row r="191" spans="1:18" ht="14.4" thickBot="1">
      <c r="A191" s="653">
        <f>ROW()</f>
        <v>191</v>
      </c>
      <c r="C191" s="210"/>
      <c r="D191" s="200"/>
      <c r="G191" s="40"/>
      <c r="H191" s="40"/>
      <c r="I191" s="40"/>
      <c r="J191" s="40"/>
      <c r="K191" s="40"/>
      <c r="L191" s="40"/>
      <c r="M191" s="40"/>
    </row>
    <row r="192" spans="1:18" ht="14.4" thickBot="1">
      <c r="A192" s="653">
        <f>ROW()</f>
        <v>192</v>
      </c>
      <c r="B192" s="1262" t="s">
        <v>635</v>
      </c>
      <c r="C192" s="1263">
        <f>SUM(F192:L192)</f>
        <v>0</v>
      </c>
      <c r="D192" s="1265"/>
      <c r="E192" s="1265"/>
      <c r="F192" s="1264">
        <f t="shared" ref="F192:L192" si="33">SUM(F182:F190)</f>
        <v>0</v>
      </c>
      <c r="G192" s="1264">
        <f t="shared" si="33"/>
        <v>0</v>
      </c>
      <c r="H192" s="1264">
        <f t="shared" si="33"/>
        <v>0</v>
      </c>
      <c r="I192" s="1264">
        <f t="shared" si="33"/>
        <v>0</v>
      </c>
      <c r="J192" s="1264">
        <f t="shared" si="33"/>
        <v>0</v>
      </c>
      <c r="K192" s="1264">
        <f t="shared" si="33"/>
        <v>0</v>
      </c>
      <c r="L192" s="1264">
        <f t="shared" si="33"/>
        <v>0</v>
      </c>
      <c r="M192" s="40"/>
    </row>
    <row r="193" spans="1:13">
      <c r="A193" s="653">
        <f>ROW()</f>
        <v>193</v>
      </c>
      <c r="M193" s="40"/>
    </row>
    <row r="194" spans="1:13">
      <c r="A194" s="653">
        <f>ROW()</f>
        <v>194</v>
      </c>
      <c r="B194" s="75" t="s">
        <v>636</v>
      </c>
      <c r="C194" s="623">
        <v>0.03</v>
      </c>
      <c r="F194" s="1055">
        <f t="shared" ref="F194:L194" si="34">SUM(F151,F143,F105,F179,F192)*((1+$C$194)^(F11-$F11)-1)</f>
        <v>0</v>
      </c>
      <c r="G194" s="1055">
        <f t="shared" si="34"/>
        <v>8745.7500000000073</v>
      </c>
      <c r="H194" s="1055">
        <f t="shared" si="34"/>
        <v>24670.133249999981</v>
      </c>
      <c r="I194" s="1055">
        <f t="shared" si="34"/>
        <v>47787.332357699997</v>
      </c>
      <c r="J194" s="1055">
        <f t="shared" si="34"/>
        <v>71862.322299657084</v>
      </c>
      <c r="K194" s="1055">
        <f t="shared" si="34"/>
        <v>100389.12881485901</v>
      </c>
      <c r="L194" s="1055">
        <f t="shared" si="34"/>
        <v>133450.84815567822</v>
      </c>
    </row>
    <row r="195" spans="1:13" ht="14.4" thickBot="1">
      <c r="A195" s="653">
        <f>ROW()</f>
        <v>195</v>
      </c>
      <c r="C195" s="210"/>
      <c r="F195" s="792"/>
      <c r="G195" s="921"/>
      <c r="H195" s="921"/>
      <c r="I195" s="921"/>
      <c r="J195" s="921"/>
      <c r="K195" s="921"/>
      <c r="L195" s="921"/>
    </row>
    <row r="196" spans="1:13" ht="14.4" thickBot="1">
      <c r="A196" s="653">
        <f>ROW()</f>
        <v>196</v>
      </c>
      <c r="B196" s="1797" t="s">
        <v>637</v>
      </c>
      <c r="C196" s="1798">
        <f>SUM(F196:L196)</f>
        <v>3679164.3631786946</v>
      </c>
      <c r="D196" s="1799"/>
      <c r="E196" s="1799"/>
      <c r="F196" s="1800">
        <f>SUM(F151,F143,F105,F194,F179,F192)</f>
        <v>243721</v>
      </c>
      <c r="G196" s="1800">
        <f>SUM(G151,G143,G105,G194,G179,G192)</f>
        <v>300270.75</v>
      </c>
      <c r="H196" s="1800">
        <f>H151+H143+H105+H194</f>
        <v>418962.63324999996</v>
      </c>
      <c r="I196" s="1800">
        <f>I151+I143+I105+I194</f>
        <v>552342.43235769996</v>
      </c>
      <c r="J196" s="1800">
        <f>J151+J143+J105+J194</f>
        <v>633630.27429965709</v>
      </c>
      <c r="K196" s="1800">
        <f>K151+K143+K105+K194</f>
        <v>719880.83985485905</v>
      </c>
      <c r="L196" s="1800">
        <f>L151+L143+L105+L194</f>
        <v>810356.43341647834</v>
      </c>
    </row>
    <row r="197" spans="1:13" ht="14.4" thickBot="1">
      <c r="A197" s="653">
        <f>ROW()</f>
        <v>197</v>
      </c>
    </row>
    <row r="198" spans="1:13" ht="14.4" thickBot="1">
      <c r="A198" s="653">
        <f>ROW()</f>
        <v>198</v>
      </c>
      <c r="B198" s="607" t="s">
        <v>1256</v>
      </c>
      <c r="C198" s="608">
        <f>SUM(F198:L198)</f>
        <v>3617964.3631786946</v>
      </c>
      <c r="D198" s="609"/>
      <c r="E198" s="609"/>
      <c r="F198" s="775">
        <f>+F196-F179</f>
        <v>243721</v>
      </c>
      <c r="G198" s="775">
        <f t="shared" ref="G198:L198" si="35">+G196-G179</f>
        <v>293070.75</v>
      </c>
      <c r="H198" s="775">
        <f t="shared" si="35"/>
        <v>408162.63324999996</v>
      </c>
      <c r="I198" s="775">
        <f t="shared" si="35"/>
        <v>541542.43235769996</v>
      </c>
      <c r="J198" s="775">
        <f t="shared" si="35"/>
        <v>622830.27429965709</v>
      </c>
      <c r="K198" s="775">
        <f t="shared" si="35"/>
        <v>709080.83985485905</v>
      </c>
      <c r="L198" s="775">
        <f t="shared" si="35"/>
        <v>799556.43341647834</v>
      </c>
    </row>
  </sheetData>
  <sheetProtection algorithmName="SHA-512" hashValue="QnaIH2ABUdKaVKw+xPsA8EYkloTq88oFeO0uetkawkJC9LAEGFMbGZzAMnM3P/oNWZXP8QxaWdSS5Jq4naq9iA==" saltValue="qH/gZnjg7jhXBy9jYi47rQ==" spinCount="100000" sheet="1" objects="1" scenarios="1"/>
  <sortState xmlns:xlrd2="http://schemas.microsoft.com/office/spreadsheetml/2017/richdata2" ref="B110:B127">
    <sortCondition ref="B110:B127"/>
  </sortState>
  <mergeCells count="1">
    <mergeCell ref="D10:E10"/>
  </mergeCells>
  <conditionalFormatting sqref="B43:E43">
    <cfRule type="expression" dxfId="39" priority="19" stopIfTrue="1">
      <formula>MOD(ROW(),2)=0</formula>
    </cfRule>
  </conditionalFormatting>
  <conditionalFormatting sqref="C13:E13">
    <cfRule type="expression" dxfId="38" priority="20" stopIfTrue="1">
      <formula>MOD(ROW(),2)=0</formula>
    </cfRule>
  </conditionalFormatting>
  <conditionalFormatting sqref="D1">
    <cfRule type="expression" dxfId="37" priority="10" stopIfTrue="1">
      <formula>MOD(ROW(),2)=0</formula>
    </cfRule>
  </conditionalFormatting>
  <conditionalFormatting sqref="B36:L42">
    <cfRule type="expression" dxfId="36" priority="25" stopIfTrue="1">
      <formula>MOD(ROW(),2)=0</formula>
    </cfRule>
  </conditionalFormatting>
  <conditionalFormatting sqref="B15:L34">
    <cfRule type="expression" dxfId="35" priority="26" stopIfTrue="1">
      <formula>MOD(ROW(),2)=0</formula>
    </cfRule>
  </conditionalFormatting>
  <conditionalFormatting sqref="B46:L52">
    <cfRule type="expression" dxfId="34" priority="27" stopIfTrue="1">
      <formula>MOD(ROW(),2)=0</formula>
    </cfRule>
  </conditionalFormatting>
  <conditionalFormatting sqref="B55:L60">
    <cfRule type="expression" dxfId="33" priority="28" stopIfTrue="1">
      <formula>MOD(ROW(),2)=0</formula>
    </cfRule>
  </conditionalFormatting>
  <hyperlinks>
    <hyperlink ref="D1" location="HypLink1" display="HypLink1" xr:uid="{8723ABB7-F367-449A-9920-09DD3E03343A}"/>
  </hyperlinks>
  <pageMargins left="0.25" right="0.25" top="0.5" bottom="0.45" header="0.25" footer="0.25"/>
  <pageSetup scale="51" fitToWidth="3" fitToHeight="2" orientation="landscape" r:id="rId1"/>
  <headerFooter>
    <oddHeader xml:space="preserve">&amp;L &amp;C &amp;R </oddHeader>
    <oddFooter>&amp;L&amp;7&amp;D  at &amp;T Mike 702.854.0691&amp;C&amp;7&amp;F  &amp;A&amp;R&amp;7Page &amp;P of &amp;N</oddFooter>
  </headerFooter>
  <rowBreaks count="1" manualBreakCount="1">
    <brk id="62" max="11"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Z68"/>
  <sheetViews>
    <sheetView workbookViewId="0">
      <selection activeCell="A15" sqref="A15"/>
    </sheetView>
  </sheetViews>
  <sheetFormatPr defaultColWidth="8.77734375" defaultRowHeight="13.8"/>
  <cols>
    <col min="1" max="1" width="7" style="40" customWidth="1"/>
    <col min="2" max="2" width="32.77734375" style="40" customWidth="1"/>
    <col min="3" max="3" width="15.5546875" style="40" customWidth="1"/>
    <col min="4" max="4" width="17.21875" style="43" customWidth="1"/>
    <col min="5" max="5" width="2.21875" style="43" customWidth="1"/>
    <col min="6" max="6" width="12.21875" style="43" customWidth="1"/>
    <col min="7" max="12" width="13.77734375" style="40" customWidth="1"/>
    <col min="13" max="13" width="4.77734375" style="40" customWidth="1"/>
    <col min="14" max="14" width="76.5546875" style="416" customWidth="1"/>
    <col min="15" max="15" width="11.5546875" style="40" bestFit="1" customWidth="1"/>
    <col min="16" max="16" width="8.77734375" style="40"/>
    <col min="17" max="17" width="17.21875" style="40" customWidth="1"/>
    <col min="18" max="16384" width="8.77734375" style="40"/>
  </cols>
  <sheetData>
    <row r="1" spans="1:26" ht="33.6" customHeight="1">
      <c r="A1" s="2199" t="s">
        <v>708</v>
      </c>
      <c r="B1" s="2199"/>
      <c r="D1" s="558" t="s">
        <v>2</v>
      </c>
      <c r="F1" s="463"/>
      <c r="G1" s="55"/>
      <c r="H1" s="55"/>
      <c r="I1" s="55"/>
      <c r="J1" s="55"/>
      <c r="K1" s="893"/>
      <c r="L1" s="55"/>
      <c r="O1" s="8" cm="1">
        <f t="array" aca="1" ref="O1" ca="1">CELL("protect",A1)</f>
        <v>1</v>
      </c>
      <c r="P1" s="8" cm="1">
        <f t="array" aca="1" ref="P1" ca="1">CELL("protect",B1)</f>
        <v>1</v>
      </c>
      <c r="Q1" s="8" cm="1">
        <f t="array" aca="1" ref="Q1" ca="1">CELL("protect",C1)</f>
        <v>1</v>
      </c>
      <c r="R1" s="8" cm="1">
        <f t="array" aca="1" ref="R1" ca="1">CELL("protect",D1)</f>
        <v>1</v>
      </c>
      <c r="S1" s="8" cm="1">
        <f t="array" aca="1" ref="S1" ca="1">CELL("protect",E1)</f>
        <v>1</v>
      </c>
      <c r="T1" s="8" cm="1">
        <f t="array" aca="1" ref="T1" ca="1">CELL("protect",F1)</f>
        <v>1</v>
      </c>
      <c r="U1" s="8" cm="1">
        <f t="array" aca="1" ref="U1" ca="1">CELL("protect",G1)</f>
        <v>1</v>
      </c>
      <c r="V1" s="8" cm="1">
        <f t="array" aca="1" ref="V1" ca="1">CELL("protect",H1)</f>
        <v>1</v>
      </c>
      <c r="W1" s="8" cm="1">
        <f t="array" aca="1" ref="W1" ca="1">CELL("protect",I1)</f>
        <v>1</v>
      </c>
      <c r="X1" s="8" cm="1">
        <f t="array" aca="1" ref="X1" ca="1">CELL("protect",J1)</f>
        <v>1</v>
      </c>
      <c r="Y1" s="8" cm="1">
        <f t="array" aca="1" ref="Y1" ca="1">CELL("protect",K1)</f>
        <v>1</v>
      </c>
      <c r="Z1" s="8" cm="1">
        <f t="array" aca="1" ref="Z1" ca="1">CELL("protect",L1)</f>
        <v>1</v>
      </c>
    </row>
    <row r="2" spans="1:26" ht="15.6">
      <c r="A2" s="175" t="str">
        <f>SchoolName</f>
        <v>Southern Nevada Trades High School</v>
      </c>
      <c r="B2" s="176"/>
      <c r="C2" s="81"/>
      <c r="F2" s="2198"/>
      <c r="G2" s="2198"/>
      <c r="H2" s="2198"/>
      <c r="I2" s="2198"/>
      <c r="J2" s="2198"/>
      <c r="K2" s="2198"/>
      <c r="L2" s="2198"/>
      <c r="M2" s="43"/>
    </row>
    <row r="3" spans="1:26">
      <c r="A3" s="47" t="s">
        <v>72</v>
      </c>
      <c r="F3" s="2198"/>
      <c r="G3" s="2198"/>
      <c r="H3" s="2198"/>
      <c r="I3" s="2198"/>
      <c r="J3" s="2198"/>
      <c r="K3" s="2198"/>
      <c r="L3" s="2198"/>
      <c r="M3" s="43"/>
    </row>
    <row r="4" spans="1:26">
      <c r="A4" s="48" t="s">
        <v>73</v>
      </c>
      <c r="F4" s="2198"/>
      <c r="G4" s="2198"/>
      <c r="H4" s="2198"/>
      <c r="I4" s="2198"/>
      <c r="J4" s="2198"/>
      <c r="K4" s="2198"/>
      <c r="L4" s="2198"/>
      <c r="M4" s="43"/>
    </row>
    <row r="5" spans="1:26">
      <c r="A5" s="36" t="str">
        <f ca="1">CELL("filename")</f>
        <v>C:\Users\jewel\Documents\SNTHS\CHARTER APP FINAL\FINAL COMPILED\[SNTHS Budget Worksheet.xlsx]Summary</v>
      </c>
    </row>
    <row r="6" spans="1:26">
      <c r="F6" s="984" t="str">
        <f>' Enrol &amp; Rev'!F9</f>
        <v>SY 0/Incu</v>
      </c>
      <c r="G6" s="985">
        <f>' Enrol &amp; Rev'!G9</f>
        <v>1</v>
      </c>
      <c r="H6" s="985">
        <f>' Enrol &amp; Rev'!H9</f>
        <v>2</v>
      </c>
      <c r="I6" s="985">
        <f>' Enrol &amp; Rev'!I9</f>
        <v>3</v>
      </c>
      <c r="J6" s="985">
        <f>' Enrol &amp; Rev'!J9</f>
        <v>4</v>
      </c>
      <c r="K6" s="985">
        <f>' Enrol &amp; Rev'!K9</f>
        <v>5</v>
      </c>
      <c r="L6" s="986">
        <f>' Enrol &amp; Rev'!L9</f>
        <v>6</v>
      </c>
      <c r="M6" s="49"/>
      <c r="N6" s="1963"/>
    </row>
    <row r="7" spans="1:26">
      <c r="F7" s="987">
        <f>' Enrol &amp; Rev'!F10</f>
        <v>2022</v>
      </c>
      <c r="G7" s="987">
        <f>' Enrol &amp; Rev'!G10</f>
        <v>2023</v>
      </c>
      <c r="H7" s="988">
        <f>' Enrol &amp; Rev'!H10</f>
        <v>2024</v>
      </c>
      <c r="I7" s="988">
        <f>' Enrol &amp; Rev'!I10</f>
        <v>2025</v>
      </c>
      <c r="J7" s="988">
        <f>' Enrol &amp; Rev'!J10</f>
        <v>2026</v>
      </c>
      <c r="K7" s="988">
        <f>' Enrol &amp; Rev'!K10</f>
        <v>2027</v>
      </c>
      <c r="L7" s="989">
        <f>' Enrol &amp; Rev'!L10</f>
        <v>2028</v>
      </c>
      <c r="M7" s="49"/>
      <c r="N7" s="1963"/>
    </row>
    <row r="8" spans="1:26">
      <c r="F8" s="981">
        <f>' Enrol &amp; Rev'!F11</f>
        <v>2023</v>
      </c>
      <c r="G8" s="981">
        <f>' Enrol &amp; Rev'!G11</f>
        <v>2024</v>
      </c>
      <c r="H8" s="982">
        <f>' Enrol &amp; Rev'!H11</f>
        <v>2025</v>
      </c>
      <c r="I8" s="982">
        <f>' Enrol &amp; Rev'!I11</f>
        <v>2026</v>
      </c>
      <c r="J8" s="982">
        <f>' Enrol &amp; Rev'!J11</f>
        <v>2027</v>
      </c>
      <c r="K8" s="982">
        <f>' Enrol &amp; Rev'!K11</f>
        <v>2028</v>
      </c>
      <c r="L8" s="983">
        <f>' Enrol &amp; Rev'!L11</f>
        <v>2029</v>
      </c>
      <c r="M8" s="49"/>
      <c r="N8" s="1963"/>
    </row>
    <row r="9" spans="1:26">
      <c r="M9" s="49"/>
      <c r="N9" s="1963"/>
    </row>
    <row r="10" spans="1:26">
      <c r="A10" s="467">
        <f>ROW()</f>
        <v>10</v>
      </c>
      <c r="B10" s="2137" t="s">
        <v>419</v>
      </c>
      <c r="G10" s="39"/>
      <c r="H10" s="39"/>
      <c r="I10" s="39"/>
      <c r="J10" s="39"/>
      <c r="K10" s="39"/>
      <c r="L10" s="39"/>
      <c r="M10" s="49"/>
      <c r="N10" s="1936" t="s">
        <v>709</v>
      </c>
    </row>
    <row r="11" spans="1:26">
      <c r="A11" s="467">
        <f>ROW()</f>
        <v>11</v>
      </c>
      <c r="B11" s="40" t="s">
        <v>710</v>
      </c>
      <c r="G11" s="2135">
        <f>' Enrol &amp; Rev'!G35</f>
        <v>200</v>
      </c>
      <c r="H11" s="2135">
        <f>' Enrol &amp; Rev'!H35</f>
        <v>300</v>
      </c>
      <c r="I11" s="2135">
        <f>' Enrol &amp; Rev'!I35</f>
        <v>400</v>
      </c>
      <c r="J11" s="2135">
        <f>' Enrol &amp; Rev'!J35</f>
        <v>450</v>
      </c>
      <c r="K11" s="2135">
        <f>' Enrol &amp; Rev'!K35</f>
        <v>500</v>
      </c>
      <c r="L11" s="2135">
        <f>' Enrol &amp; Rev'!L35</f>
        <v>550</v>
      </c>
      <c r="M11" s="65"/>
      <c r="N11" s="628"/>
    </row>
    <row r="12" spans="1:26">
      <c r="A12" s="467">
        <f>ROW()</f>
        <v>12</v>
      </c>
      <c r="B12" s="75" t="s">
        <v>711</v>
      </c>
      <c r="G12" s="2136">
        <f>+Staff!H23</f>
        <v>13.25</v>
      </c>
      <c r="H12" s="2136">
        <f>+Staff!I23</f>
        <v>24</v>
      </c>
      <c r="I12" s="2136">
        <f>+Staff!J23</f>
        <v>36</v>
      </c>
      <c r="J12" s="2136">
        <f>+Staff!K23</f>
        <v>40</v>
      </c>
      <c r="K12" s="2136">
        <f>+Staff!L23</f>
        <v>45</v>
      </c>
      <c r="L12" s="2136">
        <f>+Staff!M23</f>
        <v>45</v>
      </c>
      <c r="M12" s="65"/>
      <c r="N12" s="628"/>
    </row>
    <row r="13" spans="1:26">
      <c r="A13" s="467">
        <f>ROW()</f>
        <v>13</v>
      </c>
      <c r="B13" s="75"/>
      <c r="F13" s="2063" t="s">
        <v>1464</v>
      </c>
      <c r="M13" s="49"/>
      <c r="N13" s="462"/>
    </row>
    <row r="14" spans="1:26">
      <c r="A14" s="467">
        <f>ROW()</f>
        <v>14</v>
      </c>
      <c r="B14" s="40" t="s">
        <v>712</v>
      </c>
      <c r="C14" s="2066"/>
      <c r="D14" s="1957"/>
      <c r="E14" s="1957"/>
      <c r="F14" s="2064">
        <v>0</v>
      </c>
      <c r="G14" s="2064">
        <v>1</v>
      </c>
      <c r="H14" s="2064">
        <v>2</v>
      </c>
      <c r="I14" s="2064">
        <v>2</v>
      </c>
      <c r="J14" s="2064">
        <v>3</v>
      </c>
      <c r="K14" s="2064">
        <v>3</v>
      </c>
      <c r="L14" s="2064">
        <v>3</v>
      </c>
      <c r="M14" s="49"/>
      <c r="N14" s="462"/>
    </row>
    <row r="15" spans="1:26">
      <c r="A15" s="467">
        <f>ROW()</f>
        <v>15</v>
      </c>
      <c r="B15" s="43" t="s">
        <v>713</v>
      </c>
      <c r="C15" s="2066"/>
      <c r="D15" s="1957"/>
      <c r="E15" s="1957"/>
      <c r="F15" s="2064">
        <v>0</v>
      </c>
      <c r="G15" s="2064">
        <v>6000</v>
      </c>
      <c r="H15" s="2064">
        <f>+G15*H14</f>
        <v>12000</v>
      </c>
      <c r="I15" s="2064">
        <f>+G15*I14</f>
        <v>12000</v>
      </c>
      <c r="J15" s="2064">
        <f>+G15*J14</f>
        <v>18000</v>
      </c>
      <c r="K15" s="2064">
        <f>+G15*K14</f>
        <v>18000</v>
      </c>
      <c r="L15" s="2064">
        <f>+G15*L14</f>
        <v>18000</v>
      </c>
      <c r="M15" s="49"/>
      <c r="N15" s="462" t="s">
        <v>1494</v>
      </c>
    </row>
    <row r="16" spans="1:26">
      <c r="A16" s="467">
        <f>ROW()</f>
        <v>16</v>
      </c>
      <c r="B16" s="43" t="s">
        <v>714</v>
      </c>
      <c r="C16" s="1068">
        <v>10</v>
      </c>
      <c r="D16" s="1957" t="s">
        <v>282</v>
      </c>
      <c r="E16" s="1957"/>
      <c r="F16" s="2065">
        <v>0</v>
      </c>
      <c r="G16" s="2065">
        <f t="shared" ref="G16:L16" si="0">$C$16*G11</f>
        <v>2000</v>
      </c>
      <c r="H16" s="2065">
        <f t="shared" si="0"/>
        <v>3000</v>
      </c>
      <c r="I16" s="2065">
        <f t="shared" si="0"/>
        <v>4000</v>
      </c>
      <c r="J16" s="2065">
        <f t="shared" si="0"/>
        <v>4500</v>
      </c>
      <c r="K16" s="2065">
        <f t="shared" si="0"/>
        <v>5000</v>
      </c>
      <c r="L16" s="2065">
        <f t="shared" si="0"/>
        <v>5500</v>
      </c>
      <c r="M16" s="49"/>
      <c r="N16" s="462"/>
    </row>
    <row r="17" spans="1:14">
      <c r="A17" s="467">
        <f>ROW()</f>
        <v>17</v>
      </c>
      <c r="B17" s="43" t="s">
        <v>715</v>
      </c>
      <c r="C17" s="1068">
        <v>350</v>
      </c>
      <c r="D17" s="1957" t="s">
        <v>716</v>
      </c>
      <c r="E17" s="1957"/>
      <c r="F17" s="2065">
        <v>0</v>
      </c>
      <c r="G17" s="2065">
        <f>IF($C$17*(Staff!H23-Staff!G23)&gt;0,$C$17*(Staff!H23-Staff!G23),0)</f>
        <v>4287.5</v>
      </c>
      <c r="H17" s="2065">
        <f>IF($C$17*(Staff!I23-Staff!H23)&gt;0,$C$17*(Staff!I23-Staff!H23),0)</f>
        <v>3762.5</v>
      </c>
      <c r="I17" s="2065">
        <f>IF($C$17*(Staff!J23-Staff!I23)&gt;0,$C$17*(Staff!J23-Staff!I23),0)</f>
        <v>4200</v>
      </c>
      <c r="J17" s="2065">
        <f>IF($C$17*(Staff!K23-Staff!J23)&gt;0,$C$17*(Staff!K23-Staff!J23),0)</f>
        <v>1400</v>
      </c>
      <c r="K17" s="2065">
        <f>IF($C$17*(Staff!L23-Staff!K23)&gt;0,$C$17*(Staff!L23-Staff!K23),0)</f>
        <v>1750</v>
      </c>
      <c r="L17" s="2065">
        <f>IF($C$17*(Staff!M23-Staff!L23)&gt;0,$C$17*(Staff!M23-Staff!L23),0)</f>
        <v>0</v>
      </c>
      <c r="M17" s="49"/>
      <c r="N17" s="462"/>
    </row>
    <row r="18" spans="1:14">
      <c r="A18" s="467">
        <f>ROW()</f>
        <v>18</v>
      </c>
      <c r="B18" s="43" t="s">
        <v>717</v>
      </c>
      <c r="C18" s="1068">
        <v>3500</v>
      </c>
      <c r="D18" s="1957"/>
      <c r="E18" s="1957"/>
      <c r="F18" s="2065">
        <v>0</v>
      </c>
      <c r="G18" s="2065"/>
      <c r="H18" s="2065"/>
      <c r="I18" s="2065"/>
      <c r="J18" s="2065">
        <v>5000</v>
      </c>
      <c r="K18" s="2065">
        <f>+J18</f>
        <v>5000</v>
      </c>
      <c r="L18" s="2065">
        <f>+K18</f>
        <v>5000</v>
      </c>
      <c r="M18" s="49"/>
      <c r="N18" s="462"/>
    </row>
    <row r="19" spans="1:14">
      <c r="A19" s="467">
        <f>ROW()</f>
        <v>19</v>
      </c>
      <c r="B19" s="43" t="s">
        <v>718</v>
      </c>
      <c r="C19" s="1068">
        <v>300</v>
      </c>
      <c r="D19" s="1957"/>
      <c r="E19" s="1957"/>
      <c r="F19" s="2065">
        <v>0</v>
      </c>
      <c r="G19" s="2065">
        <f>+$C$19*(26*2)</f>
        <v>15600</v>
      </c>
      <c r="H19" s="2065">
        <f>+$C$19*(26*2)</f>
        <v>15600</v>
      </c>
      <c r="I19" s="2065">
        <f t="shared" ref="I19:L19" si="1">+$C$19*(26*2)</f>
        <v>15600</v>
      </c>
      <c r="J19" s="2065">
        <f t="shared" si="1"/>
        <v>15600</v>
      </c>
      <c r="K19" s="2065">
        <f t="shared" si="1"/>
        <v>15600</v>
      </c>
      <c r="L19" s="2065">
        <f t="shared" si="1"/>
        <v>15600</v>
      </c>
      <c r="M19" s="49"/>
      <c r="N19" s="462" t="s">
        <v>1495</v>
      </c>
    </row>
    <row r="20" spans="1:14">
      <c r="A20" s="467">
        <f>ROW()</f>
        <v>20</v>
      </c>
      <c r="B20" s="43" t="s">
        <v>719</v>
      </c>
      <c r="C20" s="1068">
        <v>300</v>
      </c>
      <c r="D20" s="1957"/>
      <c r="E20" s="1957"/>
      <c r="F20" s="2065">
        <v>0</v>
      </c>
      <c r="G20" s="2065"/>
      <c r="H20" s="2065"/>
      <c r="I20" s="2065">
        <v>3500</v>
      </c>
      <c r="J20" s="2065">
        <v>3500</v>
      </c>
      <c r="K20" s="2065">
        <v>3500</v>
      </c>
      <c r="L20" s="2065">
        <v>3500</v>
      </c>
      <c r="M20" s="49"/>
      <c r="N20" s="462"/>
    </row>
    <row r="21" spans="1:14">
      <c r="A21" s="467">
        <f>ROW()</f>
        <v>21</v>
      </c>
      <c r="B21" s="43" t="s">
        <v>720</v>
      </c>
      <c r="C21" s="1068">
        <v>2000</v>
      </c>
      <c r="D21" s="1957"/>
      <c r="E21" s="1957"/>
      <c r="F21" s="2065">
        <v>0</v>
      </c>
      <c r="G21" s="2065">
        <f>+C21*2</f>
        <v>4000</v>
      </c>
      <c r="H21" s="2065">
        <f>+G21</f>
        <v>4000</v>
      </c>
      <c r="I21" s="2065">
        <f>+H21</f>
        <v>4000</v>
      </c>
      <c r="J21" s="2065">
        <f>+I21</f>
        <v>4000</v>
      </c>
      <c r="K21" s="2065">
        <f>+J21</f>
        <v>4000</v>
      </c>
      <c r="L21" s="2065">
        <f>+K21</f>
        <v>4000</v>
      </c>
      <c r="M21" s="49"/>
      <c r="N21" s="462" t="s">
        <v>1544</v>
      </c>
    </row>
    <row r="22" spans="1:14">
      <c r="A22" s="467">
        <f>ROW()</f>
        <v>22</v>
      </c>
      <c r="B22" s="43" t="s">
        <v>721</v>
      </c>
      <c r="C22" s="1068">
        <v>0</v>
      </c>
      <c r="D22" s="1957" t="s">
        <v>722</v>
      </c>
      <c r="E22" s="1957"/>
      <c r="F22" s="2065">
        <v>0</v>
      </c>
      <c r="G22" s="2065">
        <f>IF($C$22*(Staff!H23-Staff!G23)&gt;0,$C$22*(Staff!H23-Staff!G23),0)</f>
        <v>0</v>
      </c>
      <c r="H22" s="2065">
        <f>IF($C$22*(Staff!I23-Staff!H23)&gt;0,$C$22*(Staff!I23-Staff!H23),0)</f>
        <v>0</v>
      </c>
      <c r="I22" s="2065">
        <f>IF($C$22*(Staff!J23-Staff!I23)&gt;0,$C$22*(Staff!J23-Staff!I23),0)</f>
        <v>0</v>
      </c>
      <c r="J22" s="2065">
        <f>IF($C$22*(Staff!K23-Staff!J23)&gt;0,$C$22*(Staff!K23-Staff!J23),0)</f>
        <v>0</v>
      </c>
      <c r="K22" s="2065">
        <f>IF($C$22*(Staff!L23-Staff!K23)&gt;0,$C$22*(Staff!L23-Staff!K23),0)</f>
        <v>0</v>
      </c>
      <c r="L22" s="2065">
        <f>IF($C$22*(Staff!M23-Staff!L23)&gt;0,$C$22*(Staff!M23-Staff!L23),0)</f>
        <v>0</v>
      </c>
      <c r="M22" s="49"/>
      <c r="N22" s="462"/>
    </row>
    <row r="23" spans="1:14">
      <c r="A23" s="467">
        <f>ROW()</f>
        <v>23</v>
      </c>
      <c r="B23" s="43" t="s">
        <v>723</v>
      </c>
      <c r="C23" s="1068">
        <v>0</v>
      </c>
      <c r="D23" s="1957" t="s">
        <v>563</v>
      </c>
      <c r="E23" s="1957"/>
      <c r="F23" s="2065">
        <v>0</v>
      </c>
      <c r="G23" s="2065">
        <f>($C$23*12)*Staff!H23</f>
        <v>0</v>
      </c>
      <c r="H23" s="2065">
        <f>($C$23*12)*Staff!I23</f>
        <v>0</v>
      </c>
      <c r="I23" s="2065">
        <f>($C$23*12)*Staff!J23</f>
        <v>0</v>
      </c>
      <c r="J23" s="2065">
        <f>($C$23*12)*Staff!K23</f>
        <v>0</v>
      </c>
      <c r="K23" s="2065">
        <f>($C$23*12)*Staff!L23</f>
        <v>0</v>
      </c>
      <c r="L23" s="2065">
        <f>($C$23*12)*Staff!M23</f>
        <v>0</v>
      </c>
      <c r="M23" s="49"/>
      <c r="N23" s="462"/>
    </row>
    <row r="24" spans="1:14">
      <c r="A24" s="467">
        <f>ROW()</f>
        <v>24</v>
      </c>
      <c r="B24" s="43" t="s">
        <v>724</v>
      </c>
      <c r="C24" s="666"/>
      <c r="D24" s="1957"/>
      <c r="E24" s="1957"/>
      <c r="F24" s="2065">
        <v>0</v>
      </c>
      <c r="G24" s="2065">
        <v>5000</v>
      </c>
      <c r="H24" s="2065">
        <v>2500</v>
      </c>
      <c r="I24" s="2065">
        <v>2500</v>
      </c>
      <c r="J24" s="2065">
        <v>2500</v>
      </c>
      <c r="K24" s="2065">
        <v>2500</v>
      </c>
      <c r="L24" s="2065">
        <v>2500</v>
      </c>
      <c r="M24" s="49"/>
      <c r="N24" s="462" t="s">
        <v>1536</v>
      </c>
    </row>
    <row r="25" spans="1:14">
      <c r="A25" s="467">
        <f>ROW()</f>
        <v>25</v>
      </c>
      <c r="B25" s="43" t="s">
        <v>725</v>
      </c>
      <c r="C25" s="666"/>
      <c r="D25" s="2008"/>
      <c r="E25" s="2008"/>
      <c r="F25" s="2065">
        <v>0</v>
      </c>
      <c r="G25" s="2065"/>
      <c r="H25" s="2065"/>
      <c r="I25" s="2065"/>
      <c r="J25" s="2065"/>
      <c r="K25" s="2065"/>
      <c r="L25" s="2065"/>
      <c r="M25" s="49"/>
      <c r="N25" s="462"/>
    </row>
    <row r="26" spans="1:14">
      <c r="A26" s="467">
        <f>ROW()</f>
        <v>26</v>
      </c>
      <c r="B26" s="43" t="s">
        <v>726</v>
      </c>
      <c r="C26" s="1068">
        <v>250</v>
      </c>
      <c r="D26" s="2008" t="s">
        <v>727</v>
      </c>
      <c r="E26" s="2008"/>
      <c r="F26" s="2065">
        <v>0</v>
      </c>
      <c r="G26" s="2065">
        <f>' Enrol &amp; Rev'!G18*'FFE&amp;T'!C26</f>
        <v>1724.1379310344826</v>
      </c>
      <c r="H26" s="2065">
        <f>$C$26*(' Enrol &amp; Rev'!H18-' Enrol &amp; Rev'!G18)</f>
        <v>1847.290640394089</v>
      </c>
      <c r="I26" s="2065">
        <f>$C$26*(' Enrol &amp; Rev'!I18-' Enrol &amp; Rev'!H18)</f>
        <v>1691.7293233082708</v>
      </c>
      <c r="J26" s="2065">
        <f>$C$26*(' Enrol &amp; Rev'!J18-' Enrol &amp; Rev'!I18)</f>
        <v>986.84210526315746</v>
      </c>
      <c r="K26" s="2065">
        <f>$C$26*(' Enrol &amp; Rev'!K18-' Enrol &amp; Rev'!J18)</f>
        <v>1102.9411764705878</v>
      </c>
      <c r="L26" s="2065">
        <v>0</v>
      </c>
      <c r="M26" s="49"/>
      <c r="N26" s="462" t="s">
        <v>1537</v>
      </c>
    </row>
    <row r="27" spans="1:14">
      <c r="A27" s="467">
        <f>ROW()</f>
        <v>27</v>
      </c>
      <c r="B27" s="43" t="s">
        <v>728</v>
      </c>
      <c r="C27" s="1068">
        <v>25</v>
      </c>
      <c r="D27" s="2008" t="s">
        <v>282</v>
      </c>
      <c r="E27" s="2008"/>
      <c r="F27" s="2065">
        <v>0</v>
      </c>
      <c r="G27" s="2065">
        <f t="shared" ref="G27:L31" si="2">$C27*G$11</f>
        <v>5000</v>
      </c>
      <c r="H27" s="2065">
        <f t="shared" si="2"/>
        <v>7500</v>
      </c>
      <c r="I27" s="2065">
        <f t="shared" si="2"/>
        <v>10000</v>
      </c>
      <c r="J27" s="2065">
        <f t="shared" si="2"/>
        <v>11250</v>
      </c>
      <c r="K27" s="2065">
        <f t="shared" si="2"/>
        <v>12500</v>
      </c>
      <c r="L27" s="2065">
        <f t="shared" si="2"/>
        <v>13750</v>
      </c>
      <c r="M27" s="49"/>
      <c r="N27" s="462" t="s">
        <v>1538</v>
      </c>
    </row>
    <row r="28" spans="1:14">
      <c r="A28" s="467">
        <f>ROW()</f>
        <v>28</v>
      </c>
      <c r="B28" s="43" t="s">
        <v>729</v>
      </c>
      <c r="C28" s="1068">
        <v>0</v>
      </c>
      <c r="D28" s="2008" t="s">
        <v>282</v>
      </c>
      <c r="E28" s="2008"/>
      <c r="F28" s="2065">
        <v>0</v>
      </c>
      <c r="G28" s="2065">
        <f t="shared" si="2"/>
        <v>0</v>
      </c>
      <c r="H28" s="2065">
        <f t="shared" si="2"/>
        <v>0</v>
      </c>
      <c r="I28" s="2065">
        <f t="shared" si="2"/>
        <v>0</v>
      </c>
      <c r="J28" s="2065">
        <f t="shared" si="2"/>
        <v>0</v>
      </c>
      <c r="K28" s="2065">
        <f t="shared" si="2"/>
        <v>0</v>
      </c>
      <c r="L28" s="2065">
        <f t="shared" si="2"/>
        <v>0</v>
      </c>
      <c r="M28" s="49"/>
      <c r="N28" s="462" t="s">
        <v>1519</v>
      </c>
    </row>
    <row r="29" spans="1:14">
      <c r="A29" s="467">
        <f>ROW()</f>
        <v>29</v>
      </c>
      <c r="B29" s="43" t="s">
        <v>730</v>
      </c>
      <c r="C29" s="1068">
        <v>15</v>
      </c>
      <c r="D29" s="2008" t="s">
        <v>282</v>
      </c>
      <c r="E29" s="2008"/>
      <c r="F29" s="2065">
        <v>0</v>
      </c>
      <c r="G29" s="2065">
        <f t="shared" si="2"/>
        <v>3000</v>
      </c>
      <c r="H29" s="2065">
        <f t="shared" si="2"/>
        <v>4500</v>
      </c>
      <c r="I29" s="2065">
        <f t="shared" si="2"/>
        <v>6000</v>
      </c>
      <c r="J29" s="2065">
        <f t="shared" si="2"/>
        <v>6750</v>
      </c>
      <c r="K29" s="2065">
        <f t="shared" si="2"/>
        <v>7500</v>
      </c>
      <c r="L29" s="2065">
        <f t="shared" si="2"/>
        <v>8250</v>
      </c>
      <c r="M29" s="49"/>
      <c r="N29" s="462" t="s">
        <v>1505</v>
      </c>
    </row>
    <row r="30" spans="1:14">
      <c r="A30" s="467">
        <f>ROW()</f>
        <v>30</v>
      </c>
      <c r="B30" s="43" t="s">
        <v>731</v>
      </c>
      <c r="C30" s="1068">
        <v>0</v>
      </c>
      <c r="D30" s="2008" t="s">
        <v>282</v>
      </c>
      <c r="E30" s="2008"/>
      <c r="F30" s="2065">
        <v>0</v>
      </c>
      <c r="G30" s="2065">
        <f t="shared" si="2"/>
        <v>0</v>
      </c>
      <c r="H30" s="2065">
        <f t="shared" si="2"/>
        <v>0</v>
      </c>
      <c r="I30" s="2065">
        <f t="shared" si="2"/>
        <v>0</v>
      </c>
      <c r="J30" s="2065">
        <f t="shared" si="2"/>
        <v>0</v>
      </c>
      <c r="K30" s="2065">
        <f t="shared" si="2"/>
        <v>0</v>
      </c>
      <c r="L30" s="2065">
        <f t="shared" si="2"/>
        <v>0</v>
      </c>
      <c r="M30" s="49"/>
      <c r="N30" s="462"/>
    </row>
    <row r="31" spans="1:14">
      <c r="A31" s="467">
        <f>ROW()</f>
        <v>31</v>
      </c>
      <c r="B31" s="43" t="s">
        <v>732</v>
      </c>
      <c r="C31" s="1068">
        <v>25</v>
      </c>
      <c r="D31" s="2008" t="s">
        <v>282</v>
      </c>
      <c r="E31" s="2008"/>
      <c r="F31" s="2065">
        <v>0</v>
      </c>
      <c r="G31" s="2065">
        <f t="shared" si="2"/>
        <v>5000</v>
      </c>
      <c r="H31" s="2065">
        <f t="shared" si="2"/>
        <v>7500</v>
      </c>
      <c r="I31" s="2065">
        <f t="shared" si="2"/>
        <v>10000</v>
      </c>
      <c r="J31" s="2065">
        <f t="shared" si="2"/>
        <v>11250</v>
      </c>
      <c r="K31" s="2065">
        <f t="shared" si="2"/>
        <v>12500</v>
      </c>
      <c r="L31" s="2065">
        <f t="shared" si="2"/>
        <v>13750</v>
      </c>
      <c r="M31" s="49"/>
      <c r="N31" s="462" t="s">
        <v>1507</v>
      </c>
    </row>
    <row r="32" spans="1:14">
      <c r="A32" s="467">
        <f>ROW()</f>
        <v>32</v>
      </c>
      <c r="B32" s="43" t="s">
        <v>733</v>
      </c>
      <c r="C32" s="1068">
        <v>500</v>
      </c>
      <c r="D32" s="1957" t="s">
        <v>563</v>
      </c>
      <c r="E32" s="1957"/>
      <c r="F32" s="2065">
        <v>0</v>
      </c>
      <c r="G32" s="2065">
        <f t="shared" ref="G32" si="3">$C$32*12</f>
        <v>6000</v>
      </c>
      <c r="H32" s="2065">
        <f>1000*12</f>
        <v>12000</v>
      </c>
      <c r="I32" s="2065">
        <f t="shared" ref="I32:L32" si="4">+H32*1.1</f>
        <v>13200.000000000002</v>
      </c>
      <c r="J32" s="2065">
        <f t="shared" si="4"/>
        <v>14520.000000000004</v>
      </c>
      <c r="K32" s="2065">
        <f t="shared" si="4"/>
        <v>15972.000000000005</v>
      </c>
      <c r="L32" s="2065">
        <f t="shared" si="4"/>
        <v>17569.200000000008</v>
      </c>
      <c r="M32" s="49"/>
      <c r="N32" s="462" t="s">
        <v>1524</v>
      </c>
    </row>
    <row r="33" spans="1:14">
      <c r="A33" s="467">
        <f>ROW()</f>
        <v>33</v>
      </c>
      <c r="B33" s="43" t="s">
        <v>734</v>
      </c>
      <c r="C33" s="1068">
        <v>800</v>
      </c>
      <c r="D33" s="1957" t="s">
        <v>563</v>
      </c>
      <c r="E33" s="1957"/>
      <c r="F33" s="2065">
        <v>0</v>
      </c>
      <c r="G33" s="2065">
        <f t="shared" ref="G33" si="5">$C$33*12</f>
        <v>9600</v>
      </c>
      <c r="H33" s="2065">
        <f>+G33*1.1</f>
        <v>10560</v>
      </c>
      <c r="I33" s="2065">
        <f t="shared" ref="I33:L33" si="6">+H33*1.1</f>
        <v>11616.000000000002</v>
      </c>
      <c r="J33" s="2065">
        <f t="shared" si="6"/>
        <v>12777.600000000002</v>
      </c>
      <c r="K33" s="2065">
        <f t="shared" si="6"/>
        <v>14055.360000000004</v>
      </c>
      <c r="L33" s="2065">
        <f t="shared" si="6"/>
        <v>15460.896000000006</v>
      </c>
      <c r="M33" s="49"/>
      <c r="N33" s="462" t="s">
        <v>1524</v>
      </c>
    </row>
    <row r="34" spans="1:14" ht="27.6">
      <c r="A34" s="467">
        <f>ROW()</f>
        <v>34</v>
      </c>
      <c r="B34" s="549" t="s">
        <v>735</v>
      </c>
      <c r="C34" s="666"/>
      <c r="D34" s="1957"/>
      <c r="E34" s="1957"/>
      <c r="F34" s="2065">
        <v>0</v>
      </c>
      <c r="G34" s="2065">
        <v>0</v>
      </c>
      <c r="H34" s="2065">
        <v>0</v>
      </c>
      <c r="I34" s="2065">
        <v>0</v>
      </c>
      <c r="J34" s="2065">
        <v>0</v>
      </c>
      <c r="K34" s="2065">
        <v>0</v>
      </c>
      <c r="L34" s="2065">
        <v>0</v>
      </c>
      <c r="M34" s="49"/>
      <c r="N34" s="462"/>
    </row>
    <row r="35" spans="1:14">
      <c r="A35" s="467">
        <f>ROW()</f>
        <v>35</v>
      </c>
      <c r="B35" s="43" t="s">
        <v>736</v>
      </c>
      <c r="C35" s="1068">
        <v>0</v>
      </c>
      <c r="D35" s="1957" t="s">
        <v>737</v>
      </c>
      <c r="E35" s="1957"/>
      <c r="F35" s="2065">
        <v>0</v>
      </c>
      <c r="G35" s="2065">
        <v>0</v>
      </c>
      <c r="H35" s="2065">
        <v>0</v>
      </c>
      <c r="I35" s="2065">
        <v>0</v>
      </c>
      <c r="J35" s="2065">
        <v>0</v>
      </c>
      <c r="K35" s="2065">
        <v>0</v>
      </c>
      <c r="L35" s="2065">
        <v>0</v>
      </c>
      <c r="M35" s="49"/>
      <c r="N35" s="462"/>
    </row>
    <row r="36" spans="1:14">
      <c r="A36" s="467">
        <f>ROW()</f>
        <v>36</v>
      </c>
      <c r="B36" s="43" t="s">
        <v>738</v>
      </c>
      <c r="C36" s="1068">
        <v>0</v>
      </c>
      <c r="D36" s="1957" t="s">
        <v>563</v>
      </c>
      <c r="E36" s="1957"/>
      <c r="F36" s="2065">
        <v>0</v>
      </c>
      <c r="G36" s="2065">
        <f t="shared" ref="G36:L36" si="7">$C$36*12</f>
        <v>0</v>
      </c>
      <c r="H36" s="2065">
        <f t="shared" si="7"/>
        <v>0</v>
      </c>
      <c r="I36" s="2065">
        <f t="shared" si="7"/>
        <v>0</v>
      </c>
      <c r="J36" s="2065">
        <f t="shared" si="7"/>
        <v>0</v>
      </c>
      <c r="K36" s="2065">
        <f t="shared" si="7"/>
        <v>0</v>
      </c>
      <c r="L36" s="2065">
        <f t="shared" si="7"/>
        <v>0</v>
      </c>
      <c r="M36" s="49"/>
      <c r="N36" s="462"/>
    </row>
    <row r="37" spans="1:14">
      <c r="A37" s="467">
        <f>ROW()</f>
        <v>37</v>
      </c>
      <c r="B37" s="43" t="s">
        <v>739</v>
      </c>
      <c r="C37" s="1068">
        <v>0</v>
      </c>
      <c r="D37" s="1957" t="s">
        <v>579</v>
      </c>
      <c r="E37" s="1957"/>
      <c r="F37" s="2065">
        <v>0</v>
      </c>
      <c r="G37" s="2065">
        <f>IF($C$37*(Staff!H23-Staff!G23)&gt;0,$C$37*(Staff!H23-Staff!G23),0)</f>
        <v>0</v>
      </c>
      <c r="H37" s="2065">
        <f>IF($C$37*(Staff!I23-Staff!H23)&gt;0,$C$37*(Staff!I23-Staff!H23),0)</f>
        <v>0</v>
      </c>
      <c r="I37" s="2065">
        <f>IF($C$37*(Staff!J23-Staff!I23)&gt;0,$C$37*(Staff!J23-Staff!I23),0)</f>
        <v>0</v>
      </c>
      <c r="J37" s="2065">
        <f>IF($C$37*(Staff!K23-Staff!J23)&gt;0,$C$37*(Staff!K23-Staff!J23),0)</f>
        <v>0</v>
      </c>
      <c r="K37" s="2065">
        <f>IF($C$37*(Staff!L23-Staff!K23)&gt;0,$C$37*(Staff!L23-Staff!K23),0)</f>
        <v>0</v>
      </c>
      <c r="L37" s="2065">
        <f>IF($C$37*(Staff!M23-Staff!L23)&gt;0,$C$37*(Staff!M23-Staff!L23),0)</f>
        <v>0</v>
      </c>
      <c r="M37" s="49"/>
      <c r="N37" s="462"/>
    </row>
    <row r="38" spans="1:14">
      <c r="A38" s="467">
        <f>ROW()</f>
        <v>38</v>
      </c>
      <c r="B38" s="43" t="s">
        <v>740</v>
      </c>
      <c r="C38" s="1068">
        <v>20</v>
      </c>
      <c r="D38" s="1957" t="s">
        <v>537</v>
      </c>
      <c r="E38" s="1957"/>
      <c r="F38" s="2065">
        <v>0</v>
      </c>
      <c r="G38" s="2065">
        <f>20*(26*2+G12)</f>
        <v>1305</v>
      </c>
      <c r="H38" s="2065">
        <f t="shared" ref="H38:L38" si="8">20*(26*2+H12)</f>
        <v>1520</v>
      </c>
      <c r="I38" s="2065">
        <f t="shared" si="8"/>
        <v>1760</v>
      </c>
      <c r="J38" s="2065">
        <f t="shared" si="8"/>
        <v>1840</v>
      </c>
      <c r="K38" s="2065">
        <f t="shared" si="8"/>
        <v>1940</v>
      </c>
      <c r="L38" s="2065">
        <f t="shared" si="8"/>
        <v>1940</v>
      </c>
      <c r="M38" s="49"/>
      <c r="N38" s="462" t="s">
        <v>1525</v>
      </c>
    </row>
    <row r="39" spans="1:14">
      <c r="A39" s="467">
        <f>ROW()</f>
        <v>39</v>
      </c>
      <c r="B39" s="43" t="s">
        <v>1384</v>
      </c>
      <c r="C39" s="1068">
        <v>200</v>
      </c>
      <c r="D39" s="1957" t="s">
        <v>579</v>
      </c>
      <c r="E39" s="1957"/>
      <c r="F39" s="2065">
        <v>0</v>
      </c>
      <c r="G39" s="2065">
        <f>IF($C$39*(Staff!H23-Staff!G23)&gt;0,$C$39*(Staff!H23-Staff!G23),0)</f>
        <v>2450</v>
      </c>
      <c r="H39" s="2065">
        <f>IF($C$39*(Staff!I23-Staff!H23)&gt;0,$C$39*(Staff!I23-Staff!H23),0)</f>
        <v>2150</v>
      </c>
      <c r="I39" s="2065">
        <f>IF($C$39*(Staff!J23-Staff!I23)&gt;0,$C$39*(Staff!J23-Staff!I23),0)</f>
        <v>2400</v>
      </c>
      <c r="J39" s="2065">
        <f>IF($C$39*(Staff!K23-Staff!J23)&gt;0,$C$39*(Staff!K23-Staff!J23),0)</f>
        <v>800</v>
      </c>
      <c r="K39" s="2065">
        <f>IF($C$39*(Staff!L23-Staff!K23)&gt;0,$C$39*(Staff!L23-Staff!K23),0)</f>
        <v>1000</v>
      </c>
      <c r="L39" s="2065">
        <f>+K39</f>
        <v>1000</v>
      </c>
      <c r="M39" s="49"/>
      <c r="N39" s="462"/>
    </row>
    <row r="40" spans="1:14">
      <c r="A40" s="467">
        <f>ROW()</f>
        <v>40</v>
      </c>
      <c r="B40" s="54" t="s">
        <v>1385</v>
      </c>
      <c r="C40" s="1068">
        <v>200</v>
      </c>
      <c r="D40" s="2008" t="s">
        <v>565</v>
      </c>
      <c r="E40" s="2008"/>
      <c r="F40" s="2065">
        <v>0</v>
      </c>
      <c r="G40" s="2065">
        <f>$C$40*' Enrol &amp; Rev'!G35</f>
        <v>40000</v>
      </c>
      <c r="H40" s="2065">
        <f>IF($C$40*(' Enrol &amp; Rev'!H35-' Enrol &amp; Rev'!G35)&gt;0,$C$40*(' Enrol &amp; Rev'!H35-' Enrol &amp; Rev'!G35),0)</f>
        <v>20000</v>
      </c>
      <c r="I40" s="2065">
        <f>IF($C$40*(' Enrol &amp; Rev'!I35-' Enrol &amp; Rev'!H35)&gt;0,$C$40*(' Enrol &amp; Rev'!I35-' Enrol &amp; Rev'!H35),0)</f>
        <v>20000</v>
      </c>
      <c r="J40" s="2065">
        <f>IF($C$40*(' Enrol &amp; Rev'!J35-' Enrol &amp; Rev'!I35)&gt;0,$C$40*(' Enrol &amp; Rev'!J35-' Enrol &amp; Rev'!I35),0)</f>
        <v>10000</v>
      </c>
      <c r="K40" s="2065">
        <f>IF($C$40*(' Enrol &amp; Rev'!K35-' Enrol &amp; Rev'!J35)&gt;0,$C$40*(' Enrol &amp; Rev'!K35-' Enrol &amp; Rev'!J35),0)</f>
        <v>10000</v>
      </c>
      <c r="L40" s="2065">
        <f>IF($C$40*(' Enrol &amp; Rev'!L35-' Enrol &amp; Rev'!K35)&gt;0,$C$40*(' Enrol &amp; Rev'!L35-' Enrol &amp; Rev'!K35),0)</f>
        <v>10000</v>
      </c>
      <c r="M40" s="49"/>
      <c r="N40" s="462"/>
    </row>
    <row r="41" spans="1:14" ht="14.4" thickBot="1">
      <c r="A41" s="467">
        <f>ROW()</f>
        <v>41</v>
      </c>
      <c r="B41" s="54"/>
      <c r="C41" s="54"/>
      <c r="D41" s="54"/>
      <c r="E41" s="54"/>
      <c r="F41" s="54"/>
      <c r="G41" s="69"/>
      <c r="H41" s="69"/>
      <c r="I41" s="69"/>
      <c r="J41" s="69"/>
      <c r="K41" s="69"/>
      <c r="L41" s="69"/>
      <c r="M41" s="49"/>
      <c r="N41" s="462"/>
    </row>
    <row r="42" spans="1:14" ht="28.2" thickBot="1">
      <c r="A42" s="467">
        <f>ROW()</f>
        <v>42</v>
      </c>
      <c r="B42" s="990" t="s">
        <v>741</v>
      </c>
      <c r="C42" s="991">
        <f>SUM(G42:L42)</f>
        <v>734288.99717647058</v>
      </c>
      <c r="D42" s="992"/>
      <c r="E42" s="992"/>
      <c r="F42" s="993">
        <f t="shared" ref="F42:L42" si="9">SUM(F15:F41)</f>
        <v>0</v>
      </c>
      <c r="G42" s="993">
        <f t="shared" si="9"/>
        <v>110966.63793103449</v>
      </c>
      <c r="H42" s="993">
        <f t="shared" si="9"/>
        <v>108439.79064039409</v>
      </c>
      <c r="I42" s="993">
        <f t="shared" si="9"/>
        <v>122467.72932330827</v>
      </c>
      <c r="J42" s="993">
        <f t="shared" si="9"/>
        <v>124674.44210526317</v>
      </c>
      <c r="K42" s="993">
        <f t="shared" si="9"/>
        <v>131920.30117647059</v>
      </c>
      <c r="L42" s="993">
        <f t="shared" si="9"/>
        <v>135820.09600000002</v>
      </c>
      <c r="M42" s="49"/>
      <c r="N42" s="462"/>
    </row>
    <row r="43" spans="1:14">
      <c r="A43" s="467">
        <f>ROW()</f>
        <v>43</v>
      </c>
      <c r="B43" s="117"/>
      <c r="N43" s="462"/>
    </row>
    <row r="44" spans="1:14" ht="14.4">
      <c r="A44" s="467">
        <f>ROW()</f>
        <v>44</v>
      </c>
      <c r="B44" s="273" t="s">
        <v>742</v>
      </c>
      <c r="N44" s="462"/>
    </row>
    <row r="45" spans="1:14">
      <c r="A45" s="467">
        <f>ROW()</f>
        <v>45</v>
      </c>
      <c r="B45" s="462"/>
      <c r="C45" s="466"/>
      <c r="D45" s="466"/>
      <c r="E45" s="466"/>
      <c r="F45" s="466"/>
      <c r="G45" s="466"/>
      <c r="H45" s="466"/>
      <c r="I45" s="466"/>
      <c r="J45" s="466"/>
      <c r="K45" s="466"/>
      <c r="L45" s="466"/>
      <c r="N45" s="462"/>
    </row>
    <row r="46" spans="1:14">
      <c r="A46" s="467">
        <f>ROW()</f>
        <v>46</v>
      </c>
      <c r="B46" s="462"/>
      <c r="C46" s="466"/>
      <c r="D46" s="466"/>
      <c r="E46" s="466"/>
      <c r="F46" s="466"/>
      <c r="G46" s="466"/>
      <c r="H46" s="466"/>
      <c r="I46" s="466"/>
      <c r="J46" s="466"/>
      <c r="K46" s="466"/>
      <c r="L46" s="466"/>
      <c r="N46" s="462"/>
    </row>
    <row r="47" spans="1:14">
      <c r="A47" s="467">
        <f>ROW()</f>
        <v>47</v>
      </c>
      <c r="B47" s="462"/>
      <c r="C47" s="466"/>
      <c r="D47" s="466"/>
      <c r="E47" s="466"/>
      <c r="F47" s="466"/>
      <c r="G47" s="466"/>
      <c r="H47" s="466"/>
      <c r="I47" s="466"/>
      <c r="J47" s="466"/>
      <c r="K47" s="466"/>
      <c r="L47" s="466"/>
      <c r="N47" s="462"/>
    </row>
    <row r="48" spans="1:14">
      <c r="A48" s="467">
        <f>ROW()</f>
        <v>48</v>
      </c>
      <c r="B48" s="462"/>
      <c r="C48" s="466"/>
      <c r="D48" s="466"/>
      <c r="E48" s="466"/>
      <c r="F48" s="466"/>
      <c r="G48" s="466"/>
      <c r="H48" s="466"/>
      <c r="I48" s="466"/>
      <c r="J48" s="466"/>
      <c r="K48" s="466"/>
      <c r="L48" s="466"/>
      <c r="N48" s="462"/>
    </row>
    <row r="49" spans="1:14">
      <c r="A49" s="467">
        <f>ROW()</f>
        <v>49</v>
      </c>
      <c r="B49" s="462"/>
      <c r="C49" s="466"/>
      <c r="D49" s="466"/>
      <c r="E49" s="466"/>
      <c r="F49" s="466"/>
      <c r="G49" s="466"/>
      <c r="H49" s="466"/>
      <c r="I49" s="466"/>
      <c r="J49" s="466"/>
      <c r="K49" s="466"/>
      <c r="L49" s="466"/>
      <c r="N49" s="462"/>
    </row>
    <row r="50" spans="1:14">
      <c r="A50" s="467">
        <f>ROW()</f>
        <v>50</v>
      </c>
      <c r="B50" s="462"/>
      <c r="C50" s="466"/>
      <c r="D50" s="466"/>
      <c r="E50" s="466"/>
      <c r="F50" s="466"/>
      <c r="G50" s="466"/>
      <c r="H50" s="466"/>
      <c r="I50" s="466"/>
      <c r="J50" s="466"/>
      <c r="K50" s="466"/>
      <c r="L50" s="466"/>
      <c r="N50" s="462"/>
    </row>
    <row r="51" spans="1:14">
      <c r="A51" s="467">
        <f>ROW()</f>
        <v>51</v>
      </c>
      <c r="B51" s="462"/>
      <c r="C51" s="466"/>
      <c r="D51" s="466"/>
      <c r="E51" s="466"/>
      <c r="F51" s="466"/>
      <c r="G51" s="466"/>
      <c r="H51" s="466"/>
      <c r="I51" s="466"/>
      <c r="J51" s="466"/>
      <c r="K51" s="466"/>
      <c r="L51" s="466"/>
      <c r="N51" s="462"/>
    </row>
    <row r="52" spans="1:14">
      <c r="A52" s="467">
        <f>ROW()</f>
        <v>52</v>
      </c>
      <c r="B52" s="462"/>
      <c r="C52" s="466"/>
      <c r="D52" s="466"/>
      <c r="E52" s="466"/>
      <c r="F52" s="466"/>
      <c r="G52" s="466"/>
      <c r="H52" s="466"/>
      <c r="I52" s="466"/>
      <c r="J52" s="466"/>
      <c r="K52" s="466"/>
      <c r="L52" s="466"/>
      <c r="N52" s="462"/>
    </row>
    <row r="53" spans="1:14">
      <c r="A53" s="467">
        <f>ROW()</f>
        <v>53</v>
      </c>
      <c r="B53" s="462"/>
      <c r="C53" s="466"/>
      <c r="D53" s="466"/>
      <c r="E53" s="466"/>
      <c r="F53" s="466"/>
      <c r="G53" s="466"/>
      <c r="H53" s="466"/>
      <c r="I53" s="466"/>
      <c r="J53" s="466"/>
      <c r="K53" s="466"/>
      <c r="L53" s="466"/>
      <c r="N53" s="462"/>
    </row>
    <row r="54" spans="1:14">
      <c r="A54" s="467">
        <f>ROW()</f>
        <v>54</v>
      </c>
      <c r="B54" s="462"/>
      <c r="C54" s="466"/>
      <c r="D54" s="466"/>
      <c r="E54" s="466"/>
      <c r="F54" s="466"/>
      <c r="G54" s="466"/>
      <c r="H54" s="466"/>
      <c r="I54" s="466"/>
      <c r="J54" s="466"/>
      <c r="K54" s="466"/>
      <c r="L54" s="466"/>
      <c r="N54" s="462"/>
    </row>
    <row r="55" spans="1:14">
      <c r="A55" s="467">
        <f>ROW()</f>
        <v>55</v>
      </c>
      <c r="N55" s="462"/>
    </row>
    <row r="56" spans="1:14">
      <c r="A56" s="467">
        <f>ROW()</f>
        <v>56</v>
      </c>
      <c r="N56" s="462"/>
    </row>
    <row r="57" spans="1:14">
      <c r="A57" s="467">
        <f>ROW()</f>
        <v>57</v>
      </c>
      <c r="C57" s="37" t="s">
        <v>1466</v>
      </c>
      <c r="F57" s="984" t="str">
        <f t="shared" ref="F57:L59" si="10">F6</f>
        <v>SY 0/Incu</v>
      </c>
      <c r="G57" s="985">
        <f t="shared" si="10"/>
        <v>1</v>
      </c>
      <c r="H57" s="985">
        <f t="shared" si="10"/>
        <v>2</v>
      </c>
      <c r="I57" s="985">
        <f t="shared" si="10"/>
        <v>3</v>
      </c>
      <c r="J57" s="985">
        <f t="shared" si="10"/>
        <v>4</v>
      </c>
      <c r="K57" s="985">
        <f t="shared" si="10"/>
        <v>5</v>
      </c>
      <c r="L57" s="986">
        <f t="shared" si="10"/>
        <v>6</v>
      </c>
      <c r="N57" s="462"/>
    </row>
    <row r="58" spans="1:14">
      <c r="A58" s="467">
        <f>ROW()</f>
        <v>58</v>
      </c>
      <c r="F58" s="987">
        <f t="shared" si="10"/>
        <v>2022</v>
      </c>
      <c r="G58" s="987">
        <f t="shared" si="10"/>
        <v>2023</v>
      </c>
      <c r="H58" s="988">
        <f t="shared" si="10"/>
        <v>2024</v>
      </c>
      <c r="I58" s="988">
        <f t="shared" si="10"/>
        <v>2025</v>
      </c>
      <c r="J58" s="988">
        <f t="shared" si="10"/>
        <v>2026</v>
      </c>
      <c r="K58" s="988">
        <f t="shared" si="10"/>
        <v>2027</v>
      </c>
      <c r="L58" s="989">
        <f t="shared" si="10"/>
        <v>2028</v>
      </c>
      <c r="N58" s="462"/>
    </row>
    <row r="59" spans="1:14">
      <c r="A59" s="467">
        <f>ROW()</f>
        <v>59</v>
      </c>
      <c r="D59" s="43" t="s">
        <v>123</v>
      </c>
      <c r="F59" s="981">
        <f t="shared" si="10"/>
        <v>2023</v>
      </c>
      <c r="G59" s="981">
        <f t="shared" si="10"/>
        <v>2024</v>
      </c>
      <c r="H59" s="982">
        <f t="shared" si="10"/>
        <v>2025</v>
      </c>
      <c r="I59" s="982">
        <f t="shared" si="10"/>
        <v>2026</v>
      </c>
      <c r="J59" s="982">
        <f t="shared" si="10"/>
        <v>2027</v>
      </c>
      <c r="K59" s="982">
        <f t="shared" si="10"/>
        <v>2028</v>
      </c>
      <c r="L59" s="983">
        <f t="shared" si="10"/>
        <v>2029</v>
      </c>
      <c r="N59" s="462"/>
    </row>
    <row r="60" spans="1:14">
      <c r="A60" s="467">
        <f>ROW()</f>
        <v>60</v>
      </c>
      <c r="C60" s="75" t="s">
        <v>743</v>
      </c>
      <c r="D60" s="546">
        <f>Levers!B9</f>
        <v>2400</v>
      </c>
      <c r="E60" s="546"/>
      <c r="F60" s="546"/>
      <c r="G60" s="547">
        <f>Levers!D9</f>
        <v>200</v>
      </c>
      <c r="H60" s="547">
        <f>Levers!E9</f>
        <v>300</v>
      </c>
      <c r="I60" s="547">
        <f>Levers!F9</f>
        <v>400</v>
      </c>
      <c r="J60" s="547">
        <f>Levers!G9</f>
        <v>450</v>
      </c>
      <c r="K60" s="547">
        <f>Levers!H9</f>
        <v>500</v>
      </c>
      <c r="L60" s="547">
        <f>Levers!I9</f>
        <v>550</v>
      </c>
      <c r="N60" s="462"/>
    </row>
    <row r="61" spans="1:14">
      <c r="A61" s="467">
        <f>ROW()</f>
        <v>61</v>
      </c>
      <c r="C61" s="75" t="s">
        <v>406</v>
      </c>
      <c r="D61" s="658">
        <f>Levers!B10</f>
        <v>24771327.680398501</v>
      </c>
      <c r="E61" s="658"/>
      <c r="F61" s="658">
        <f>Levers!C10</f>
        <v>397500</v>
      </c>
      <c r="G61" s="659">
        <f>Levers!D10</f>
        <v>1748937.5</v>
      </c>
      <c r="H61" s="659">
        <f>Levers!E10</f>
        <v>2985042.728962</v>
      </c>
      <c r="I61" s="659">
        <f>Levers!F10</f>
        <v>4043933.2184430007</v>
      </c>
      <c r="J61" s="659">
        <f>Levers!G10</f>
        <v>4669192.8329240009</v>
      </c>
      <c r="K61" s="659">
        <f>Levers!H10</f>
        <v>5198638.0776644992</v>
      </c>
      <c r="L61" s="659">
        <f>Levers!I10</f>
        <v>5728083.3224050002</v>
      </c>
      <c r="N61" s="462"/>
    </row>
    <row r="62" spans="1:14">
      <c r="A62" s="467">
        <f>ROW()</f>
        <v>62</v>
      </c>
      <c r="C62" s="75" t="s">
        <v>744</v>
      </c>
      <c r="D62" s="658">
        <f>Levers!B11</f>
        <v>10321.386533499375</v>
      </c>
      <c r="E62" s="658"/>
      <c r="F62" s="660"/>
      <c r="G62" s="661">
        <f>Levers!D11</f>
        <v>8744.6875</v>
      </c>
      <c r="H62" s="661">
        <f>Levers!E11</f>
        <v>9950.1424298733327</v>
      </c>
      <c r="I62" s="661">
        <f>Levers!F11</f>
        <v>10109.833046107502</v>
      </c>
      <c r="J62" s="661">
        <f>Levers!G11</f>
        <v>10375.984073164447</v>
      </c>
      <c r="K62" s="661">
        <f>Levers!H11</f>
        <v>10397.276155328998</v>
      </c>
      <c r="L62" s="661">
        <f>Levers!I11</f>
        <v>10414.696949827274</v>
      </c>
      <c r="N62" s="462"/>
    </row>
    <row r="63" spans="1:14">
      <c r="A63" s="467">
        <f>ROW()</f>
        <v>63</v>
      </c>
      <c r="C63" s="75" t="s">
        <v>745</v>
      </c>
      <c r="D63" s="658">
        <f>Levers!B24</f>
        <v>734288.99717647058</v>
      </c>
      <c r="E63" s="658"/>
      <c r="F63" s="660">
        <f>Levers!C24</f>
        <v>0</v>
      </c>
      <c r="G63" s="661">
        <f>Levers!D24</f>
        <v>110966.63793103449</v>
      </c>
      <c r="H63" s="661">
        <f>Levers!E24</f>
        <v>108439.79064039409</v>
      </c>
      <c r="I63" s="661">
        <f>Levers!F24</f>
        <v>122467.72932330827</v>
      </c>
      <c r="J63" s="661">
        <f>Levers!G24</f>
        <v>124674.44210526317</v>
      </c>
      <c r="K63" s="661">
        <f>Levers!H24</f>
        <v>131920.30117647059</v>
      </c>
      <c r="L63" s="661">
        <f>Levers!I24</f>
        <v>135820.09600000002</v>
      </c>
      <c r="N63" s="462"/>
    </row>
    <row r="64" spans="1:14">
      <c r="A64" s="467">
        <f>ROW()</f>
        <v>64</v>
      </c>
      <c r="C64" s="75" t="s">
        <v>746</v>
      </c>
      <c r="D64" s="658">
        <f>Levers!B25</f>
        <v>305.95374882352939</v>
      </c>
      <c r="E64" s="658"/>
      <c r="F64" s="660"/>
      <c r="G64" s="661">
        <f>Levers!D25</f>
        <v>554.83318965517242</v>
      </c>
      <c r="H64" s="661">
        <f>Levers!E25</f>
        <v>361.46596880131364</v>
      </c>
      <c r="I64" s="661">
        <f>Levers!F25</f>
        <v>306.16932330827069</v>
      </c>
      <c r="J64" s="661">
        <f>Levers!G25</f>
        <v>277.05431578947372</v>
      </c>
      <c r="K64" s="661">
        <f>Levers!H25</f>
        <v>263.84060235294118</v>
      </c>
      <c r="L64" s="661">
        <f>Levers!I25</f>
        <v>246.94562909090914</v>
      </c>
      <c r="N64" s="462"/>
    </row>
    <row r="65" spans="1:14" ht="29.25" customHeight="1">
      <c r="A65" s="467">
        <f>ROW()</f>
        <v>65</v>
      </c>
      <c r="C65" s="169" t="s">
        <v>747</v>
      </c>
      <c r="D65" s="658">
        <f>Levers!B26</f>
        <v>24037038.683222029</v>
      </c>
      <c r="E65" s="658"/>
      <c r="F65" s="660">
        <f>Levers!C26</f>
        <v>397500</v>
      </c>
      <c r="G65" s="661">
        <f>Levers!D26</f>
        <v>1637970.8620689656</v>
      </c>
      <c r="H65" s="661">
        <f>Levers!E26</f>
        <v>2876602.9383216058</v>
      </c>
      <c r="I65" s="661">
        <f>Levers!F26</f>
        <v>3921465.4891196922</v>
      </c>
      <c r="J65" s="661">
        <f>Levers!G26</f>
        <v>4544518.3908187374</v>
      </c>
      <c r="K65" s="661">
        <f>Levers!H26</f>
        <v>5066717.7764880285</v>
      </c>
      <c r="L65" s="661">
        <f>Levers!I26</f>
        <v>5592263.2264050003</v>
      </c>
      <c r="N65" s="462"/>
    </row>
    <row r="66" spans="1:14" ht="29.25" customHeight="1">
      <c r="A66" s="467">
        <f>ROW()</f>
        <v>66</v>
      </c>
      <c r="C66" s="169" t="s">
        <v>748</v>
      </c>
      <c r="D66" s="658">
        <f>Levers!B27</f>
        <v>10015.432784675846</v>
      </c>
      <c r="E66" s="658"/>
      <c r="F66" s="660"/>
      <c r="G66" s="661">
        <f>Levers!D27</f>
        <v>8189.8543103448283</v>
      </c>
      <c r="H66" s="661">
        <f>Levers!E27</f>
        <v>9588.6764610720202</v>
      </c>
      <c r="I66" s="661">
        <f>Levers!F27</f>
        <v>9803.6637227992305</v>
      </c>
      <c r="J66" s="661">
        <f>Levers!G27</f>
        <v>10098.929757374972</v>
      </c>
      <c r="K66" s="661">
        <f>Levers!H27</f>
        <v>10133.435552976058</v>
      </c>
      <c r="L66" s="661">
        <f>Levers!I27</f>
        <v>10167.751320736365</v>
      </c>
      <c r="N66" s="462"/>
    </row>
    <row r="67" spans="1:14">
      <c r="A67" s="467">
        <f>ROW()</f>
        <v>67</v>
      </c>
      <c r="C67" s="75" t="s">
        <v>416</v>
      </c>
      <c r="D67" s="658">
        <f>Levers!B38</f>
        <v>2938641.0999814454</v>
      </c>
      <c r="E67" s="171"/>
      <c r="F67" s="660">
        <f>Levers!C38</f>
        <v>25000.400000000023</v>
      </c>
      <c r="G67" s="661">
        <f>Levers!D38</f>
        <v>26558.457068965479</v>
      </c>
      <c r="H67" s="661">
        <f>Levers!E38</f>
        <v>471641.62507160596</v>
      </c>
      <c r="I67" s="661">
        <f>Levers!F38</f>
        <v>582735.62196199258</v>
      </c>
      <c r="J67" s="661">
        <f>Levers!G38</f>
        <v>434487.22523108096</v>
      </c>
      <c r="K67" s="661">
        <f>Levers!H38</f>
        <v>497296.79179460974</v>
      </c>
      <c r="L67" s="661">
        <f>Levers!I38</f>
        <v>900920.97885319078</v>
      </c>
      <c r="N67" s="462"/>
    </row>
    <row r="68" spans="1:14" ht="30.75" customHeight="1">
      <c r="A68" s="467">
        <f>ROW()</f>
        <v>68</v>
      </c>
      <c r="C68" s="169" t="s">
        <v>417</v>
      </c>
      <c r="D68" s="658">
        <f>Levers!B39</f>
        <v>1224.4337916589357</v>
      </c>
      <c r="E68" s="171"/>
      <c r="F68" s="660">
        <f>Levers!C39</f>
        <v>0</v>
      </c>
      <c r="G68" s="661">
        <f>Levers!D39</f>
        <v>132.79228534482741</v>
      </c>
      <c r="H68" s="661">
        <f>Levers!E39</f>
        <v>1572.1387502386865</v>
      </c>
      <c r="I68" s="661">
        <f>Levers!F39</f>
        <v>1456.8390549049814</v>
      </c>
      <c r="J68" s="661">
        <f>Levers!G39</f>
        <v>965.52716718017996</v>
      </c>
      <c r="K68" s="661">
        <f>Levers!H39</f>
        <v>994.59358358921952</v>
      </c>
      <c r="L68" s="661">
        <f>Levers!I39</f>
        <v>1638.0381433694379</v>
      </c>
      <c r="N68" s="462"/>
    </row>
  </sheetData>
  <sheetProtection algorithmName="SHA-512" hashValue="cOlWDzt/MyFL9JDNcetXwhYKATnq31f+iE9ddk8Ocot/Fns/DiAzog13oZszbUewbodLInTZrKWOEPOPgDf0XA==" saltValue="kSDOciZRRHVcqE4iH7a/vw==" spinCount="100000" sheet="1" objects="1" scenarios="1"/>
  <mergeCells count="4">
    <mergeCell ref="F2:L2"/>
    <mergeCell ref="F3:L3"/>
    <mergeCell ref="F4:L4"/>
    <mergeCell ref="A1:B1"/>
  </mergeCells>
  <phoneticPr fontId="7" type="noConversion"/>
  <conditionalFormatting sqref="D1">
    <cfRule type="expression" dxfId="32" priority="3" stopIfTrue="1">
      <formula>MOD(ROW(),2)=0</formula>
    </cfRule>
  </conditionalFormatting>
  <conditionalFormatting sqref="O1:Z1">
    <cfRule type="cellIs" dxfId="31" priority="2" stopIfTrue="1" operator="equal">
      <formula>0</formula>
    </cfRule>
  </conditionalFormatting>
  <hyperlinks>
    <hyperlink ref="D1" location="HypLink1" display="HypLink1" xr:uid="{FE5E3821-D6F5-4A01-A4E3-53BCFCDA4265}"/>
  </hyperlinks>
  <pageMargins left="0.25" right="0.25" top="0.5" bottom="0.44999999999999996" header="0.25" footer="0.25"/>
  <pageSetup scale="65" fitToHeight="3" orientation="landscape" r:id="rId1"/>
  <headerFooter>
    <oddHeader xml:space="preserve">&amp;L &amp;C &amp;R </oddHeader>
    <oddFooter>&amp;L&amp;7&amp;D  at &amp;T Mike 702.486.8879&amp;C&amp;7&amp;F  &amp;A&amp;R&amp;7Page &amp;P of &amp;N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FAF7E-A647-4F3D-8696-C5678D6C7F58}">
  <sheetPr codeName="Sheet14">
    <tabColor rgb="FFFFFF00"/>
  </sheetPr>
  <dimension ref="A1:AM99"/>
  <sheetViews>
    <sheetView topLeftCell="A25" workbookViewId="0">
      <selection activeCell="D49" sqref="D49"/>
    </sheetView>
  </sheetViews>
  <sheetFormatPr defaultColWidth="8.77734375" defaultRowHeight="13.8"/>
  <cols>
    <col min="1" max="1" width="5.44140625" style="40" customWidth="1"/>
    <col min="2" max="2" width="57.44140625" style="40" customWidth="1"/>
    <col min="3" max="3" width="12.21875" style="40" customWidth="1"/>
    <col min="4" max="4" width="8.77734375" style="43" customWidth="1"/>
    <col min="5" max="5" width="11.21875" style="43" customWidth="1"/>
    <col min="6" max="6" width="12.77734375" style="43" customWidth="1"/>
    <col min="7" max="7" width="12.77734375" style="40" bestFit="1" customWidth="1"/>
    <col min="8" max="8" width="12.44140625" style="40" bestFit="1" customWidth="1"/>
    <col min="9" max="12" width="12.77734375" style="40" bestFit="1" customWidth="1"/>
    <col min="13" max="13" width="4.77734375" style="40" customWidth="1"/>
    <col min="14" max="14" width="56.77734375" style="416" customWidth="1"/>
    <col min="15" max="16384" width="8.77734375" style="40"/>
  </cols>
  <sheetData>
    <row r="1" spans="1:39" ht="15.6">
      <c r="A1" s="173" t="s">
        <v>749</v>
      </c>
      <c r="B1" s="174"/>
      <c r="C1" s="558" t="s">
        <v>2</v>
      </c>
      <c r="D1" s="273" t="s">
        <v>750</v>
      </c>
      <c r="K1" s="44"/>
      <c r="Y1" s="8" cm="1">
        <f t="array" aca="1" ref="Y1" ca="1">CELL("protect",A1)</f>
        <v>1</v>
      </c>
      <c r="Z1" s="8" cm="1">
        <f t="array" aca="1" ref="Z1" ca="1">CELL("protect",B1)</f>
        <v>1</v>
      </c>
      <c r="AA1" s="8" cm="1">
        <f t="array" aca="1" ref="AA1" ca="1">CELL("protect",C1)</f>
        <v>1</v>
      </c>
      <c r="AB1" s="8" cm="1">
        <f t="array" aca="1" ref="AB1" ca="1">CELL("protect",D1)</f>
        <v>1</v>
      </c>
      <c r="AC1" s="8" cm="1">
        <f t="array" aca="1" ref="AC1" ca="1">CELL("protect",E1)</f>
        <v>1</v>
      </c>
      <c r="AD1" s="8" cm="1">
        <f t="array" aca="1" ref="AD1" ca="1">CELL("protect",F1)</f>
        <v>1</v>
      </c>
      <c r="AE1" s="8" cm="1">
        <f t="array" aca="1" ref="AE1" ca="1">CELL("protect",G1)</f>
        <v>1</v>
      </c>
      <c r="AF1" s="8" cm="1">
        <f t="array" aca="1" ref="AF1" ca="1">CELL("protect",H1)</f>
        <v>1</v>
      </c>
      <c r="AG1" s="8" cm="1">
        <f t="array" aca="1" ref="AG1" ca="1">CELL("protect",I1)</f>
        <v>1</v>
      </c>
      <c r="AH1" s="8" cm="1">
        <f t="array" aca="1" ref="AH1" ca="1">CELL("protect",J1)</f>
        <v>1</v>
      </c>
      <c r="AI1" s="8" cm="1">
        <f t="array" aca="1" ref="AI1" ca="1">CELL("protect",K1)</f>
        <v>1</v>
      </c>
      <c r="AJ1" s="8" cm="1">
        <f t="array" aca="1" ref="AJ1" ca="1">CELL("protect",L1)</f>
        <v>1</v>
      </c>
      <c r="AK1" s="8"/>
      <c r="AL1" s="8"/>
      <c r="AM1" s="8"/>
    </row>
    <row r="2" spans="1:39" ht="15.6">
      <c r="A2" s="314" t="str">
        <f>SchoolName</f>
        <v>Southern Nevada Trades High School</v>
      </c>
      <c r="B2" s="315"/>
      <c r="Y2" s="8" cm="1">
        <f t="array" aca="1" ref="Y2" ca="1">CELL("protect",A2)</f>
        <v>1</v>
      </c>
      <c r="Z2" s="8" cm="1">
        <f t="array" aca="1" ref="Z2" ca="1">CELL("protect",B2)</f>
        <v>1</v>
      </c>
      <c r="AA2" s="8" cm="1">
        <f t="array" aca="1" ref="AA2" ca="1">CELL("protect",C2)</f>
        <v>1</v>
      </c>
      <c r="AB2" s="8" cm="1">
        <f t="array" aca="1" ref="AB2" ca="1">CELL("protect",D2)</f>
        <v>1</v>
      </c>
      <c r="AC2" s="8" cm="1">
        <f t="array" aca="1" ref="AC2" ca="1">CELL("protect",E2)</f>
        <v>1</v>
      </c>
      <c r="AD2" s="8" cm="1">
        <f t="array" aca="1" ref="AD2" ca="1">CELL("protect",F2)</f>
        <v>1</v>
      </c>
      <c r="AE2" s="8" cm="1">
        <f t="array" aca="1" ref="AE2" ca="1">CELL("protect",G2)</f>
        <v>1</v>
      </c>
      <c r="AF2" s="8" cm="1">
        <f t="array" aca="1" ref="AF2" ca="1">CELL("protect",H2)</f>
        <v>1</v>
      </c>
      <c r="AG2" s="8" cm="1">
        <f t="array" aca="1" ref="AG2" ca="1">CELL("protect",I2)</f>
        <v>1</v>
      </c>
      <c r="AH2" s="8" cm="1">
        <f t="array" aca="1" ref="AH2" ca="1">CELL("protect",J2)</f>
        <v>1</v>
      </c>
      <c r="AI2" s="8" cm="1">
        <f t="array" aca="1" ref="AI2" ca="1">CELL("protect",K2)</f>
        <v>1</v>
      </c>
      <c r="AJ2" s="8" cm="1">
        <f t="array" aca="1" ref="AJ2" ca="1">CELL("protect",L2)</f>
        <v>1</v>
      </c>
      <c r="AK2" s="8"/>
      <c r="AL2" s="8"/>
      <c r="AM2" s="8"/>
    </row>
    <row r="3" spans="1:39">
      <c r="A3" s="47" t="s">
        <v>72</v>
      </c>
      <c r="Y3" s="8" cm="1">
        <f t="array" aca="1" ref="Y3" ca="1">CELL("protect",A3)</f>
        <v>1</v>
      </c>
      <c r="Z3" s="8" cm="1">
        <f t="array" aca="1" ref="Z3" ca="1">CELL("protect",B3)</f>
        <v>1</v>
      </c>
      <c r="AA3" s="8" cm="1">
        <f t="array" aca="1" ref="AA3" ca="1">CELL("protect",C3)</f>
        <v>1</v>
      </c>
      <c r="AB3" s="8" cm="1">
        <f t="array" aca="1" ref="AB3" ca="1">CELL("protect",D3)</f>
        <v>1</v>
      </c>
      <c r="AC3" s="8" cm="1">
        <f t="array" aca="1" ref="AC3" ca="1">CELL("protect",E3)</f>
        <v>1</v>
      </c>
      <c r="AD3" s="8" cm="1">
        <f t="array" aca="1" ref="AD3" ca="1">CELL("protect",F3)</f>
        <v>1</v>
      </c>
      <c r="AE3" s="8" cm="1">
        <f t="array" aca="1" ref="AE3" ca="1">CELL("protect",G3)</f>
        <v>1</v>
      </c>
      <c r="AF3" s="8" cm="1">
        <f t="array" aca="1" ref="AF3" ca="1">CELL("protect",H3)</f>
        <v>1</v>
      </c>
      <c r="AG3" s="8" cm="1">
        <f t="array" aca="1" ref="AG3" ca="1">CELL("protect",I3)</f>
        <v>1</v>
      </c>
      <c r="AH3" s="8" cm="1">
        <f t="array" aca="1" ref="AH3" ca="1">CELL("protect",J3)</f>
        <v>1</v>
      </c>
      <c r="AI3" s="8" cm="1">
        <f t="array" aca="1" ref="AI3" ca="1">CELL("protect",K3)</f>
        <v>1</v>
      </c>
      <c r="AJ3" s="8" cm="1">
        <f t="array" aca="1" ref="AJ3" ca="1">CELL("protect",L3)</f>
        <v>1</v>
      </c>
      <c r="AK3" s="8"/>
      <c r="AL3" s="8"/>
      <c r="AM3" s="8"/>
    </row>
    <row r="4" spans="1:39">
      <c r="A4" s="48" t="s">
        <v>73</v>
      </c>
      <c r="Y4" s="8" cm="1">
        <f t="array" aca="1" ref="Y4" ca="1">CELL("protect",A4)</f>
        <v>1</v>
      </c>
      <c r="Z4" s="8" cm="1">
        <f t="array" aca="1" ref="Z4" ca="1">CELL("protect",B4)</f>
        <v>1</v>
      </c>
      <c r="AA4" s="8" cm="1">
        <f t="array" aca="1" ref="AA4" ca="1">CELL("protect",C4)</f>
        <v>1</v>
      </c>
      <c r="AB4" s="8" cm="1">
        <f t="array" aca="1" ref="AB4" ca="1">CELL("protect",D4)</f>
        <v>1</v>
      </c>
      <c r="AC4" s="8" cm="1">
        <f t="array" aca="1" ref="AC4" ca="1">CELL("protect",E4)</f>
        <v>1</v>
      </c>
      <c r="AD4" s="8" cm="1">
        <f t="array" aca="1" ref="AD4" ca="1">CELL("protect",F4)</f>
        <v>1</v>
      </c>
      <c r="AE4" s="8" cm="1">
        <f t="array" aca="1" ref="AE4" ca="1">CELL("protect",G4)</f>
        <v>1</v>
      </c>
      <c r="AF4" s="8" cm="1">
        <f t="array" aca="1" ref="AF4" ca="1">CELL("protect",H4)</f>
        <v>1</v>
      </c>
      <c r="AG4" s="8" cm="1">
        <f t="array" aca="1" ref="AG4" ca="1">CELL("protect",I4)</f>
        <v>1</v>
      </c>
      <c r="AH4" s="8" cm="1">
        <f t="array" aca="1" ref="AH4" ca="1">CELL("protect",J4)</f>
        <v>1</v>
      </c>
      <c r="AI4" s="8" cm="1">
        <f t="array" aca="1" ref="AI4" ca="1">CELL("protect",K4)</f>
        <v>1</v>
      </c>
      <c r="AJ4" s="8" cm="1">
        <f t="array" aca="1" ref="AJ4" ca="1">CELL("protect",L4)</f>
        <v>1</v>
      </c>
      <c r="AK4" s="8"/>
      <c r="AL4" s="8"/>
      <c r="AM4" s="8"/>
    </row>
    <row r="5" spans="1:39">
      <c r="A5" s="36" t="str">
        <f ca="1">CELL("filename")</f>
        <v>C:\Users\jewel\Documents\SNTHS\CHARTER APP FINAL\FINAL COMPILED\[SNTHS Budget Worksheet.xlsx]Summary</v>
      </c>
      <c r="Y5" s="8" cm="1">
        <f t="array" aca="1" ref="Y5" ca="1">CELL("protect",A5)</f>
        <v>1</v>
      </c>
      <c r="Z5" s="8" cm="1">
        <f t="array" aca="1" ref="Z5" ca="1">CELL("protect",B5)</f>
        <v>1</v>
      </c>
      <c r="AA5" s="8" cm="1">
        <f t="array" aca="1" ref="AA5" ca="1">CELL("protect",C5)</f>
        <v>1</v>
      </c>
      <c r="AB5" s="8" cm="1">
        <f t="array" aca="1" ref="AB5" ca="1">CELL("protect",D5)</f>
        <v>1</v>
      </c>
      <c r="AC5" s="8" cm="1">
        <f t="array" aca="1" ref="AC5" ca="1">CELL("protect",E5)</f>
        <v>1</v>
      </c>
      <c r="AD5" s="8" cm="1">
        <f t="array" aca="1" ref="AD5" ca="1">CELL("protect",F5)</f>
        <v>1</v>
      </c>
      <c r="AE5" s="8" cm="1">
        <f t="array" aca="1" ref="AE5" ca="1">CELL("protect",G5)</f>
        <v>1</v>
      </c>
      <c r="AF5" s="8" cm="1">
        <f t="array" aca="1" ref="AF5" ca="1">CELL("protect",H5)</f>
        <v>1</v>
      </c>
      <c r="AG5" s="8" cm="1">
        <f t="array" aca="1" ref="AG5" ca="1">CELL("protect",I5)</f>
        <v>1</v>
      </c>
      <c r="AH5" s="8" cm="1">
        <f t="array" aca="1" ref="AH5" ca="1">CELL("protect",J5)</f>
        <v>1</v>
      </c>
      <c r="AI5" s="8" cm="1">
        <f t="array" aca="1" ref="AI5" ca="1">CELL("protect",K5)</f>
        <v>1</v>
      </c>
      <c r="AJ5" s="8" cm="1">
        <f t="array" aca="1" ref="AJ5" ca="1">CELL("protect",L5)</f>
        <v>1</v>
      </c>
      <c r="AK5" s="8"/>
      <c r="AL5" s="8"/>
      <c r="AM5" s="8"/>
    </row>
    <row r="6" spans="1:39" ht="14.4">
      <c r="F6" s="38" t="s">
        <v>751</v>
      </c>
      <c r="G6" s="273" t="s">
        <v>752</v>
      </c>
      <c r="Y6" s="8" cm="1">
        <f t="array" aca="1" ref="Y6" ca="1">CELL("protect",A6)</f>
        <v>1</v>
      </c>
      <c r="Z6" s="8" cm="1">
        <f t="array" aca="1" ref="Z6" ca="1">CELL("protect",B6)</f>
        <v>1</v>
      </c>
      <c r="AA6" s="8" cm="1">
        <f t="array" aca="1" ref="AA6" ca="1">CELL("protect",C6)</f>
        <v>1</v>
      </c>
      <c r="AB6" s="8" cm="1">
        <f t="array" aca="1" ref="AB6" ca="1">CELL("protect",D6)</f>
        <v>1</v>
      </c>
      <c r="AC6" s="8" cm="1">
        <f t="array" aca="1" ref="AC6" ca="1">CELL("protect",E6)</f>
        <v>1</v>
      </c>
      <c r="AD6" s="8" cm="1">
        <f t="array" aca="1" ref="AD6" ca="1">CELL("protect",F6)</f>
        <v>1</v>
      </c>
      <c r="AE6" s="8" cm="1">
        <f t="array" aca="1" ref="AE6" ca="1">CELL("protect",G6)</f>
        <v>1</v>
      </c>
      <c r="AF6" s="8" cm="1">
        <f t="array" aca="1" ref="AF6" ca="1">CELL("protect",H6)</f>
        <v>1</v>
      </c>
      <c r="AG6" s="8" cm="1">
        <f t="array" aca="1" ref="AG6" ca="1">CELL("protect",I6)</f>
        <v>1</v>
      </c>
      <c r="AH6" s="8" cm="1">
        <f t="array" aca="1" ref="AH6" ca="1">CELL("protect",J6)</f>
        <v>1</v>
      </c>
      <c r="AI6" s="8" cm="1">
        <f t="array" aca="1" ref="AI6" ca="1">CELL("protect",K6)</f>
        <v>1</v>
      </c>
      <c r="AJ6" s="8" cm="1">
        <f t="array" aca="1" ref="AJ6" ca="1">CELL("protect",L6)</f>
        <v>1</v>
      </c>
      <c r="AK6" s="8"/>
      <c r="AL6" s="8"/>
      <c r="AM6" s="8"/>
    </row>
    <row r="7" spans="1:39" ht="15.6">
      <c r="B7" s="1739" t="s">
        <v>753</v>
      </c>
      <c r="C7" s="1740" t="s">
        <v>754</v>
      </c>
      <c r="D7" s="1741" t="s">
        <v>755</v>
      </c>
      <c r="E7" s="1742" t="s">
        <v>244</v>
      </c>
      <c r="F7" s="1743">
        <v>0</v>
      </c>
      <c r="G7" s="1744">
        <v>1</v>
      </c>
      <c r="H7" s="1744">
        <f>+G7+1</f>
        <v>2</v>
      </c>
      <c r="I7" s="1744">
        <f>+H7+1</f>
        <v>3</v>
      </c>
      <c r="J7" s="1744">
        <f>+I7+1</f>
        <v>4</v>
      </c>
      <c r="K7" s="1744">
        <f>+J7+1</f>
        <v>5</v>
      </c>
      <c r="L7" s="1745">
        <f>+K7+1</f>
        <v>6</v>
      </c>
      <c r="N7" s="1936" t="s">
        <v>95</v>
      </c>
      <c r="Y7" s="8" cm="1">
        <f t="array" aca="1" ref="Y7" ca="1">CELL("protect",A7)</f>
        <v>1</v>
      </c>
      <c r="Z7" s="8" cm="1">
        <f t="array" aca="1" ref="Z7" ca="1">CELL("protect",B7)</f>
        <v>1</v>
      </c>
      <c r="AA7" s="8" cm="1">
        <f t="array" aca="1" ref="AA7" ca="1">CELL("protect",C7)</f>
        <v>1</v>
      </c>
      <c r="AB7" s="8" cm="1">
        <f t="array" aca="1" ref="AB7" ca="1">CELL("protect",D7)</f>
        <v>1</v>
      </c>
      <c r="AC7" s="8" cm="1">
        <f t="array" aca="1" ref="AC7" ca="1">CELL("protect",E7)</f>
        <v>1</v>
      </c>
      <c r="AD7" s="8" cm="1">
        <f t="array" aca="1" ref="AD7" ca="1">CELL("protect",F7)</f>
        <v>1</v>
      </c>
      <c r="AE7" s="8" cm="1">
        <f t="array" aca="1" ref="AE7" ca="1">CELL("protect",G7)</f>
        <v>1</v>
      </c>
      <c r="AF7" s="8" cm="1">
        <f t="array" aca="1" ref="AF7" ca="1">CELL("protect",H7)</f>
        <v>1</v>
      </c>
      <c r="AG7" s="8" cm="1">
        <f t="array" aca="1" ref="AG7" ca="1">CELL("protect",I7)</f>
        <v>1</v>
      </c>
      <c r="AH7" s="8" cm="1">
        <f t="array" aca="1" ref="AH7" ca="1">CELL("protect",J7)</f>
        <v>1</v>
      </c>
      <c r="AI7" s="8" cm="1">
        <f t="array" aca="1" ref="AI7" ca="1">CELL("protect",K7)</f>
        <v>1</v>
      </c>
      <c r="AJ7" s="8" cm="1">
        <f t="array" aca="1" ref="AJ7" ca="1">CELL("protect",L7)</f>
        <v>1</v>
      </c>
      <c r="AK7" s="8"/>
      <c r="AL7" s="8"/>
      <c r="AM7" s="8"/>
    </row>
    <row r="8" spans="1:39" s="37" customFormat="1" ht="15.6">
      <c r="B8" s="1746" t="s">
        <v>756</v>
      </c>
      <c r="C8" s="1747" t="s">
        <v>757</v>
      </c>
      <c r="D8" s="1741" t="s">
        <v>758</v>
      </c>
      <c r="E8" s="1748" t="s">
        <v>759</v>
      </c>
      <c r="F8" s="1749">
        <f>' Enrol &amp; Rev'!F11</f>
        <v>2023</v>
      </c>
      <c r="G8" s="1750">
        <f>' Enrol &amp; Rev'!G11</f>
        <v>2024</v>
      </c>
      <c r="H8" s="1751">
        <f>' Enrol &amp; Rev'!H11</f>
        <v>2025</v>
      </c>
      <c r="I8" s="1751">
        <f>' Enrol &amp; Rev'!I11</f>
        <v>2026</v>
      </c>
      <c r="J8" s="1751">
        <f>' Enrol &amp; Rev'!J11</f>
        <v>2027</v>
      </c>
      <c r="K8" s="1751">
        <f>' Enrol &amp; Rev'!K11</f>
        <v>2028</v>
      </c>
      <c r="L8" s="1752">
        <f>' Enrol &amp; Rev'!L11</f>
        <v>2029</v>
      </c>
      <c r="N8" s="628"/>
      <c r="Y8" s="8" cm="1">
        <f t="array" aca="1" ref="Y8" ca="1">CELL("protect",A8)</f>
        <v>1</v>
      </c>
      <c r="Z8" s="8" cm="1">
        <f t="array" aca="1" ref="Z8" ca="1">CELL("protect",B8)</f>
        <v>1</v>
      </c>
      <c r="AA8" s="8" cm="1">
        <f t="array" aca="1" ref="AA8" ca="1">CELL("protect",C8)</f>
        <v>1</v>
      </c>
      <c r="AB8" s="8" cm="1">
        <f t="array" aca="1" ref="AB8" ca="1">CELL("protect",D8)</f>
        <v>1</v>
      </c>
      <c r="AC8" s="8" cm="1">
        <f t="array" aca="1" ref="AC8" ca="1">CELL("protect",E8)</f>
        <v>1</v>
      </c>
      <c r="AD8" s="8" cm="1">
        <f t="array" aca="1" ref="AD8" ca="1">CELL("protect",F8)</f>
        <v>1</v>
      </c>
      <c r="AE8" s="8" cm="1">
        <f t="array" aca="1" ref="AE8" ca="1">CELL("protect",G8)</f>
        <v>1</v>
      </c>
      <c r="AF8" s="8" cm="1">
        <f t="array" aca="1" ref="AF8" ca="1">CELL("protect",H8)</f>
        <v>1</v>
      </c>
      <c r="AG8" s="8" cm="1">
        <f t="array" aca="1" ref="AG8" ca="1">CELL("protect",I8)</f>
        <v>1</v>
      </c>
      <c r="AH8" s="8" cm="1">
        <f t="array" aca="1" ref="AH8" ca="1">CELL("protect",J8)</f>
        <v>1</v>
      </c>
      <c r="AI8" s="8" cm="1">
        <f t="array" aca="1" ref="AI8" ca="1">CELL("protect",K8)</f>
        <v>1</v>
      </c>
      <c r="AJ8" s="8" cm="1">
        <f t="array" aca="1" ref="AJ8" ca="1">CELL("protect",L8)</f>
        <v>1</v>
      </c>
      <c r="AK8" s="8"/>
      <c r="AL8" s="8"/>
      <c r="AM8" s="8"/>
    </row>
    <row r="9" spans="1:39">
      <c r="A9" s="201"/>
      <c r="B9" s="541"/>
      <c r="C9" s="542"/>
      <c r="D9" s="542"/>
      <c r="E9" s="171"/>
      <c r="F9" s="1134"/>
      <c r="G9" s="1134"/>
      <c r="H9" s="545"/>
      <c r="I9" s="545"/>
      <c r="J9" s="545"/>
      <c r="K9" s="545"/>
      <c r="L9" s="545"/>
      <c r="N9" s="462"/>
      <c r="Y9" s="8" cm="1">
        <f t="array" aca="1" ref="Y9" ca="1">CELL("protect",A9)</f>
        <v>1</v>
      </c>
      <c r="Z9" s="8" cm="1">
        <f t="array" aca="1" ref="Z9" ca="1">CELL("protect",B9)</f>
        <v>0</v>
      </c>
      <c r="AA9" s="8" cm="1">
        <f t="array" aca="1" ref="AA9" ca="1">CELL("protect",C9)</f>
        <v>0</v>
      </c>
      <c r="AB9" s="8" cm="1">
        <f t="array" aca="1" ref="AB9" ca="1">CELL("protect",D9)</f>
        <v>0</v>
      </c>
      <c r="AC9" s="8" cm="1">
        <f t="array" aca="1" ref="AC9" ca="1">CELL("protect",E9)</f>
        <v>1</v>
      </c>
      <c r="AD9" s="8" cm="1">
        <f t="array" aca="1" ref="AD9" ca="1">CELL("protect",F9)</f>
        <v>1</v>
      </c>
      <c r="AE9" s="8" cm="1">
        <f t="array" aca="1" ref="AE9" ca="1">CELL("protect",G9)</f>
        <v>1</v>
      </c>
      <c r="AF9" s="8" cm="1">
        <f t="array" aca="1" ref="AF9" ca="1">CELL("protect",H9)</f>
        <v>1</v>
      </c>
      <c r="AG9" s="8" cm="1">
        <f t="array" aca="1" ref="AG9" ca="1">CELL("protect",I9)</f>
        <v>1</v>
      </c>
      <c r="AH9" s="8" cm="1">
        <f t="array" aca="1" ref="AH9" ca="1">CELL("protect",J9)</f>
        <v>1</v>
      </c>
      <c r="AI9" s="8" cm="1">
        <f t="array" aca="1" ref="AI9" ca="1">CELL("protect",K9)</f>
        <v>1</v>
      </c>
      <c r="AJ9" s="8" cm="1">
        <f t="array" aca="1" ref="AJ9" ca="1">CELL("protect",L9)</f>
        <v>1</v>
      </c>
      <c r="AK9" s="8"/>
      <c r="AL9" s="8"/>
      <c r="AM9" s="8"/>
    </row>
    <row r="10" spans="1:39">
      <c r="A10" s="201">
        <f>ROW()</f>
        <v>10</v>
      </c>
      <c r="B10" s="634" t="s">
        <v>760</v>
      </c>
      <c r="C10" s="635"/>
      <c r="D10" s="540"/>
      <c r="E10" s="172"/>
      <c r="F10" s="1164"/>
      <c r="G10" s="1164"/>
      <c r="H10" s="1165"/>
      <c r="I10" s="1165"/>
      <c r="J10" s="1165"/>
      <c r="K10" s="1165"/>
      <c r="L10" s="1165"/>
      <c r="N10" s="462" t="s">
        <v>761</v>
      </c>
      <c r="Y10" s="8" cm="1">
        <f t="array" aca="1" ref="Y10" ca="1">CELL("protect",A10)</f>
        <v>1</v>
      </c>
      <c r="Z10" s="8" cm="1">
        <f t="array" aca="1" ref="Z10" ca="1">CELL("protect",B10)</f>
        <v>1</v>
      </c>
      <c r="AA10" s="8" cm="1">
        <f t="array" aca="1" ref="AA10" ca="1">CELL("protect",C10)</f>
        <v>1</v>
      </c>
      <c r="AB10" s="8" cm="1">
        <f t="array" aca="1" ref="AB10" ca="1">CELL("protect",D10)</f>
        <v>0</v>
      </c>
      <c r="AC10" s="8" cm="1">
        <f t="array" aca="1" ref="AC10" ca="1">CELL("protect",E10)</f>
        <v>1</v>
      </c>
      <c r="AD10" s="8" cm="1">
        <f t="array" aca="1" ref="AD10" ca="1">CELL("protect",F10)</f>
        <v>0</v>
      </c>
      <c r="AE10" s="8" cm="1">
        <f t="array" aca="1" ref="AE10" ca="1">CELL("protect",G10)</f>
        <v>0</v>
      </c>
      <c r="AF10" s="8" cm="1">
        <f t="array" aca="1" ref="AF10" ca="1">CELL("protect",H10)</f>
        <v>0</v>
      </c>
      <c r="AG10" s="8" cm="1">
        <f t="array" aca="1" ref="AG10" ca="1">CELL("protect",I10)</f>
        <v>0</v>
      </c>
      <c r="AH10" s="8" cm="1">
        <f t="array" aca="1" ref="AH10" ca="1">CELL("protect",J10)</f>
        <v>0</v>
      </c>
      <c r="AI10" s="8" cm="1">
        <f t="array" aca="1" ref="AI10" ca="1">CELL("protect",K10)</f>
        <v>0</v>
      </c>
      <c r="AJ10" s="8" cm="1">
        <f t="array" aca="1" ref="AJ10" ca="1">CELL("protect",L10)</f>
        <v>0</v>
      </c>
      <c r="AK10" s="8"/>
      <c r="AL10" s="8"/>
      <c r="AM10" s="8"/>
    </row>
    <row r="11" spans="1:39">
      <c r="A11" s="201">
        <f>ROW()</f>
        <v>11</v>
      </c>
      <c r="B11" s="636" t="s">
        <v>762</v>
      </c>
      <c r="C11" s="710">
        <v>0</v>
      </c>
      <c r="D11" s="711">
        <v>0</v>
      </c>
      <c r="E11" s="2069">
        <f t="shared" ref="E11:E47" si="0">SUM(F11:L11)</f>
        <v>0</v>
      </c>
      <c r="F11" s="1195">
        <v>0</v>
      </c>
      <c r="G11" s="1166">
        <f t="shared" ref="G11:G46" si="1">+$D11</f>
        <v>0</v>
      </c>
      <c r="H11" s="1118">
        <f t="shared" ref="H11:L28" si="2">+$D11</f>
        <v>0</v>
      </c>
      <c r="I11" s="1118">
        <f t="shared" si="2"/>
        <v>0</v>
      </c>
      <c r="J11" s="1118">
        <f t="shared" si="2"/>
        <v>0</v>
      </c>
      <c r="K11" s="1118">
        <f t="shared" si="2"/>
        <v>0</v>
      </c>
      <c r="L11" s="1118">
        <f t="shared" si="2"/>
        <v>0</v>
      </c>
      <c r="N11" s="462"/>
      <c r="Y11" s="8" cm="1">
        <f t="array" aca="1" ref="Y11" ca="1">CELL("protect",A11)</f>
        <v>1</v>
      </c>
      <c r="Z11" s="8" cm="1">
        <f t="array" aca="1" ref="Z11" ca="1">CELL("protect",B11)</f>
        <v>1</v>
      </c>
      <c r="AA11" s="8" cm="1">
        <f t="array" aca="1" ref="AA11" ca="1">CELL("protect",C11)</f>
        <v>1</v>
      </c>
      <c r="AB11" s="8" cm="1">
        <f t="array" aca="1" ref="AB11" ca="1">CELL("protect",D11)</f>
        <v>0</v>
      </c>
      <c r="AC11" s="8" cm="1">
        <f t="array" aca="1" ref="AC11" ca="1">CELL("protect",E11)</f>
        <v>0</v>
      </c>
      <c r="AD11" s="8" cm="1">
        <f t="array" aca="1" ref="AD11" ca="1">CELL("protect",F11)</f>
        <v>0</v>
      </c>
      <c r="AE11" s="8" cm="1">
        <f t="array" aca="1" ref="AE11" ca="1">CELL("protect",G11)</f>
        <v>0</v>
      </c>
      <c r="AF11" s="8" cm="1">
        <f t="array" aca="1" ref="AF11" ca="1">CELL("protect",H11)</f>
        <v>0</v>
      </c>
      <c r="AG11" s="8" cm="1">
        <f t="array" aca="1" ref="AG11" ca="1">CELL("protect",I11)</f>
        <v>0</v>
      </c>
      <c r="AH11" s="8" cm="1">
        <f t="array" aca="1" ref="AH11" ca="1">CELL("protect",J11)</f>
        <v>0</v>
      </c>
      <c r="AI11" s="8" cm="1">
        <f t="array" aca="1" ref="AI11" ca="1">CELL("protect",K11)</f>
        <v>0</v>
      </c>
      <c r="AJ11" s="8" cm="1">
        <f t="array" aca="1" ref="AJ11" ca="1">CELL("protect",L11)</f>
        <v>0</v>
      </c>
      <c r="AK11" s="8"/>
      <c r="AL11" s="8"/>
      <c r="AM11" s="8"/>
    </row>
    <row r="12" spans="1:39" ht="41.4">
      <c r="A12" s="1169">
        <f>ROW()</f>
        <v>12</v>
      </c>
      <c r="B12" s="637" t="s">
        <v>763</v>
      </c>
      <c r="C12" s="638">
        <v>1000000</v>
      </c>
      <c r="D12" s="362">
        <v>5500</v>
      </c>
      <c r="E12" s="2068">
        <f t="shared" si="0"/>
        <v>33000</v>
      </c>
      <c r="F12" s="1196">
        <v>0</v>
      </c>
      <c r="G12" s="1135">
        <f t="shared" si="1"/>
        <v>5500</v>
      </c>
      <c r="H12" s="626">
        <f t="shared" si="2"/>
        <v>5500</v>
      </c>
      <c r="I12" s="626">
        <f t="shared" si="2"/>
        <v>5500</v>
      </c>
      <c r="J12" s="626">
        <f t="shared" si="2"/>
        <v>5500</v>
      </c>
      <c r="K12" s="626">
        <f t="shared" si="2"/>
        <v>5500</v>
      </c>
      <c r="L12" s="626">
        <f t="shared" si="2"/>
        <v>5500</v>
      </c>
      <c r="N12" s="462" t="s">
        <v>1496</v>
      </c>
      <c r="Y12" s="8" cm="1">
        <f t="array" aca="1" ref="Y12" ca="1">CELL("protect",A12)</f>
        <v>1</v>
      </c>
      <c r="Z12" s="8" cm="1">
        <f t="array" aca="1" ref="Z12" ca="1">CELL("protect",B12)</f>
        <v>1</v>
      </c>
      <c r="AA12" s="8" cm="1">
        <f t="array" aca="1" ref="AA12" ca="1">CELL("protect",C12)</f>
        <v>1</v>
      </c>
      <c r="AB12" s="8" cm="1">
        <f t="array" aca="1" ref="AB12" ca="1">CELL("protect",D12)</f>
        <v>0</v>
      </c>
      <c r="AC12" s="8" cm="1">
        <f t="array" aca="1" ref="AC12" ca="1">CELL("protect",E12)</f>
        <v>0</v>
      </c>
      <c r="AD12" s="8" cm="1">
        <f t="array" aca="1" ref="AD12" ca="1">CELL("protect",F12)</f>
        <v>0</v>
      </c>
      <c r="AE12" s="8" cm="1">
        <f t="array" aca="1" ref="AE12" ca="1">CELL("protect",G12)</f>
        <v>0</v>
      </c>
      <c r="AF12" s="8" cm="1">
        <f t="array" aca="1" ref="AF12" ca="1">CELL("protect",H12)</f>
        <v>0</v>
      </c>
      <c r="AG12" s="8" cm="1">
        <f t="array" aca="1" ref="AG12" ca="1">CELL("protect",I12)</f>
        <v>0</v>
      </c>
      <c r="AH12" s="8" cm="1">
        <f t="array" aca="1" ref="AH12" ca="1">CELL("protect",J12)</f>
        <v>0</v>
      </c>
      <c r="AI12" s="8" cm="1">
        <f t="array" aca="1" ref="AI12" ca="1">CELL("protect",K12)</f>
        <v>0</v>
      </c>
      <c r="AJ12" s="8" cm="1">
        <f t="array" aca="1" ref="AJ12" ca="1">CELL("protect",L12)</f>
        <v>0</v>
      </c>
      <c r="AK12" s="8"/>
      <c r="AL12" s="8"/>
      <c r="AM12" s="8"/>
    </row>
    <row r="13" spans="1:39">
      <c r="A13" s="201">
        <f>ROW()</f>
        <v>13</v>
      </c>
      <c r="B13" s="639" t="s">
        <v>764</v>
      </c>
      <c r="C13" s="640">
        <v>3000000</v>
      </c>
      <c r="D13" s="362">
        <v>0</v>
      </c>
      <c r="E13" s="2068">
        <f t="shared" si="0"/>
        <v>0</v>
      </c>
      <c r="F13" s="1196">
        <v>0</v>
      </c>
      <c r="G13" s="1135">
        <f t="shared" si="1"/>
        <v>0</v>
      </c>
      <c r="H13" s="626">
        <f t="shared" si="2"/>
        <v>0</v>
      </c>
      <c r="I13" s="626">
        <f t="shared" si="2"/>
        <v>0</v>
      </c>
      <c r="J13" s="626">
        <f t="shared" si="2"/>
        <v>0</v>
      </c>
      <c r="K13" s="626">
        <f t="shared" si="2"/>
        <v>0</v>
      </c>
      <c r="L13" s="626">
        <f t="shared" si="2"/>
        <v>0</v>
      </c>
      <c r="N13" s="462"/>
      <c r="Y13" s="8" cm="1">
        <f t="array" aca="1" ref="Y13" ca="1">CELL("protect",A13)</f>
        <v>1</v>
      </c>
      <c r="Z13" s="8" cm="1">
        <f t="array" aca="1" ref="Z13" ca="1">CELL("protect",B13)</f>
        <v>1</v>
      </c>
      <c r="AA13" s="8" cm="1">
        <f t="array" aca="1" ref="AA13" ca="1">CELL("protect",C13)</f>
        <v>1</v>
      </c>
      <c r="AB13" s="8" cm="1">
        <f t="array" aca="1" ref="AB13" ca="1">CELL("protect",D13)</f>
        <v>0</v>
      </c>
      <c r="AC13" s="8" cm="1">
        <f t="array" aca="1" ref="AC13" ca="1">CELL("protect",E13)</f>
        <v>0</v>
      </c>
      <c r="AD13" s="8" cm="1">
        <f t="array" aca="1" ref="AD13" ca="1">CELL("protect",F13)</f>
        <v>0</v>
      </c>
      <c r="AE13" s="8" cm="1">
        <f t="array" aca="1" ref="AE13" ca="1">CELL("protect",G13)</f>
        <v>0</v>
      </c>
      <c r="AF13" s="8" cm="1">
        <f t="array" aca="1" ref="AF13" ca="1">CELL("protect",H13)</f>
        <v>0</v>
      </c>
      <c r="AG13" s="8" cm="1">
        <f t="array" aca="1" ref="AG13" ca="1">CELL("protect",I13)</f>
        <v>0</v>
      </c>
      <c r="AH13" s="8" cm="1">
        <f t="array" aca="1" ref="AH13" ca="1">CELL("protect",J13)</f>
        <v>0</v>
      </c>
      <c r="AI13" s="8" cm="1">
        <f t="array" aca="1" ref="AI13" ca="1">CELL("protect",K13)</f>
        <v>0</v>
      </c>
      <c r="AJ13" s="8" cm="1">
        <f t="array" aca="1" ref="AJ13" ca="1">CELL("protect",L13)</f>
        <v>0</v>
      </c>
      <c r="AK13" s="8"/>
      <c r="AL13" s="8"/>
      <c r="AM13" s="8"/>
    </row>
    <row r="14" spans="1:39">
      <c r="A14" s="201">
        <f>ROW()</f>
        <v>14</v>
      </c>
      <c r="B14" s="639" t="s">
        <v>765</v>
      </c>
      <c r="C14" s="640">
        <v>1000000</v>
      </c>
      <c r="D14" s="362">
        <v>3750</v>
      </c>
      <c r="E14" s="2068">
        <f t="shared" si="0"/>
        <v>22500</v>
      </c>
      <c r="F14" s="1196">
        <v>0</v>
      </c>
      <c r="G14" s="1135">
        <f t="shared" si="1"/>
        <v>3750</v>
      </c>
      <c r="H14" s="626">
        <f t="shared" si="2"/>
        <v>3750</v>
      </c>
      <c r="I14" s="626">
        <f t="shared" si="2"/>
        <v>3750</v>
      </c>
      <c r="J14" s="626">
        <f t="shared" si="2"/>
        <v>3750</v>
      </c>
      <c r="K14" s="626">
        <f t="shared" si="2"/>
        <v>3750</v>
      </c>
      <c r="L14" s="626">
        <f t="shared" si="2"/>
        <v>3750</v>
      </c>
      <c r="N14" s="462"/>
      <c r="Y14" s="8" cm="1">
        <f t="array" aca="1" ref="Y14" ca="1">CELL("protect",A14)</f>
        <v>1</v>
      </c>
      <c r="Z14" s="8" cm="1">
        <f t="array" aca="1" ref="Z14" ca="1">CELL("protect",B14)</f>
        <v>1</v>
      </c>
      <c r="AA14" s="8" cm="1">
        <f t="array" aca="1" ref="AA14" ca="1">CELL("protect",C14)</f>
        <v>1</v>
      </c>
      <c r="AB14" s="8" cm="1">
        <f t="array" aca="1" ref="AB14" ca="1">CELL("protect",D14)</f>
        <v>0</v>
      </c>
      <c r="AC14" s="8" cm="1">
        <f t="array" aca="1" ref="AC14" ca="1">CELL("protect",E14)</f>
        <v>0</v>
      </c>
      <c r="AD14" s="8" cm="1">
        <f t="array" aca="1" ref="AD14" ca="1">CELL("protect",F14)</f>
        <v>0</v>
      </c>
      <c r="AE14" s="8" cm="1">
        <f t="array" aca="1" ref="AE14" ca="1">CELL("protect",G14)</f>
        <v>0</v>
      </c>
      <c r="AF14" s="8" cm="1">
        <f t="array" aca="1" ref="AF14" ca="1">CELL("protect",H14)</f>
        <v>0</v>
      </c>
      <c r="AG14" s="8" cm="1">
        <f t="array" aca="1" ref="AG14" ca="1">CELL("protect",I14)</f>
        <v>0</v>
      </c>
      <c r="AH14" s="8" cm="1">
        <f t="array" aca="1" ref="AH14" ca="1">CELL("protect",J14)</f>
        <v>0</v>
      </c>
      <c r="AI14" s="8" cm="1">
        <f t="array" aca="1" ref="AI14" ca="1">CELL("protect",K14)</f>
        <v>0</v>
      </c>
      <c r="AJ14" s="8" cm="1">
        <f t="array" aca="1" ref="AJ14" ca="1">CELL("protect",L14)</f>
        <v>0</v>
      </c>
      <c r="AK14" s="8"/>
      <c r="AL14" s="8"/>
      <c r="AM14" s="8"/>
    </row>
    <row r="15" spans="1:39">
      <c r="A15" s="201">
        <f>ROW()</f>
        <v>15</v>
      </c>
      <c r="B15" s="639" t="s">
        <v>766</v>
      </c>
      <c r="C15" s="640">
        <v>1000000</v>
      </c>
      <c r="D15" s="362">
        <v>0</v>
      </c>
      <c r="E15" s="2068">
        <f t="shared" si="0"/>
        <v>0</v>
      </c>
      <c r="F15" s="1196">
        <v>0</v>
      </c>
      <c r="G15" s="1135">
        <f t="shared" si="1"/>
        <v>0</v>
      </c>
      <c r="H15" s="626">
        <f t="shared" si="2"/>
        <v>0</v>
      </c>
      <c r="I15" s="626">
        <f t="shared" si="2"/>
        <v>0</v>
      </c>
      <c r="J15" s="626">
        <f t="shared" si="2"/>
        <v>0</v>
      </c>
      <c r="K15" s="626">
        <f t="shared" si="2"/>
        <v>0</v>
      </c>
      <c r="L15" s="626">
        <f t="shared" si="2"/>
        <v>0</v>
      </c>
      <c r="N15" s="462" t="s">
        <v>1553</v>
      </c>
      <c r="Y15" s="8" cm="1">
        <f t="array" aca="1" ref="Y15" ca="1">CELL("protect",A15)</f>
        <v>1</v>
      </c>
      <c r="Z15" s="8" cm="1">
        <f t="array" aca="1" ref="Z15" ca="1">CELL("protect",B15)</f>
        <v>1</v>
      </c>
      <c r="AA15" s="8" cm="1">
        <f t="array" aca="1" ref="AA15" ca="1">CELL("protect",C15)</f>
        <v>1</v>
      </c>
      <c r="AB15" s="8" cm="1">
        <f t="array" aca="1" ref="AB15" ca="1">CELL("protect",D15)</f>
        <v>0</v>
      </c>
      <c r="AC15" s="8" cm="1">
        <f t="array" aca="1" ref="AC15" ca="1">CELL("protect",E15)</f>
        <v>0</v>
      </c>
      <c r="AD15" s="8" cm="1">
        <f t="array" aca="1" ref="AD15" ca="1">CELL("protect",F15)</f>
        <v>0</v>
      </c>
      <c r="AE15" s="8" cm="1">
        <f t="array" aca="1" ref="AE15" ca="1">CELL("protect",G15)</f>
        <v>0</v>
      </c>
      <c r="AF15" s="8" cm="1">
        <f t="array" aca="1" ref="AF15" ca="1">CELL("protect",H15)</f>
        <v>0</v>
      </c>
      <c r="AG15" s="8" cm="1">
        <f t="array" aca="1" ref="AG15" ca="1">CELL("protect",I15)</f>
        <v>0</v>
      </c>
      <c r="AH15" s="8" cm="1">
        <f t="array" aca="1" ref="AH15" ca="1">CELL("protect",J15)</f>
        <v>0</v>
      </c>
      <c r="AI15" s="8" cm="1">
        <f t="array" aca="1" ref="AI15" ca="1">CELL("protect",K15)</f>
        <v>0</v>
      </c>
      <c r="AJ15" s="8" cm="1">
        <f t="array" aca="1" ref="AJ15" ca="1">CELL("protect",L15)</f>
        <v>0</v>
      </c>
      <c r="AK15" s="8"/>
      <c r="AL15" s="8"/>
      <c r="AM15" s="8"/>
    </row>
    <row r="16" spans="1:39">
      <c r="A16" s="201">
        <f>ROW()</f>
        <v>16</v>
      </c>
      <c r="B16" s="641" t="s">
        <v>767</v>
      </c>
      <c r="C16" s="640">
        <v>1000000</v>
      </c>
      <c r="D16" s="362">
        <v>350</v>
      </c>
      <c r="E16" s="2068">
        <f t="shared" si="0"/>
        <v>2100</v>
      </c>
      <c r="F16" s="1196">
        <v>0</v>
      </c>
      <c r="G16" s="1135">
        <f t="shared" si="1"/>
        <v>350</v>
      </c>
      <c r="H16" s="626">
        <f t="shared" si="2"/>
        <v>350</v>
      </c>
      <c r="I16" s="626">
        <f t="shared" si="2"/>
        <v>350</v>
      </c>
      <c r="J16" s="626">
        <f t="shared" si="2"/>
        <v>350</v>
      </c>
      <c r="K16" s="626">
        <f t="shared" si="2"/>
        <v>350</v>
      </c>
      <c r="L16" s="626">
        <f t="shared" si="2"/>
        <v>350</v>
      </c>
      <c r="N16" s="462"/>
      <c r="Y16" s="8" cm="1">
        <f t="array" aca="1" ref="Y16" ca="1">CELL("protect",A16)</f>
        <v>1</v>
      </c>
      <c r="Z16" s="8" cm="1">
        <f t="array" aca="1" ref="Z16" ca="1">CELL("protect",B16)</f>
        <v>1</v>
      </c>
      <c r="AA16" s="8" cm="1">
        <f t="array" aca="1" ref="AA16" ca="1">CELL("protect",C16)</f>
        <v>1</v>
      </c>
      <c r="AB16" s="8" cm="1">
        <f t="array" aca="1" ref="AB16" ca="1">CELL("protect",D16)</f>
        <v>0</v>
      </c>
      <c r="AC16" s="8" cm="1">
        <f t="array" aca="1" ref="AC16" ca="1">CELL("protect",E16)</f>
        <v>0</v>
      </c>
      <c r="AD16" s="8" cm="1">
        <f t="array" aca="1" ref="AD16" ca="1">CELL("protect",F16)</f>
        <v>0</v>
      </c>
      <c r="AE16" s="8" cm="1">
        <f t="array" aca="1" ref="AE16" ca="1">CELL("protect",G16)</f>
        <v>0</v>
      </c>
      <c r="AF16" s="8" cm="1">
        <f t="array" aca="1" ref="AF16" ca="1">CELL("protect",H16)</f>
        <v>0</v>
      </c>
      <c r="AG16" s="8" cm="1">
        <f t="array" aca="1" ref="AG16" ca="1">CELL("protect",I16)</f>
        <v>0</v>
      </c>
      <c r="AH16" s="8" cm="1">
        <f t="array" aca="1" ref="AH16" ca="1">CELL("protect",J16)</f>
        <v>0</v>
      </c>
      <c r="AI16" s="8" cm="1">
        <f t="array" aca="1" ref="AI16" ca="1">CELL("protect",K16)</f>
        <v>0</v>
      </c>
      <c r="AJ16" s="8" cm="1">
        <f t="array" aca="1" ref="AJ16" ca="1">CELL("protect",L16)</f>
        <v>0</v>
      </c>
      <c r="AK16" s="8"/>
      <c r="AL16" s="8"/>
      <c r="AM16" s="8"/>
    </row>
    <row r="17" spans="1:39" ht="30" customHeight="1">
      <c r="A17" s="1169">
        <f>ROW()</f>
        <v>17</v>
      </c>
      <c r="B17" s="637" t="s">
        <v>768</v>
      </c>
      <c r="C17" s="640">
        <v>1000000</v>
      </c>
      <c r="D17" s="362">
        <v>0</v>
      </c>
      <c r="E17" s="2068">
        <f t="shared" si="0"/>
        <v>0</v>
      </c>
      <c r="F17" s="1196">
        <v>0</v>
      </c>
      <c r="G17" s="1135">
        <f t="shared" si="1"/>
        <v>0</v>
      </c>
      <c r="H17" s="626">
        <f t="shared" si="2"/>
        <v>0</v>
      </c>
      <c r="I17" s="626">
        <f t="shared" si="2"/>
        <v>0</v>
      </c>
      <c r="J17" s="626">
        <f t="shared" si="2"/>
        <v>0</v>
      </c>
      <c r="K17" s="626">
        <f t="shared" si="2"/>
        <v>0</v>
      </c>
      <c r="L17" s="626">
        <f t="shared" si="2"/>
        <v>0</v>
      </c>
      <c r="N17" s="462" t="s">
        <v>1553</v>
      </c>
      <c r="Y17" s="8" cm="1">
        <f t="array" aca="1" ref="Y17" ca="1">CELL("protect",A17)</f>
        <v>1</v>
      </c>
      <c r="Z17" s="8" cm="1">
        <f t="array" aca="1" ref="Z17" ca="1">CELL("protect",B17)</f>
        <v>1</v>
      </c>
      <c r="AA17" s="8" cm="1">
        <f t="array" aca="1" ref="AA17" ca="1">CELL("protect",C17)</f>
        <v>1</v>
      </c>
      <c r="AB17" s="8" cm="1">
        <f t="array" aca="1" ref="AB17" ca="1">CELL("protect",D17)</f>
        <v>0</v>
      </c>
      <c r="AC17" s="8" cm="1">
        <f t="array" aca="1" ref="AC17" ca="1">CELL("protect",E17)</f>
        <v>0</v>
      </c>
      <c r="AD17" s="8" cm="1">
        <f t="array" aca="1" ref="AD17" ca="1">CELL("protect",F17)</f>
        <v>0</v>
      </c>
      <c r="AE17" s="8" cm="1">
        <f t="array" aca="1" ref="AE17" ca="1">CELL("protect",G17)</f>
        <v>0</v>
      </c>
      <c r="AF17" s="8" cm="1">
        <f t="array" aca="1" ref="AF17" ca="1">CELL("protect",H17)</f>
        <v>0</v>
      </c>
      <c r="AG17" s="8" cm="1">
        <f t="array" aca="1" ref="AG17" ca="1">CELL("protect",I17)</f>
        <v>0</v>
      </c>
      <c r="AH17" s="8" cm="1">
        <f t="array" aca="1" ref="AH17" ca="1">CELL("protect",J17)</f>
        <v>0</v>
      </c>
      <c r="AI17" s="8" cm="1">
        <f t="array" aca="1" ref="AI17" ca="1">CELL("protect",K17)</f>
        <v>0</v>
      </c>
      <c r="AJ17" s="8" cm="1">
        <f t="array" aca="1" ref="AJ17" ca="1">CELL("protect",L17)</f>
        <v>0</v>
      </c>
      <c r="AK17" s="8"/>
      <c r="AL17" s="8"/>
      <c r="AM17" s="8"/>
    </row>
    <row r="18" spans="1:39">
      <c r="A18" s="201">
        <f>ROW()</f>
        <v>18</v>
      </c>
      <c r="B18" s="639" t="s">
        <v>769</v>
      </c>
      <c r="C18" s="640">
        <v>1000000</v>
      </c>
      <c r="D18" s="362">
        <v>350</v>
      </c>
      <c r="E18" s="2068">
        <f t="shared" si="0"/>
        <v>2100</v>
      </c>
      <c r="F18" s="1196">
        <v>0</v>
      </c>
      <c r="G18" s="1135">
        <f t="shared" si="1"/>
        <v>350</v>
      </c>
      <c r="H18" s="626">
        <f t="shared" si="2"/>
        <v>350</v>
      </c>
      <c r="I18" s="626">
        <f t="shared" si="2"/>
        <v>350</v>
      </c>
      <c r="J18" s="626">
        <f t="shared" si="2"/>
        <v>350</v>
      </c>
      <c r="K18" s="626">
        <f t="shared" si="2"/>
        <v>350</v>
      </c>
      <c r="L18" s="626">
        <f t="shared" si="2"/>
        <v>350</v>
      </c>
      <c r="N18" s="462" t="s">
        <v>1497</v>
      </c>
      <c r="Y18" s="8" cm="1">
        <f t="array" aca="1" ref="Y18" ca="1">CELL("protect",A18)</f>
        <v>1</v>
      </c>
      <c r="Z18" s="8" cm="1">
        <f t="array" aca="1" ref="Z18" ca="1">CELL("protect",B18)</f>
        <v>1</v>
      </c>
      <c r="AA18" s="8" cm="1">
        <f t="array" aca="1" ref="AA18" ca="1">CELL("protect",C18)</f>
        <v>1</v>
      </c>
      <c r="AB18" s="8" cm="1">
        <f t="array" aca="1" ref="AB18" ca="1">CELL("protect",D18)</f>
        <v>0</v>
      </c>
      <c r="AC18" s="8" cm="1">
        <f t="array" aca="1" ref="AC18" ca="1">CELL("protect",E18)</f>
        <v>0</v>
      </c>
      <c r="AD18" s="8" cm="1">
        <f t="array" aca="1" ref="AD18" ca="1">CELL("protect",F18)</f>
        <v>0</v>
      </c>
      <c r="AE18" s="8" cm="1">
        <f t="array" aca="1" ref="AE18" ca="1">CELL("protect",G18)</f>
        <v>0</v>
      </c>
      <c r="AF18" s="8" cm="1">
        <f t="array" aca="1" ref="AF18" ca="1">CELL("protect",H18)</f>
        <v>0</v>
      </c>
      <c r="AG18" s="8" cm="1">
        <f t="array" aca="1" ref="AG18" ca="1">CELL("protect",I18)</f>
        <v>0</v>
      </c>
      <c r="AH18" s="8" cm="1">
        <f t="array" aca="1" ref="AH18" ca="1">CELL("protect",J18)</f>
        <v>0</v>
      </c>
      <c r="AI18" s="8" cm="1">
        <f t="array" aca="1" ref="AI18" ca="1">CELL("protect",K18)</f>
        <v>0</v>
      </c>
      <c r="AJ18" s="8" cm="1">
        <f t="array" aca="1" ref="AJ18" ca="1">CELL("protect",L18)</f>
        <v>0</v>
      </c>
      <c r="AK18" s="8"/>
      <c r="AL18" s="8"/>
      <c r="AM18" s="8"/>
    </row>
    <row r="19" spans="1:39">
      <c r="A19" s="201">
        <f>ROW()</f>
        <v>19</v>
      </c>
      <c r="B19" s="639" t="s">
        <v>770</v>
      </c>
      <c r="C19" s="640">
        <v>1000000</v>
      </c>
      <c r="D19" s="362">
        <v>0</v>
      </c>
      <c r="E19" s="2068">
        <f t="shared" si="0"/>
        <v>0</v>
      </c>
      <c r="F19" s="1196">
        <v>0</v>
      </c>
      <c r="G19" s="1135">
        <f t="shared" si="1"/>
        <v>0</v>
      </c>
      <c r="H19" s="626">
        <f t="shared" si="2"/>
        <v>0</v>
      </c>
      <c r="I19" s="626">
        <f t="shared" si="2"/>
        <v>0</v>
      </c>
      <c r="J19" s="626">
        <f t="shared" si="2"/>
        <v>0</v>
      </c>
      <c r="K19" s="626">
        <f t="shared" si="2"/>
        <v>0</v>
      </c>
      <c r="L19" s="626">
        <f t="shared" si="2"/>
        <v>0</v>
      </c>
      <c r="N19" s="462" t="s">
        <v>1498</v>
      </c>
      <c r="Y19" s="8" cm="1">
        <f t="array" aca="1" ref="Y19" ca="1">CELL("protect",A19)</f>
        <v>1</v>
      </c>
      <c r="Z19" s="8" cm="1">
        <f t="array" aca="1" ref="Z19" ca="1">CELL("protect",B19)</f>
        <v>1</v>
      </c>
      <c r="AA19" s="8" cm="1">
        <f t="array" aca="1" ref="AA19" ca="1">CELL("protect",C19)</f>
        <v>1</v>
      </c>
      <c r="AB19" s="8" cm="1">
        <f t="array" aca="1" ref="AB19" ca="1">CELL("protect",D19)</f>
        <v>0</v>
      </c>
      <c r="AC19" s="8" cm="1">
        <f t="array" aca="1" ref="AC19" ca="1">CELL("protect",E19)</f>
        <v>0</v>
      </c>
      <c r="AD19" s="8" cm="1">
        <f t="array" aca="1" ref="AD19" ca="1">CELL("protect",F19)</f>
        <v>0</v>
      </c>
      <c r="AE19" s="8" cm="1">
        <f t="array" aca="1" ref="AE19" ca="1">CELL("protect",G19)</f>
        <v>0</v>
      </c>
      <c r="AF19" s="8" cm="1">
        <f t="array" aca="1" ref="AF19" ca="1">CELL("protect",H19)</f>
        <v>0</v>
      </c>
      <c r="AG19" s="8" cm="1">
        <f t="array" aca="1" ref="AG19" ca="1">CELL("protect",I19)</f>
        <v>0</v>
      </c>
      <c r="AH19" s="8" cm="1">
        <f t="array" aca="1" ref="AH19" ca="1">CELL("protect",J19)</f>
        <v>0</v>
      </c>
      <c r="AI19" s="8" cm="1">
        <f t="array" aca="1" ref="AI19" ca="1">CELL("protect",K19)</f>
        <v>0</v>
      </c>
      <c r="AJ19" s="8" cm="1">
        <f t="array" aca="1" ref="AJ19" ca="1">CELL("protect",L19)</f>
        <v>0</v>
      </c>
      <c r="AK19" s="8"/>
      <c r="AL19" s="8"/>
      <c r="AM19" s="8"/>
    </row>
    <row r="20" spans="1:39">
      <c r="A20" s="201">
        <f>ROW()</f>
        <v>20</v>
      </c>
      <c r="B20" s="548"/>
      <c r="C20" s="543"/>
      <c r="D20" s="543"/>
      <c r="E20" s="2068"/>
      <c r="F20" s="1197"/>
      <c r="G20" s="1136"/>
      <c r="H20" s="713"/>
      <c r="I20" s="713"/>
      <c r="J20" s="713"/>
      <c r="K20" s="713"/>
      <c r="L20" s="713"/>
      <c r="N20" s="462"/>
      <c r="Y20" s="8" cm="1">
        <f t="array" aca="1" ref="Y20" ca="1">CELL("protect",A20)</f>
        <v>1</v>
      </c>
      <c r="Z20" s="8" cm="1">
        <f t="array" aca="1" ref="Z20" ca="1">CELL("protect",B20)</f>
        <v>0</v>
      </c>
      <c r="AA20" s="8" cm="1">
        <f t="array" aca="1" ref="AA20" ca="1">CELL("protect",C20)</f>
        <v>0</v>
      </c>
      <c r="AB20" s="8" cm="1">
        <f t="array" aca="1" ref="AB20" ca="1">CELL("protect",D20)</f>
        <v>0</v>
      </c>
      <c r="AC20" s="8" cm="1">
        <f t="array" aca="1" ref="AC20" ca="1">CELL("protect",E20)</f>
        <v>0</v>
      </c>
      <c r="AD20" s="8" cm="1">
        <f t="array" aca="1" ref="AD20" ca="1">CELL("protect",F20)</f>
        <v>0</v>
      </c>
      <c r="AE20" s="8" cm="1">
        <f t="array" aca="1" ref="AE20" ca="1">CELL("protect",G20)</f>
        <v>0</v>
      </c>
      <c r="AF20" s="8" cm="1">
        <f t="array" aca="1" ref="AF20" ca="1">CELL("protect",H20)</f>
        <v>0</v>
      </c>
      <c r="AG20" s="8" cm="1">
        <f t="array" aca="1" ref="AG20" ca="1">CELL("protect",I20)</f>
        <v>0</v>
      </c>
      <c r="AH20" s="8" cm="1">
        <f t="array" aca="1" ref="AH20" ca="1">CELL("protect",J20)</f>
        <v>0</v>
      </c>
      <c r="AI20" s="8" cm="1">
        <f t="array" aca="1" ref="AI20" ca="1">CELL("protect",K20)</f>
        <v>0</v>
      </c>
      <c r="AJ20" s="8" cm="1">
        <f t="array" aca="1" ref="AJ20" ca="1">CELL("protect",L20)</f>
        <v>0</v>
      </c>
      <c r="AK20" s="8"/>
      <c r="AL20" s="8"/>
      <c r="AM20" s="8"/>
    </row>
    <row r="21" spans="1:39">
      <c r="A21" s="201">
        <f>ROW()</f>
        <v>21</v>
      </c>
      <c r="B21" s="1193" t="s">
        <v>771</v>
      </c>
      <c r="C21" s="1192"/>
      <c r="D21" s="1192"/>
      <c r="E21" s="2070"/>
      <c r="F21" s="1198"/>
      <c r="G21" s="1160"/>
      <c r="H21" s="1161"/>
      <c r="I21" s="1161"/>
      <c r="J21" s="1161"/>
      <c r="K21" s="1161"/>
      <c r="L21" s="1161"/>
      <c r="N21" s="462"/>
      <c r="Y21" s="8"/>
      <c r="Z21" s="8"/>
      <c r="AA21" s="8"/>
      <c r="AB21" s="8"/>
      <c r="AC21" s="8"/>
      <c r="AD21" s="8"/>
      <c r="AE21" s="8"/>
      <c r="AF21" s="8"/>
      <c r="AG21" s="8"/>
      <c r="AH21" s="8"/>
      <c r="AI21" s="8"/>
      <c r="AJ21" s="8"/>
      <c r="AK21" s="8"/>
      <c r="AL21" s="8"/>
      <c r="AM21" s="8"/>
    </row>
    <row r="22" spans="1:39">
      <c r="A22" s="201">
        <f>ROW()</f>
        <v>22</v>
      </c>
      <c r="B22" s="1194" t="s">
        <v>772</v>
      </c>
      <c r="C22" s="640" t="s">
        <v>773</v>
      </c>
      <c r="D22" s="362">
        <v>0</v>
      </c>
      <c r="E22" s="2071">
        <f t="shared" ref="E22" si="3">SUM(F22:L22)</f>
        <v>0</v>
      </c>
      <c r="F22" s="1196">
        <v>0</v>
      </c>
      <c r="G22" s="1135">
        <v>0</v>
      </c>
      <c r="H22" s="626">
        <v>0</v>
      </c>
      <c r="I22" s="626">
        <v>0</v>
      </c>
      <c r="J22" s="626">
        <v>0</v>
      </c>
      <c r="K22" s="626">
        <v>0</v>
      </c>
      <c r="L22" s="626">
        <v>0</v>
      </c>
      <c r="N22" s="462"/>
      <c r="Y22" s="8"/>
      <c r="Z22" s="8"/>
      <c r="AA22" s="8"/>
      <c r="AB22" s="8"/>
      <c r="AC22" s="8"/>
      <c r="AD22" s="8"/>
      <c r="AE22" s="8"/>
      <c r="AF22" s="8"/>
      <c r="AG22" s="8"/>
      <c r="AH22" s="8"/>
      <c r="AI22" s="8"/>
      <c r="AJ22" s="8"/>
      <c r="AK22" s="8"/>
      <c r="AL22" s="8"/>
      <c r="AM22" s="8"/>
    </row>
    <row r="23" spans="1:39">
      <c r="A23" s="201">
        <f>ROW()</f>
        <v>23</v>
      </c>
      <c r="B23" s="1194" t="s">
        <v>774</v>
      </c>
      <c r="C23" s="1192"/>
      <c r="D23" s="1192"/>
      <c r="E23" s="1133"/>
      <c r="F23" s="1198"/>
      <c r="G23" s="1160"/>
      <c r="H23" s="1161"/>
      <c r="I23" s="1161"/>
      <c r="J23" s="1161"/>
      <c r="K23" s="1161"/>
      <c r="L23" s="1161"/>
      <c r="N23" s="462"/>
      <c r="Y23" s="8"/>
      <c r="Z23" s="8"/>
      <c r="AA23" s="8"/>
      <c r="AB23" s="8"/>
      <c r="AC23" s="8"/>
      <c r="AD23" s="8"/>
      <c r="AE23" s="8"/>
      <c r="AF23" s="8"/>
      <c r="AG23" s="8"/>
      <c r="AH23" s="8"/>
      <c r="AI23" s="8"/>
      <c r="AJ23" s="8"/>
      <c r="AK23" s="8"/>
      <c r="AL23" s="8"/>
      <c r="AM23" s="8"/>
    </row>
    <row r="24" spans="1:39">
      <c r="A24" s="201">
        <f>ROW()</f>
        <v>24</v>
      </c>
      <c r="B24" s="1191"/>
      <c r="C24" s="1192"/>
      <c r="D24" s="1192"/>
      <c r="E24" s="1133"/>
      <c r="F24" s="1198"/>
      <c r="G24" s="1160"/>
      <c r="H24" s="1161"/>
      <c r="I24" s="1161"/>
      <c r="J24" s="1161"/>
      <c r="K24" s="1161"/>
      <c r="L24" s="1161"/>
      <c r="N24" s="462"/>
      <c r="Y24" s="8"/>
      <c r="Z24" s="8"/>
      <c r="AA24" s="8"/>
      <c r="AB24" s="8"/>
      <c r="AC24" s="8"/>
      <c r="AD24" s="8"/>
      <c r="AE24" s="8"/>
      <c r="AF24" s="8"/>
      <c r="AG24" s="8"/>
      <c r="AH24" s="8"/>
      <c r="AI24" s="8"/>
      <c r="AJ24" s="8"/>
      <c r="AK24" s="8"/>
      <c r="AL24" s="8"/>
      <c r="AM24" s="8"/>
    </row>
    <row r="25" spans="1:39">
      <c r="A25" s="201">
        <f>ROW()</f>
        <v>25</v>
      </c>
      <c r="B25" s="544" t="s">
        <v>775</v>
      </c>
      <c r="C25" s="540"/>
      <c r="D25" s="540"/>
      <c r="E25" s="1133"/>
      <c r="F25" s="1198"/>
      <c r="G25" s="1160"/>
      <c r="H25" s="1161"/>
      <c r="I25" s="1161"/>
      <c r="J25" s="1161"/>
      <c r="K25" s="1161"/>
      <c r="L25" s="1161"/>
      <c r="N25" s="462"/>
      <c r="Y25" s="8" cm="1">
        <f t="array" aca="1" ref="Y25" ca="1">CELL("protect",A25)</f>
        <v>1</v>
      </c>
      <c r="Z25" s="8" cm="1">
        <f t="array" aca="1" ref="Z25" ca="1">CELL("protect",B25)</f>
        <v>0</v>
      </c>
      <c r="AA25" s="8" cm="1">
        <f t="array" aca="1" ref="AA25" ca="1">CELL("protect",C25)</f>
        <v>0</v>
      </c>
      <c r="AB25" s="8" cm="1">
        <f t="array" aca="1" ref="AB25" ca="1">CELL("protect",D25)</f>
        <v>0</v>
      </c>
      <c r="AC25" s="8" cm="1">
        <f t="array" aca="1" ref="AC25" ca="1">CELL("protect",E25)</f>
        <v>1</v>
      </c>
      <c r="AD25" s="8" cm="1">
        <f t="array" aca="1" ref="AD25" ca="1">CELL("protect",F25)</f>
        <v>0</v>
      </c>
      <c r="AE25" s="8" cm="1">
        <f t="array" aca="1" ref="AE25" ca="1">CELL("protect",G25)</f>
        <v>0</v>
      </c>
      <c r="AF25" s="8" cm="1">
        <f t="array" aca="1" ref="AF25" ca="1">CELL("protect",H25)</f>
        <v>0</v>
      </c>
      <c r="AG25" s="8" cm="1">
        <f t="array" aca="1" ref="AG25" ca="1">CELL("protect",I25)</f>
        <v>0</v>
      </c>
      <c r="AH25" s="8" cm="1">
        <f t="array" aca="1" ref="AH25" ca="1">CELL("protect",J25)</f>
        <v>0</v>
      </c>
      <c r="AI25" s="8" cm="1">
        <f t="array" aca="1" ref="AI25" ca="1">CELL("protect",K25)</f>
        <v>0</v>
      </c>
      <c r="AJ25" s="8" cm="1">
        <f t="array" aca="1" ref="AJ25" ca="1">CELL("protect",L25)</f>
        <v>0</v>
      </c>
      <c r="AK25" s="8"/>
      <c r="AL25" s="8"/>
      <c r="AM25" s="8"/>
    </row>
    <row r="26" spans="1:39">
      <c r="A26" s="201">
        <f>ROW()</f>
        <v>26</v>
      </c>
      <c r="B26" s="358" t="s">
        <v>776</v>
      </c>
      <c r="C26" s="539"/>
      <c r="D26" s="539"/>
      <c r="E26" s="2067">
        <f t="shared" si="0"/>
        <v>0</v>
      </c>
      <c r="F26" s="1199">
        <v>0</v>
      </c>
      <c r="G26" s="1162">
        <f t="shared" si="1"/>
        <v>0</v>
      </c>
      <c r="H26" s="1163">
        <f t="shared" si="2"/>
        <v>0</v>
      </c>
      <c r="I26" s="1163">
        <f t="shared" si="2"/>
        <v>0</v>
      </c>
      <c r="J26" s="1163">
        <f t="shared" si="2"/>
        <v>0</v>
      </c>
      <c r="K26" s="1163">
        <f t="shared" si="2"/>
        <v>0</v>
      </c>
      <c r="L26" s="1163">
        <f t="shared" si="2"/>
        <v>0</v>
      </c>
      <c r="N26" s="462"/>
      <c r="Y26" s="8" cm="1">
        <f t="array" aca="1" ref="Y26" ca="1">CELL("protect",A26)</f>
        <v>1</v>
      </c>
      <c r="Z26" s="8" cm="1">
        <f t="array" aca="1" ref="Z26" ca="1">CELL("protect",B26)</f>
        <v>0</v>
      </c>
      <c r="AA26" s="8" cm="1">
        <f t="array" aca="1" ref="AA26" ca="1">CELL("protect",C26)</f>
        <v>0</v>
      </c>
      <c r="AB26" s="8" cm="1">
        <f t="array" aca="1" ref="AB26" ca="1">CELL("protect",D26)</f>
        <v>0</v>
      </c>
      <c r="AC26" s="8" cm="1">
        <f t="array" aca="1" ref="AC26" ca="1">CELL("protect",E26)</f>
        <v>0</v>
      </c>
      <c r="AD26" s="8" cm="1">
        <f t="array" aca="1" ref="AD26" ca="1">CELL("protect",F26)</f>
        <v>0</v>
      </c>
      <c r="AE26" s="8" cm="1">
        <f t="array" aca="1" ref="AE26" ca="1">CELL("protect",G26)</f>
        <v>0</v>
      </c>
      <c r="AF26" s="8" cm="1">
        <f t="array" aca="1" ref="AF26" ca="1">CELL("protect",H26)</f>
        <v>0</v>
      </c>
      <c r="AG26" s="8" cm="1">
        <f t="array" aca="1" ref="AG26" ca="1">CELL("protect",I26)</f>
        <v>0</v>
      </c>
      <c r="AH26" s="8" cm="1">
        <f t="array" aca="1" ref="AH26" ca="1">CELL("protect",J26)</f>
        <v>0</v>
      </c>
      <c r="AI26" s="8" cm="1">
        <f t="array" aca="1" ref="AI26" ca="1">CELL("protect",K26)</f>
        <v>0</v>
      </c>
      <c r="AJ26" s="8" cm="1">
        <f t="array" aca="1" ref="AJ26" ca="1">CELL("protect",L26)</f>
        <v>0</v>
      </c>
      <c r="AK26" s="8"/>
      <c r="AL26" s="8"/>
      <c r="AM26" s="8"/>
    </row>
    <row r="27" spans="1:39">
      <c r="A27" s="201">
        <f>ROW()</f>
        <v>27</v>
      </c>
      <c r="B27" s="363" t="s">
        <v>777</v>
      </c>
      <c r="C27" s="362">
        <v>0</v>
      </c>
      <c r="D27" s="362">
        <v>1100</v>
      </c>
      <c r="E27" s="2068">
        <f t="shared" si="0"/>
        <v>6600</v>
      </c>
      <c r="F27" s="1196">
        <v>0</v>
      </c>
      <c r="G27" s="1135">
        <f t="shared" si="1"/>
        <v>1100</v>
      </c>
      <c r="H27" s="626">
        <f t="shared" si="2"/>
        <v>1100</v>
      </c>
      <c r="I27" s="626">
        <f t="shared" si="2"/>
        <v>1100</v>
      </c>
      <c r="J27" s="626">
        <f t="shared" si="2"/>
        <v>1100</v>
      </c>
      <c r="K27" s="626">
        <f t="shared" si="2"/>
        <v>1100</v>
      </c>
      <c r="L27" s="626">
        <f t="shared" si="2"/>
        <v>1100</v>
      </c>
      <c r="N27" s="462"/>
      <c r="Y27" s="8" cm="1">
        <f t="array" aca="1" ref="Y27" ca="1">CELL("protect",A27)</f>
        <v>1</v>
      </c>
      <c r="Z27" s="8" cm="1">
        <f t="array" aca="1" ref="Z27" ca="1">CELL("protect",B27)</f>
        <v>0</v>
      </c>
      <c r="AA27" s="8" cm="1">
        <f t="array" aca="1" ref="AA27" ca="1">CELL("protect",C27)</f>
        <v>0</v>
      </c>
      <c r="AB27" s="8" cm="1">
        <f t="array" aca="1" ref="AB27" ca="1">CELL("protect",D27)</f>
        <v>0</v>
      </c>
      <c r="AC27" s="8" cm="1">
        <f t="array" aca="1" ref="AC27" ca="1">CELL("protect",E27)</f>
        <v>0</v>
      </c>
      <c r="AD27" s="8" cm="1">
        <f t="array" aca="1" ref="AD27" ca="1">CELL("protect",F27)</f>
        <v>0</v>
      </c>
      <c r="AE27" s="8" cm="1">
        <f t="array" aca="1" ref="AE27" ca="1">CELL("protect",G27)</f>
        <v>0</v>
      </c>
      <c r="AF27" s="8" cm="1">
        <f t="array" aca="1" ref="AF27" ca="1">CELL("protect",H27)</f>
        <v>0</v>
      </c>
      <c r="AG27" s="8" cm="1">
        <f t="array" aca="1" ref="AG27" ca="1">CELL("protect",I27)</f>
        <v>0</v>
      </c>
      <c r="AH27" s="8" cm="1">
        <f t="array" aca="1" ref="AH27" ca="1">CELL("protect",J27)</f>
        <v>0</v>
      </c>
      <c r="AI27" s="8" cm="1">
        <f t="array" aca="1" ref="AI27" ca="1">CELL("protect",K27)</f>
        <v>0</v>
      </c>
      <c r="AJ27" s="8" cm="1">
        <f t="array" aca="1" ref="AJ27" ca="1">CELL("protect",L27)</f>
        <v>0</v>
      </c>
      <c r="AK27" s="8"/>
      <c r="AL27" s="8"/>
      <c r="AM27" s="8"/>
    </row>
    <row r="28" spans="1:39" s="43" customFormat="1">
      <c r="A28" s="201">
        <f>ROW()</f>
        <v>28</v>
      </c>
      <c r="B28" s="1598" t="s">
        <v>778</v>
      </c>
      <c r="C28" s="362">
        <v>0</v>
      </c>
      <c r="D28" s="362">
        <v>5500</v>
      </c>
      <c r="E28" s="2068">
        <f t="shared" si="0"/>
        <v>33000</v>
      </c>
      <c r="F28" s="1196">
        <v>0</v>
      </c>
      <c r="G28" s="1135">
        <f t="shared" si="1"/>
        <v>5500</v>
      </c>
      <c r="H28" s="626">
        <f t="shared" si="2"/>
        <v>5500</v>
      </c>
      <c r="I28" s="626">
        <f t="shared" si="2"/>
        <v>5500</v>
      </c>
      <c r="J28" s="626">
        <f t="shared" si="2"/>
        <v>5500</v>
      </c>
      <c r="K28" s="626">
        <f t="shared" si="2"/>
        <v>5500</v>
      </c>
      <c r="L28" s="626">
        <f t="shared" si="2"/>
        <v>5500</v>
      </c>
      <c r="M28" s="40"/>
      <c r="N28" s="462"/>
      <c r="Y28" s="8" cm="1">
        <f t="array" aca="1" ref="Y28" ca="1">CELL("protect",A28)</f>
        <v>1</v>
      </c>
      <c r="Z28" s="8" cm="1">
        <f t="array" aca="1" ref="Z28" ca="1">CELL("protect",B28)</f>
        <v>0</v>
      </c>
      <c r="AA28" s="8" cm="1">
        <f t="array" aca="1" ref="AA28" ca="1">CELL("protect",C28)</f>
        <v>0</v>
      </c>
      <c r="AB28" s="8" cm="1">
        <f t="array" aca="1" ref="AB28" ca="1">CELL("protect",D28)</f>
        <v>0</v>
      </c>
      <c r="AC28" s="8" cm="1">
        <f t="array" aca="1" ref="AC28" ca="1">CELL("protect",E28)</f>
        <v>0</v>
      </c>
      <c r="AD28" s="8" cm="1">
        <f t="array" aca="1" ref="AD28" ca="1">CELL("protect",F28)</f>
        <v>0</v>
      </c>
      <c r="AE28" s="8" cm="1">
        <f t="array" aca="1" ref="AE28" ca="1">CELL("protect",G28)</f>
        <v>0</v>
      </c>
      <c r="AF28" s="8" cm="1">
        <f t="array" aca="1" ref="AF28" ca="1">CELL("protect",H28)</f>
        <v>0</v>
      </c>
      <c r="AG28" s="8" cm="1">
        <f t="array" aca="1" ref="AG28" ca="1">CELL("protect",I28)</f>
        <v>0</v>
      </c>
      <c r="AH28" s="8" cm="1">
        <f t="array" aca="1" ref="AH28" ca="1">CELL("protect",J28)</f>
        <v>0</v>
      </c>
      <c r="AI28" s="8" cm="1">
        <f t="array" aca="1" ref="AI28" ca="1">CELL("protect",K28)</f>
        <v>0</v>
      </c>
      <c r="AJ28" s="8" cm="1">
        <f t="array" aca="1" ref="AJ28" ca="1">CELL("protect",L28)</f>
        <v>0</v>
      </c>
      <c r="AK28" s="8"/>
      <c r="AL28" s="8"/>
      <c r="AM28" s="8"/>
    </row>
    <row r="29" spans="1:39" s="43" customFormat="1">
      <c r="A29" s="201">
        <f>ROW()</f>
        <v>29</v>
      </c>
      <c r="B29" s="1598" t="s">
        <v>779</v>
      </c>
      <c r="C29" s="362">
        <v>0</v>
      </c>
      <c r="D29" s="362"/>
      <c r="E29" s="2068">
        <f t="shared" si="0"/>
        <v>0</v>
      </c>
      <c r="F29" s="1196">
        <v>0</v>
      </c>
      <c r="G29" s="1135">
        <f t="shared" si="1"/>
        <v>0</v>
      </c>
      <c r="H29" s="626">
        <f t="shared" ref="H29:L38" si="4">+$D29</f>
        <v>0</v>
      </c>
      <c r="I29" s="626">
        <f t="shared" si="4"/>
        <v>0</v>
      </c>
      <c r="J29" s="626">
        <f t="shared" si="4"/>
        <v>0</v>
      </c>
      <c r="K29" s="626">
        <f t="shared" si="4"/>
        <v>0</v>
      </c>
      <c r="L29" s="626">
        <f t="shared" si="4"/>
        <v>0</v>
      </c>
      <c r="M29" s="40"/>
      <c r="N29" s="462"/>
      <c r="Y29" s="8" cm="1">
        <f t="array" aca="1" ref="Y29" ca="1">CELL("protect",A29)</f>
        <v>1</v>
      </c>
      <c r="Z29" s="8" cm="1">
        <f t="array" aca="1" ref="Z29" ca="1">CELL("protect",B29)</f>
        <v>0</v>
      </c>
      <c r="AA29" s="8" cm="1">
        <f t="array" aca="1" ref="AA29" ca="1">CELL("protect",C29)</f>
        <v>0</v>
      </c>
      <c r="AB29" s="8" cm="1">
        <f t="array" aca="1" ref="AB29" ca="1">CELL("protect",D29)</f>
        <v>0</v>
      </c>
      <c r="AC29" s="8" cm="1">
        <f t="array" aca="1" ref="AC29" ca="1">CELL("protect",E29)</f>
        <v>0</v>
      </c>
      <c r="AD29" s="8" cm="1">
        <f t="array" aca="1" ref="AD29" ca="1">CELL("protect",F29)</f>
        <v>0</v>
      </c>
      <c r="AE29" s="8" cm="1">
        <f t="array" aca="1" ref="AE29" ca="1">CELL("protect",G29)</f>
        <v>0</v>
      </c>
      <c r="AF29" s="8" cm="1">
        <f t="array" aca="1" ref="AF29" ca="1">CELL("protect",H29)</f>
        <v>0</v>
      </c>
      <c r="AG29" s="8" cm="1">
        <f t="array" aca="1" ref="AG29" ca="1">CELL("protect",I29)</f>
        <v>0</v>
      </c>
      <c r="AH29" s="8" cm="1">
        <f t="array" aca="1" ref="AH29" ca="1">CELL("protect",J29)</f>
        <v>0</v>
      </c>
      <c r="AI29" s="8" cm="1">
        <f t="array" aca="1" ref="AI29" ca="1">CELL("protect",K29)</f>
        <v>0</v>
      </c>
      <c r="AJ29" s="8" cm="1">
        <f t="array" aca="1" ref="AJ29" ca="1">CELL("protect",L29)</f>
        <v>0</v>
      </c>
      <c r="AK29" s="8"/>
      <c r="AL29" s="8"/>
      <c r="AM29" s="8"/>
    </row>
    <row r="30" spans="1:39" s="43" customFormat="1">
      <c r="A30" s="201">
        <f>ROW()</f>
        <v>30</v>
      </c>
      <c r="B30" s="1598" t="s">
        <v>780</v>
      </c>
      <c r="C30" s="362">
        <v>0</v>
      </c>
      <c r="D30" s="362">
        <v>2500</v>
      </c>
      <c r="E30" s="2068">
        <f t="shared" si="0"/>
        <v>15000</v>
      </c>
      <c r="F30" s="1196">
        <v>0</v>
      </c>
      <c r="G30" s="1135">
        <f t="shared" si="1"/>
        <v>2500</v>
      </c>
      <c r="H30" s="626">
        <f t="shared" si="4"/>
        <v>2500</v>
      </c>
      <c r="I30" s="626">
        <f t="shared" si="4"/>
        <v>2500</v>
      </c>
      <c r="J30" s="626">
        <f t="shared" si="4"/>
        <v>2500</v>
      </c>
      <c r="K30" s="626">
        <f t="shared" si="4"/>
        <v>2500</v>
      </c>
      <c r="L30" s="626">
        <f t="shared" si="4"/>
        <v>2500</v>
      </c>
      <c r="M30" s="40"/>
      <c r="N30" s="462"/>
      <c r="Y30" s="8" cm="1">
        <f t="array" aca="1" ref="Y30" ca="1">CELL("protect",A30)</f>
        <v>1</v>
      </c>
      <c r="Z30" s="8" cm="1">
        <f t="array" aca="1" ref="Z30" ca="1">CELL("protect",B30)</f>
        <v>0</v>
      </c>
      <c r="AA30" s="8" cm="1">
        <f t="array" aca="1" ref="AA30" ca="1">CELL("protect",C30)</f>
        <v>0</v>
      </c>
      <c r="AB30" s="8" cm="1">
        <f t="array" aca="1" ref="AB30" ca="1">CELL("protect",D30)</f>
        <v>0</v>
      </c>
      <c r="AC30" s="8" cm="1">
        <f t="array" aca="1" ref="AC30" ca="1">CELL("protect",E30)</f>
        <v>0</v>
      </c>
      <c r="AD30" s="8" cm="1">
        <f t="array" aca="1" ref="AD30" ca="1">CELL("protect",F30)</f>
        <v>0</v>
      </c>
      <c r="AE30" s="8" cm="1">
        <f t="array" aca="1" ref="AE30" ca="1">CELL("protect",G30)</f>
        <v>0</v>
      </c>
      <c r="AF30" s="8" cm="1">
        <f t="array" aca="1" ref="AF30" ca="1">CELL("protect",H30)</f>
        <v>0</v>
      </c>
      <c r="AG30" s="8" cm="1">
        <f t="array" aca="1" ref="AG30" ca="1">CELL("protect",I30)</f>
        <v>0</v>
      </c>
      <c r="AH30" s="8" cm="1">
        <f t="array" aca="1" ref="AH30" ca="1">CELL("protect",J30)</f>
        <v>0</v>
      </c>
      <c r="AI30" s="8" cm="1">
        <f t="array" aca="1" ref="AI30" ca="1">CELL("protect",K30)</f>
        <v>0</v>
      </c>
      <c r="AJ30" s="8" cm="1">
        <f t="array" aca="1" ref="AJ30" ca="1">CELL("protect",L30)</f>
        <v>0</v>
      </c>
      <c r="AK30" s="8"/>
      <c r="AL30" s="8"/>
      <c r="AM30" s="8"/>
    </row>
    <row r="31" spans="1:39" s="43" customFormat="1">
      <c r="A31" s="201">
        <f>ROW()</f>
        <v>31</v>
      </c>
      <c r="B31" s="1598" t="s">
        <v>1208</v>
      </c>
      <c r="C31" s="362">
        <v>0</v>
      </c>
      <c r="D31" s="362"/>
      <c r="E31" s="2068">
        <f t="shared" si="0"/>
        <v>0</v>
      </c>
      <c r="F31" s="1196">
        <v>0</v>
      </c>
      <c r="G31" s="1135">
        <f t="shared" si="1"/>
        <v>0</v>
      </c>
      <c r="H31" s="626">
        <f t="shared" si="4"/>
        <v>0</v>
      </c>
      <c r="I31" s="626">
        <f t="shared" si="4"/>
        <v>0</v>
      </c>
      <c r="J31" s="626">
        <f t="shared" si="4"/>
        <v>0</v>
      </c>
      <c r="K31" s="626">
        <f t="shared" si="4"/>
        <v>0</v>
      </c>
      <c r="L31" s="626">
        <f t="shared" si="4"/>
        <v>0</v>
      </c>
      <c r="M31" s="40"/>
      <c r="N31" s="462"/>
      <c r="Y31" s="8" cm="1">
        <f t="array" aca="1" ref="Y31" ca="1">CELL("protect",A31)</f>
        <v>1</v>
      </c>
      <c r="Z31" s="8" cm="1">
        <f t="array" aca="1" ref="Z31" ca="1">CELL("protect",B31)</f>
        <v>0</v>
      </c>
      <c r="AA31" s="8" cm="1">
        <f t="array" aca="1" ref="AA31" ca="1">CELL("protect",C31)</f>
        <v>0</v>
      </c>
      <c r="AB31" s="8" cm="1">
        <f t="array" aca="1" ref="AB31" ca="1">CELL("protect",D31)</f>
        <v>0</v>
      </c>
      <c r="AC31" s="8" cm="1">
        <f t="array" aca="1" ref="AC31" ca="1">CELL("protect",E31)</f>
        <v>0</v>
      </c>
      <c r="AD31" s="8" cm="1">
        <f t="array" aca="1" ref="AD31" ca="1">CELL("protect",F31)</f>
        <v>0</v>
      </c>
      <c r="AE31" s="8" cm="1">
        <f t="array" aca="1" ref="AE31" ca="1">CELL("protect",G31)</f>
        <v>0</v>
      </c>
      <c r="AF31" s="8" cm="1">
        <f t="array" aca="1" ref="AF31" ca="1">CELL("protect",H31)</f>
        <v>0</v>
      </c>
      <c r="AG31" s="8" cm="1">
        <f t="array" aca="1" ref="AG31" ca="1">CELL("protect",I31)</f>
        <v>0</v>
      </c>
      <c r="AH31" s="8" cm="1">
        <f t="array" aca="1" ref="AH31" ca="1">CELL("protect",J31)</f>
        <v>0</v>
      </c>
      <c r="AI31" s="8" cm="1">
        <f t="array" aca="1" ref="AI31" ca="1">CELL("protect",K31)</f>
        <v>0</v>
      </c>
      <c r="AJ31" s="8" cm="1">
        <f t="array" aca="1" ref="AJ31" ca="1">CELL("protect",L31)</f>
        <v>0</v>
      </c>
      <c r="AK31" s="8"/>
      <c r="AL31" s="8"/>
      <c r="AM31" s="8"/>
    </row>
    <row r="32" spans="1:39" s="43" customFormat="1">
      <c r="A32" s="201">
        <f>ROW()</f>
        <v>32</v>
      </c>
      <c r="B32" s="1598" t="s">
        <v>781</v>
      </c>
      <c r="C32" s="362">
        <v>0</v>
      </c>
      <c r="D32" s="362">
        <v>0</v>
      </c>
      <c r="E32" s="2068">
        <f t="shared" si="0"/>
        <v>0</v>
      </c>
      <c r="F32" s="1196">
        <v>0</v>
      </c>
      <c r="G32" s="1135">
        <f t="shared" si="1"/>
        <v>0</v>
      </c>
      <c r="H32" s="626">
        <f t="shared" si="4"/>
        <v>0</v>
      </c>
      <c r="I32" s="626">
        <f t="shared" si="4"/>
        <v>0</v>
      </c>
      <c r="J32" s="626">
        <f t="shared" si="4"/>
        <v>0</v>
      </c>
      <c r="K32" s="626">
        <f t="shared" si="4"/>
        <v>0</v>
      </c>
      <c r="L32" s="626">
        <f t="shared" si="4"/>
        <v>0</v>
      </c>
      <c r="M32" s="40"/>
      <c r="N32" s="462"/>
      <c r="Y32" s="8" cm="1">
        <f t="array" aca="1" ref="Y32" ca="1">CELL("protect",A32)</f>
        <v>1</v>
      </c>
      <c r="Z32" s="8" cm="1">
        <f t="array" aca="1" ref="Z32" ca="1">CELL("protect",B32)</f>
        <v>0</v>
      </c>
      <c r="AA32" s="8" cm="1">
        <f t="array" aca="1" ref="AA32" ca="1">CELL("protect",C32)</f>
        <v>0</v>
      </c>
      <c r="AB32" s="8" cm="1">
        <f t="array" aca="1" ref="AB32" ca="1">CELL("protect",D32)</f>
        <v>0</v>
      </c>
      <c r="AC32" s="8" cm="1">
        <f t="array" aca="1" ref="AC32" ca="1">CELL("protect",E32)</f>
        <v>0</v>
      </c>
      <c r="AD32" s="8" cm="1">
        <f t="array" aca="1" ref="AD32" ca="1">CELL("protect",F32)</f>
        <v>0</v>
      </c>
      <c r="AE32" s="8" cm="1">
        <f t="array" aca="1" ref="AE32" ca="1">CELL("protect",G32)</f>
        <v>0</v>
      </c>
      <c r="AF32" s="8" cm="1">
        <f t="array" aca="1" ref="AF32" ca="1">CELL("protect",H32)</f>
        <v>0</v>
      </c>
      <c r="AG32" s="8" cm="1">
        <f t="array" aca="1" ref="AG32" ca="1">CELL("protect",I32)</f>
        <v>0</v>
      </c>
      <c r="AH32" s="8" cm="1">
        <f t="array" aca="1" ref="AH32" ca="1">CELL("protect",J32)</f>
        <v>0</v>
      </c>
      <c r="AI32" s="8" cm="1">
        <f t="array" aca="1" ref="AI32" ca="1">CELL("protect",K32)</f>
        <v>0</v>
      </c>
      <c r="AJ32" s="8" cm="1">
        <f t="array" aca="1" ref="AJ32" ca="1">CELL("protect",L32)</f>
        <v>0</v>
      </c>
      <c r="AK32" s="8"/>
      <c r="AL32" s="8"/>
      <c r="AM32" s="8"/>
    </row>
    <row r="33" spans="1:39" s="43" customFormat="1">
      <c r="A33" s="201">
        <f>ROW()</f>
        <v>33</v>
      </c>
      <c r="B33" s="1598" t="s">
        <v>782</v>
      </c>
      <c r="C33" s="362">
        <v>0</v>
      </c>
      <c r="D33" s="362">
        <v>0</v>
      </c>
      <c r="E33" s="2068">
        <f t="shared" si="0"/>
        <v>0</v>
      </c>
      <c r="F33" s="1196">
        <v>0</v>
      </c>
      <c r="G33" s="1135">
        <f t="shared" si="1"/>
        <v>0</v>
      </c>
      <c r="H33" s="626">
        <f t="shared" si="4"/>
        <v>0</v>
      </c>
      <c r="I33" s="626">
        <f t="shared" si="4"/>
        <v>0</v>
      </c>
      <c r="J33" s="626">
        <f t="shared" si="4"/>
        <v>0</v>
      </c>
      <c r="K33" s="626">
        <f t="shared" si="4"/>
        <v>0</v>
      </c>
      <c r="L33" s="626">
        <f t="shared" si="4"/>
        <v>0</v>
      </c>
      <c r="M33" s="40"/>
      <c r="N33" s="462"/>
      <c r="Y33" s="8" cm="1">
        <f t="array" aca="1" ref="Y33" ca="1">CELL("protect",A33)</f>
        <v>1</v>
      </c>
      <c r="Z33" s="8" cm="1">
        <f t="array" aca="1" ref="Z33" ca="1">CELL("protect",B33)</f>
        <v>0</v>
      </c>
      <c r="AA33" s="8" cm="1">
        <f t="array" aca="1" ref="AA33" ca="1">CELL("protect",C33)</f>
        <v>0</v>
      </c>
      <c r="AB33" s="8" cm="1">
        <f t="array" aca="1" ref="AB33" ca="1">CELL("protect",D33)</f>
        <v>0</v>
      </c>
      <c r="AC33" s="8" cm="1">
        <f t="array" aca="1" ref="AC33" ca="1">CELL("protect",E33)</f>
        <v>0</v>
      </c>
      <c r="AD33" s="8" cm="1">
        <f t="array" aca="1" ref="AD33" ca="1">CELL("protect",F33)</f>
        <v>0</v>
      </c>
      <c r="AE33" s="8" cm="1">
        <f t="array" aca="1" ref="AE33" ca="1">CELL("protect",G33)</f>
        <v>0</v>
      </c>
      <c r="AF33" s="8" cm="1">
        <f t="array" aca="1" ref="AF33" ca="1">CELL("protect",H33)</f>
        <v>0</v>
      </c>
      <c r="AG33" s="8" cm="1">
        <f t="array" aca="1" ref="AG33" ca="1">CELL("protect",I33)</f>
        <v>0</v>
      </c>
      <c r="AH33" s="8" cm="1">
        <f t="array" aca="1" ref="AH33" ca="1">CELL("protect",J33)</f>
        <v>0</v>
      </c>
      <c r="AI33" s="8" cm="1">
        <f t="array" aca="1" ref="AI33" ca="1">CELL("protect",K33)</f>
        <v>0</v>
      </c>
      <c r="AJ33" s="8" cm="1">
        <f t="array" aca="1" ref="AJ33" ca="1">CELL("protect",L33)</f>
        <v>0</v>
      </c>
      <c r="AK33" s="8"/>
      <c r="AL33" s="8"/>
      <c r="AM33" s="8"/>
    </row>
    <row r="34" spans="1:39" s="43" customFormat="1">
      <c r="A34" s="201">
        <f>ROW()</f>
        <v>34</v>
      </c>
      <c r="B34" s="1598" t="s">
        <v>783</v>
      </c>
      <c r="C34" s="362">
        <v>0</v>
      </c>
      <c r="D34" s="362">
        <v>0</v>
      </c>
      <c r="E34" s="2068">
        <f t="shared" si="0"/>
        <v>0</v>
      </c>
      <c r="F34" s="1196">
        <v>0</v>
      </c>
      <c r="G34" s="1135">
        <f t="shared" si="1"/>
        <v>0</v>
      </c>
      <c r="H34" s="626">
        <f t="shared" si="4"/>
        <v>0</v>
      </c>
      <c r="I34" s="626">
        <f t="shared" si="4"/>
        <v>0</v>
      </c>
      <c r="J34" s="626">
        <f t="shared" si="4"/>
        <v>0</v>
      </c>
      <c r="K34" s="626">
        <f t="shared" si="4"/>
        <v>0</v>
      </c>
      <c r="L34" s="626">
        <f t="shared" si="4"/>
        <v>0</v>
      </c>
      <c r="M34" s="40"/>
      <c r="N34" s="462"/>
      <c r="Y34" s="8" cm="1">
        <f t="array" aca="1" ref="Y34" ca="1">CELL("protect",A34)</f>
        <v>1</v>
      </c>
      <c r="Z34" s="8" cm="1">
        <f t="array" aca="1" ref="Z34" ca="1">CELL("protect",B34)</f>
        <v>0</v>
      </c>
      <c r="AA34" s="8" cm="1">
        <f t="array" aca="1" ref="AA34" ca="1">CELL("protect",C34)</f>
        <v>0</v>
      </c>
      <c r="AB34" s="8" cm="1">
        <f t="array" aca="1" ref="AB34" ca="1">CELL("protect",D34)</f>
        <v>0</v>
      </c>
      <c r="AC34" s="8" cm="1">
        <f t="array" aca="1" ref="AC34" ca="1">CELL("protect",E34)</f>
        <v>0</v>
      </c>
      <c r="AD34" s="8" cm="1">
        <f t="array" aca="1" ref="AD34" ca="1">CELL("protect",F34)</f>
        <v>0</v>
      </c>
      <c r="AE34" s="8" cm="1">
        <f t="array" aca="1" ref="AE34" ca="1">CELL("protect",G34)</f>
        <v>0</v>
      </c>
      <c r="AF34" s="8" cm="1">
        <f t="array" aca="1" ref="AF34" ca="1">CELL("protect",H34)</f>
        <v>0</v>
      </c>
      <c r="AG34" s="8" cm="1">
        <f t="array" aca="1" ref="AG34" ca="1">CELL("protect",I34)</f>
        <v>0</v>
      </c>
      <c r="AH34" s="8" cm="1">
        <f t="array" aca="1" ref="AH34" ca="1">CELL("protect",J34)</f>
        <v>0</v>
      </c>
      <c r="AI34" s="8" cm="1">
        <f t="array" aca="1" ref="AI34" ca="1">CELL("protect",K34)</f>
        <v>0</v>
      </c>
      <c r="AJ34" s="8" cm="1">
        <f t="array" aca="1" ref="AJ34" ca="1">CELL("protect",L34)</f>
        <v>0</v>
      </c>
      <c r="AK34" s="8"/>
      <c r="AL34" s="8"/>
      <c r="AM34" s="8"/>
    </row>
    <row r="35" spans="1:39" s="43" customFormat="1">
      <c r="A35" s="201">
        <f>ROW()</f>
        <v>35</v>
      </c>
      <c r="B35" s="1598" t="s">
        <v>784</v>
      </c>
      <c r="C35" s="362">
        <v>0</v>
      </c>
      <c r="D35" s="362">
        <v>4500</v>
      </c>
      <c r="E35" s="2068">
        <f t="shared" si="0"/>
        <v>27000</v>
      </c>
      <c r="F35" s="1196">
        <v>0</v>
      </c>
      <c r="G35" s="1135">
        <f t="shared" si="1"/>
        <v>4500</v>
      </c>
      <c r="H35" s="626">
        <f t="shared" si="4"/>
        <v>4500</v>
      </c>
      <c r="I35" s="626">
        <f t="shared" si="4"/>
        <v>4500</v>
      </c>
      <c r="J35" s="626">
        <f t="shared" si="4"/>
        <v>4500</v>
      </c>
      <c r="K35" s="626">
        <f t="shared" si="4"/>
        <v>4500</v>
      </c>
      <c r="L35" s="626">
        <f t="shared" si="4"/>
        <v>4500</v>
      </c>
      <c r="M35" s="40"/>
      <c r="N35" s="462"/>
      <c r="Y35" s="8" cm="1">
        <f t="array" aca="1" ref="Y35" ca="1">CELL("protect",A35)</f>
        <v>1</v>
      </c>
      <c r="Z35" s="8" cm="1">
        <f t="array" aca="1" ref="Z35" ca="1">CELL("protect",B35)</f>
        <v>0</v>
      </c>
      <c r="AA35" s="8" cm="1">
        <f t="array" aca="1" ref="AA35" ca="1">CELL("protect",C35)</f>
        <v>0</v>
      </c>
      <c r="AB35" s="8" cm="1">
        <f t="array" aca="1" ref="AB35" ca="1">CELL("protect",D35)</f>
        <v>0</v>
      </c>
      <c r="AC35" s="8" cm="1">
        <f t="array" aca="1" ref="AC35" ca="1">CELL("protect",E35)</f>
        <v>0</v>
      </c>
      <c r="AD35" s="8" cm="1">
        <f t="array" aca="1" ref="AD35" ca="1">CELL("protect",F35)</f>
        <v>0</v>
      </c>
      <c r="AE35" s="8" cm="1">
        <f t="array" aca="1" ref="AE35" ca="1">CELL("protect",G35)</f>
        <v>0</v>
      </c>
      <c r="AF35" s="8" cm="1">
        <f t="array" aca="1" ref="AF35" ca="1">CELL("protect",H35)</f>
        <v>0</v>
      </c>
      <c r="AG35" s="8" cm="1">
        <f t="array" aca="1" ref="AG35" ca="1">CELL("protect",I35)</f>
        <v>0</v>
      </c>
      <c r="AH35" s="8" cm="1">
        <f t="array" aca="1" ref="AH35" ca="1">CELL("protect",J35)</f>
        <v>0</v>
      </c>
      <c r="AI35" s="8" cm="1">
        <f t="array" aca="1" ref="AI35" ca="1">CELL("protect",K35)</f>
        <v>0</v>
      </c>
      <c r="AJ35" s="8" cm="1">
        <f t="array" aca="1" ref="AJ35" ca="1">CELL("protect",L35)</f>
        <v>0</v>
      </c>
      <c r="AK35" s="8"/>
      <c r="AL35" s="8"/>
      <c r="AM35" s="8"/>
    </row>
    <row r="36" spans="1:39" s="43" customFormat="1">
      <c r="A36" s="201">
        <f>ROW()</f>
        <v>36</v>
      </c>
      <c r="B36" s="449" t="s">
        <v>785</v>
      </c>
      <c r="C36" s="362">
        <v>0</v>
      </c>
      <c r="D36" s="362">
        <v>0</v>
      </c>
      <c r="E36" s="2068">
        <f t="shared" si="0"/>
        <v>0</v>
      </c>
      <c r="F36" s="1196">
        <v>0</v>
      </c>
      <c r="G36" s="1135">
        <f t="shared" si="1"/>
        <v>0</v>
      </c>
      <c r="H36" s="626">
        <f t="shared" si="4"/>
        <v>0</v>
      </c>
      <c r="I36" s="626">
        <f t="shared" si="4"/>
        <v>0</v>
      </c>
      <c r="J36" s="626">
        <f t="shared" si="4"/>
        <v>0</v>
      </c>
      <c r="K36" s="626">
        <f t="shared" si="4"/>
        <v>0</v>
      </c>
      <c r="L36" s="626">
        <f t="shared" si="4"/>
        <v>0</v>
      </c>
      <c r="M36" s="40"/>
      <c r="N36" s="462"/>
      <c r="Y36" s="8" cm="1">
        <f t="array" aca="1" ref="Y36" ca="1">CELL("protect",A36)</f>
        <v>1</v>
      </c>
      <c r="Z36" s="8" cm="1">
        <f t="array" aca="1" ref="Z36" ca="1">CELL("protect",B36)</f>
        <v>0</v>
      </c>
      <c r="AA36" s="8" cm="1">
        <f t="array" aca="1" ref="AA36" ca="1">CELL("protect",C36)</f>
        <v>0</v>
      </c>
      <c r="AB36" s="8" cm="1">
        <f t="array" aca="1" ref="AB36" ca="1">CELL("protect",D36)</f>
        <v>0</v>
      </c>
      <c r="AC36" s="8" cm="1">
        <f t="array" aca="1" ref="AC36" ca="1">CELL("protect",E36)</f>
        <v>0</v>
      </c>
      <c r="AD36" s="8" cm="1">
        <f t="array" aca="1" ref="AD36" ca="1">CELL("protect",F36)</f>
        <v>0</v>
      </c>
      <c r="AE36" s="8" cm="1">
        <f t="array" aca="1" ref="AE36" ca="1">CELL("protect",G36)</f>
        <v>0</v>
      </c>
      <c r="AF36" s="8" cm="1">
        <f t="array" aca="1" ref="AF36" ca="1">CELL("protect",H36)</f>
        <v>0</v>
      </c>
      <c r="AG36" s="8" cm="1">
        <f t="array" aca="1" ref="AG36" ca="1">CELL("protect",I36)</f>
        <v>0</v>
      </c>
      <c r="AH36" s="8" cm="1">
        <f t="array" aca="1" ref="AH36" ca="1">CELL("protect",J36)</f>
        <v>0</v>
      </c>
      <c r="AI36" s="8" cm="1">
        <f t="array" aca="1" ref="AI36" ca="1">CELL("protect",K36)</f>
        <v>0</v>
      </c>
      <c r="AJ36" s="8" cm="1">
        <f t="array" aca="1" ref="AJ36" ca="1">CELL("protect",L36)</f>
        <v>0</v>
      </c>
      <c r="AK36" s="8"/>
      <c r="AL36" s="8"/>
      <c r="AM36" s="8"/>
    </row>
    <row r="37" spans="1:39" s="43" customFormat="1">
      <c r="A37" s="201">
        <f>ROW()</f>
        <v>37</v>
      </c>
      <c r="B37" s="449" t="s">
        <v>786</v>
      </c>
      <c r="C37" s="362">
        <v>0</v>
      </c>
      <c r="D37" s="362">
        <v>0</v>
      </c>
      <c r="E37" s="2068">
        <f t="shared" si="0"/>
        <v>0</v>
      </c>
      <c r="F37" s="1196">
        <v>0</v>
      </c>
      <c r="G37" s="1135">
        <f t="shared" si="1"/>
        <v>0</v>
      </c>
      <c r="H37" s="626">
        <f t="shared" si="4"/>
        <v>0</v>
      </c>
      <c r="I37" s="626">
        <f t="shared" si="4"/>
        <v>0</v>
      </c>
      <c r="J37" s="626">
        <f t="shared" si="4"/>
        <v>0</v>
      </c>
      <c r="K37" s="626">
        <f t="shared" si="4"/>
        <v>0</v>
      </c>
      <c r="L37" s="626">
        <f t="shared" si="4"/>
        <v>0</v>
      </c>
      <c r="M37" s="40"/>
      <c r="N37" s="462"/>
      <c r="Y37" s="8" cm="1">
        <f t="array" aca="1" ref="Y37" ca="1">CELL("protect",A37)</f>
        <v>1</v>
      </c>
      <c r="Z37" s="8" cm="1">
        <f t="array" aca="1" ref="Z37" ca="1">CELL("protect",B37)</f>
        <v>0</v>
      </c>
      <c r="AA37" s="8" cm="1">
        <f t="array" aca="1" ref="AA37" ca="1">CELL("protect",C37)</f>
        <v>0</v>
      </c>
      <c r="AB37" s="8" cm="1">
        <f t="array" aca="1" ref="AB37" ca="1">CELL("protect",D37)</f>
        <v>0</v>
      </c>
      <c r="AC37" s="8" cm="1">
        <f t="array" aca="1" ref="AC37" ca="1">CELL("protect",E37)</f>
        <v>0</v>
      </c>
      <c r="AD37" s="8" cm="1">
        <f t="array" aca="1" ref="AD37" ca="1">CELL("protect",F37)</f>
        <v>0</v>
      </c>
      <c r="AE37" s="8" cm="1">
        <f t="array" aca="1" ref="AE37" ca="1">CELL("protect",G37)</f>
        <v>0</v>
      </c>
      <c r="AF37" s="8" cm="1">
        <f t="array" aca="1" ref="AF37" ca="1">CELL("protect",H37)</f>
        <v>0</v>
      </c>
      <c r="AG37" s="8" cm="1">
        <f t="array" aca="1" ref="AG37" ca="1">CELL("protect",I37)</f>
        <v>0</v>
      </c>
      <c r="AH37" s="8" cm="1">
        <f t="array" aca="1" ref="AH37" ca="1">CELL("protect",J37)</f>
        <v>0</v>
      </c>
      <c r="AI37" s="8" cm="1">
        <f t="array" aca="1" ref="AI37" ca="1">CELL("protect",K37)</f>
        <v>0</v>
      </c>
      <c r="AJ37" s="8" cm="1">
        <f t="array" aca="1" ref="AJ37" ca="1">CELL("protect",L37)</f>
        <v>0</v>
      </c>
      <c r="AK37" s="8"/>
      <c r="AL37" s="8"/>
      <c r="AM37" s="8"/>
    </row>
    <row r="38" spans="1:39" s="43" customFormat="1">
      <c r="A38" s="201">
        <f>ROW()</f>
        <v>38</v>
      </c>
      <c r="B38" s="1598" t="s">
        <v>787</v>
      </c>
      <c r="C38" s="362">
        <v>0</v>
      </c>
      <c r="D38" s="362">
        <v>0</v>
      </c>
      <c r="E38" s="2068">
        <f t="shared" si="0"/>
        <v>0</v>
      </c>
      <c r="F38" s="1196">
        <v>0</v>
      </c>
      <c r="G38" s="1135">
        <f t="shared" si="1"/>
        <v>0</v>
      </c>
      <c r="H38" s="626">
        <f t="shared" si="4"/>
        <v>0</v>
      </c>
      <c r="I38" s="626">
        <f t="shared" si="4"/>
        <v>0</v>
      </c>
      <c r="J38" s="626">
        <f t="shared" si="4"/>
        <v>0</v>
      </c>
      <c r="K38" s="626">
        <f t="shared" si="4"/>
        <v>0</v>
      </c>
      <c r="L38" s="626">
        <f t="shared" si="4"/>
        <v>0</v>
      </c>
      <c r="M38" s="40"/>
      <c r="N38" s="462"/>
      <c r="Y38" s="8" cm="1">
        <f t="array" aca="1" ref="Y38" ca="1">CELL("protect",A38)</f>
        <v>1</v>
      </c>
      <c r="Z38" s="8" cm="1">
        <f t="array" aca="1" ref="Z38" ca="1">CELL("protect",B38)</f>
        <v>0</v>
      </c>
      <c r="AA38" s="8" cm="1">
        <f t="array" aca="1" ref="AA38" ca="1">CELL("protect",C38)</f>
        <v>0</v>
      </c>
      <c r="AB38" s="8" cm="1">
        <f t="array" aca="1" ref="AB38" ca="1">CELL("protect",D38)</f>
        <v>0</v>
      </c>
      <c r="AC38" s="8" cm="1">
        <f t="array" aca="1" ref="AC38" ca="1">CELL("protect",E38)</f>
        <v>0</v>
      </c>
      <c r="AD38" s="8" cm="1">
        <f t="array" aca="1" ref="AD38" ca="1">CELL("protect",F38)</f>
        <v>0</v>
      </c>
      <c r="AE38" s="8" cm="1">
        <f t="array" aca="1" ref="AE38" ca="1">CELL("protect",G38)</f>
        <v>0</v>
      </c>
      <c r="AF38" s="8" cm="1">
        <f t="array" aca="1" ref="AF38" ca="1">CELL("protect",H38)</f>
        <v>0</v>
      </c>
      <c r="AG38" s="8" cm="1">
        <f t="array" aca="1" ref="AG38" ca="1">CELL("protect",I38)</f>
        <v>0</v>
      </c>
      <c r="AH38" s="8" cm="1">
        <f t="array" aca="1" ref="AH38" ca="1">CELL("protect",J38)</f>
        <v>0</v>
      </c>
      <c r="AI38" s="8" cm="1">
        <f t="array" aca="1" ref="AI38" ca="1">CELL("protect",K38)</f>
        <v>0</v>
      </c>
      <c r="AJ38" s="8" cm="1">
        <f t="array" aca="1" ref="AJ38" ca="1">CELL("protect",L38)</f>
        <v>0</v>
      </c>
      <c r="AK38" s="8"/>
      <c r="AL38" s="8"/>
      <c r="AM38" s="8"/>
    </row>
    <row r="39" spans="1:39" s="43" customFormat="1">
      <c r="A39" s="201">
        <f>ROW()</f>
        <v>39</v>
      </c>
      <c r="B39" s="1598"/>
      <c r="C39" s="362"/>
      <c r="D39" s="362">
        <v>0</v>
      </c>
      <c r="E39" s="2068">
        <f t="shared" si="0"/>
        <v>0</v>
      </c>
      <c r="F39" s="1196">
        <v>0</v>
      </c>
      <c r="G39" s="1135">
        <f t="shared" si="1"/>
        <v>0</v>
      </c>
      <c r="H39" s="626">
        <f t="shared" ref="H39:L46" si="5">+$D39</f>
        <v>0</v>
      </c>
      <c r="I39" s="626">
        <f t="shared" si="5"/>
        <v>0</v>
      </c>
      <c r="J39" s="626">
        <f t="shared" si="5"/>
        <v>0</v>
      </c>
      <c r="K39" s="626">
        <f t="shared" si="5"/>
        <v>0</v>
      </c>
      <c r="L39" s="626">
        <f t="shared" si="5"/>
        <v>0</v>
      </c>
      <c r="M39" s="40"/>
      <c r="N39" s="462" t="s">
        <v>1499</v>
      </c>
      <c r="Y39" s="8" cm="1">
        <f t="array" aca="1" ref="Y39" ca="1">CELL("protect",A39)</f>
        <v>1</v>
      </c>
      <c r="Z39" s="8" cm="1">
        <f t="array" aca="1" ref="Z39" ca="1">CELL("protect",B39)</f>
        <v>0</v>
      </c>
      <c r="AA39" s="8" cm="1">
        <f t="array" aca="1" ref="AA39" ca="1">CELL("protect",C39)</f>
        <v>0</v>
      </c>
      <c r="AB39" s="8" cm="1">
        <f t="array" aca="1" ref="AB39" ca="1">CELL("protect",D39)</f>
        <v>0</v>
      </c>
      <c r="AC39" s="8" cm="1">
        <f t="array" aca="1" ref="AC39" ca="1">CELL("protect",E39)</f>
        <v>0</v>
      </c>
      <c r="AD39" s="8" cm="1">
        <f t="array" aca="1" ref="AD39" ca="1">CELL("protect",F39)</f>
        <v>0</v>
      </c>
      <c r="AE39" s="8" cm="1">
        <f t="array" aca="1" ref="AE39" ca="1">CELL("protect",G39)</f>
        <v>0</v>
      </c>
      <c r="AF39" s="8" cm="1">
        <f t="array" aca="1" ref="AF39" ca="1">CELL("protect",H39)</f>
        <v>0</v>
      </c>
      <c r="AG39" s="8" cm="1">
        <f t="array" aca="1" ref="AG39" ca="1">CELL("protect",I39)</f>
        <v>0</v>
      </c>
      <c r="AH39" s="8" cm="1">
        <f t="array" aca="1" ref="AH39" ca="1">CELL("protect",J39)</f>
        <v>0</v>
      </c>
      <c r="AI39" s="8" cm="1">
        <f t="array" aca="1" ref="AI39" ca="1">CELL("protect",K39)</f>
        <v>0</v>
      </c>
      <c r="AJ39" s="8" cm="1">
        <f t="array" aca="1" ref="AJ39" ca="1">CELL("protect",L39)</f>
        <v>0</v>
      </c>
      <c r="AK39" s="8"/>
      <c r="AL39" s="8"/>
      <c r="AM39" s="8"/>
    </row>
    <row r="40" spans="1:39" s="43" customFormat="1">
      <c r="A40" s="201">
        <f>ROW()</f>
        <v>40</v>
      </c>
      <c r="B40" s="1598"/>
      <c r="C40" s="364"/>
      <c r="D40" s="364"/>
      <c r="E40" s="2068">
        <f t="shared" si="0"/>
        <v>0</v>
      </c>
      <c r="F40" s="1196">
        <v>0</v>
      </c>
      <c r="G40" s="1135">
        <f t="shared" si="1"/>
        <v>0</v>
      </c>
      <c r="H40" s="626">
        <f t="shared" si="5"/>
        <v>0</v>
      </c>
      <c r="I40" s="626">
        <f t="shared" si="5"/>
        <v>0</v>
      </c>
      <c r="J40" s="626">
        <f t="shared" si="5"/>
        <v>0</v>
      </c>
      <c r="K40" s="626">
        <f t="shared" si="5"/>
        <v>0</v>
      </c>
      <c r="L40" s="626">
        <f t="shared" si="5"/>
        <v>0</v>
      </c>
      <c r="M40" s="40"/>
      <c r="N40" s="462"/>
      <c r="Y40" s="8" cm="1">
        <f t="array" aca="1" ref="Y40" ca="1">CELL("protect",A40)</f>
        <v>1</v>
      </c>
      <c r="Z40" s="8" cm="1">
        <f t="array" aca="1" ref="Z40" ca="1">CELL("protect",B40)</f>
        <v>0</v>
      </c>
      <c r="AA40" s="8" cm="1">
        <f t="array" aca="1" ref="AA40" ca="1">CELL("protect",C40)</f>
        <v>0</v>
      </c>
      <c r="AB40" s="8" cm="1">
        <f t="array" aca="1" ref="AB40" ca="1">CELL("protect",D40)</f>
        <v>0</v>
      </c>
      <c r="AC40" s="8" cm="1">
        <f t="array" aca="1" ref="AC40" ca="1">CELL("protect",E40)</f>
        <v>0</v>
      </c>
      <c r="AD40" s="8" cm="1">
        <f t="array" aca="1" ref="AD40" ca="1">CELL("protect",F40)</f>
        <v>0</v>
      </c>
      <c r="AE40" s="8" cm="1">
        <f t="array" aca="1" ref="AE40" ca="1">CELL("protect",G40)</f>
        <v>0</v>
      </c>
      <c r="AF40" s="8" cm="1">
        <f t="array" aca="1" ref="AF40" ca="1">CELL("protect",H40)</f>
        <v>0</v>
      </c>
      <c r="AG40" s="8" cm="1">
        <f t="array" aca="1" ref="AG40" ca="1">CELL("protect",I40)</f>
        <v>0</v>
      </c>
      <c r="AH40" s="8" cm="1">
        <f t="array" aca="1" ref="AH40" ca="1">CELL("protect",J40)</f>
        <v>0</v>
      </c>
      <c r="AI40" s="8" cm="1">
        <f t="array" aca="1" ref="AI40" ca="1">CELL("protect",K40)</f>
        <v>0</v>
      </c>
      <c r="AJ40" s="8" cm="1">
        <f t="array" aca="1" ref="AJ40" ca="1">CELL("protect",L40)</f>
        <v>0</v>
      </c>
      <c r="AK40" s="8"/>
      <c r="AL40" s="8"/>
      <c r="AM40" s="8"/>
    </row>
    <row r="41" spans="1:39" s="43" customFormat="1">
      <c r="A41" s="201">
        <f>ROW()</f>
        <v>41</v>
      </c>
      <c r="B41" s="1598"/>
      <c r="C41" s="364"/>
      <c r="D41" s="364"/>
      <c r="E41" s="2068">
        <f t="shared" si="0"/>
        <v>0</v>
      </c>
      <c r="F41" s="1196">
        <v>0</v>
      </c>
      <c r="G41" s="1135">
        <f t="shared" si="1"/>
        <v>0</v>
      </c>
      <c r="H41" s="626">
        <f t="shared" si="5"/>
        <v>0</v>
      </c>
      <c r="I41" s="626">
        <f t="shared" si="5"/>
        <v>0</v>
      </c>
      <c r="J41" s="626">
        <f t="shared" si="5"/>
        <v>0</v>
      </c>
      <c r="K41" s="626">
        <f t="shared" si="5"/>
        <v>0</v>
      </c>
      <c r="L41" s="626">
        <f t="shared" si="5"/>
        <v>0</v>
      </c>
      <c r="M41" s="40"/>
      <c r="N41" s="462"/>
      <c r="Y41" s="8" cm="1">
        <f t="array" aca="1" ref="Y41" ca="1">CELL("protect",A41)</f>
        <v>1</v>
      </c>
      <c r="Z41" s="8" cm="1">
        <f t="array" aca="1" ref="Z41" ca="1">CELL("protect",B41)</f>
        <v>0</v>
      </c>
      <c r="AA41" s="8" cm="1">
        <f t="array" aca="1" ref="AA41" ca="1">CELL("protect",C41)</f>
        <v>0</v>
      </c>
      <c r="AB41" s="8" cm="1">
        <f t="array" aca="1" ref="AB41" ca="1">CELL("protect",D41)</f>
        <v>0</v>
      </c>
      <c r="AC41" s="8" cm="1">
        <f t="array" aca="1" ref="AC41" ca="1">CELL("protect",E41)</f>
        <v>0</v>
      </c>
      <c r="AD41" s="8" cm="1">
        <f t="array" aca="1" ref="AD41" ca="1">CELL("protect",F41)</f>
        <v>0</v>
      </c>
      <c r="AE41" s="8" cm="1">
        <f t="array" aca="1" ref="AE41" ca="1">CELL("protect",G41)</f>
        <v>0</v>
      </c>
      <c r="AF41" s="8" cm="1">
        <f t="array" aca="1" ref="AF41" ca="1">CELL("protect",H41)</f>
        <v>0</v>
      </c>
      <c r="AG41" s="8" cm="1">
        <f t="array" aca="1" ref="AG41" ca="1">CELL("protect",I41)</f>
        <v>0</v>
      </c>
      <c r="AH41" s="8" cm="1">
        <f t="array" aca="1" ref="AH41" ca="1">CELL("protect",J41)</f>
        <v>0</v>
      </c>
      <c r="AI41" s="8" cm="1">
        <f t="array" aca="1" ref="AI41" ca="1">CELL("protect",K41)</f>
        <v>0</v>
      </c>
      <c r="AJ41" s="8" cm="1">
        <f t="array" aca="1" ref="AJ41" ca="1">CELL("protect",L41)</f>
        <v>0</v>
      </c>
      <c r="AK41" s="8"/>
      <c r="AL41" s="8"/>
      <c r="AM41" s="8"/>
    </row>
    <row r="42" spans="1:39" s="43" customFormat="1">
      <c r="A42" s="201">
        <f>ROW()</f>
        <v>42</v>
      </c>
      <c r="B42" s="1598"/>
      <c r="C42" s="364"/>
      <c r="D42" s="364"/>
      <c r="E42" s="2068">
        <f t="shared" si="0"/>
        <v>0</v>
      </c>
      <c r="F42" s="1196">
        <v>0</v>
      </c>
      <c r="G42" s="1135">
        <f t="shared" si="1"/>
        <v>0</v>
      </c>
      <c r="H42" s="626">
        <f t="shared" si="5"/>
        <v>0</v>
      </c>
      <c r="I42" s="626">
        <f t="shared" si="5"/>
        <v>0</v>
      </c>
      <c r="J42" s="626">
        <f t="shared" si="5"/>
        <v>0</v>
      </c>
      <c r="K42" s="626">
        <f t="shared" si="5"/>
        <v>0</v>
      </c>
      <c r="L42" s="626">
        <f t="shared" si="5"/>
        <v>0</v>
      </c>
      <c r="M42" s="40"/>
      <c r="N42" s="462"/>
      <c r="Y42" s="8" cm="1">
        <f t="array" aca="1" ref="Y42" ca="1">CELL("protect",A42)</f>
        <v>1</v>
      </c>
      <c r="Z42" s="8" cm="1">
        <f t="array" aca="1" ref="Z42" ca="1">CELL("protect",B42)</f>
        <v>0</v>
      </c>
      <c r="AA42" s="8" cm="1">
        <f t="array" aca="1" ref="AA42" ca="1">CELL("protect",C42)</f>
        <v>0</v>
      </c>
      <c r="AB42" s="8" cm="1">
        <f t="array" aca="1" ref="AB42" ca="1">CELL("protect",D42)</f>
        <v>0</v>
      </c>
      <c r="AC42" s="8" cm="1">
        <f t="array" aca="1" ref="AC42" ca="1">CELL("protect",E42)</f>
        <v>0</v>
      </c>
      <c r="AD42" s="8" cm="1">
        <f t="array" aca="1" ref="AD42" ca="1">CELL("protect",F42)</f>
        <v>0</v>
      </c>
      <c r="AE42" s="8" cm="1">
        <f t="array" aca="1" ref="AE42" ca="1">CELL("protect",G42)</f>
        <v>0</v>
      </c>
      <c r="AF42" s="8" cm="1">
        <f t="array" aca="1" ref="AF42" ca="1">CELL("protect",H42)</f>
        <v>0</v>
      </c>
      <c r="AG42" s="8" cm="1">
        <f t="array" aca="1" ref="AG42" ca="1">CELL("protect",I42)</f>
        <v>0</v>
      </c>
      <c r="AH42" s="8" cm="1">
        <f t="array" aca="1" ref="AH42" ca="1">CELL("protect",J42)</f>
        <v>0</v>
      </c>
      <c r="AI42" s="8" cm="1">
        <f t="array" aca="1" ref="AI42" ca="1">CELL("protect",K42)</f>
        <v>0</v>
      </c>
      <c r="AJ42" s="8" cm="1">
        <f t="array" aca="1" ref="AJ42" ca="1">CELL("protect",L42)</f>
        <v>0</v>
      </c>
      <c r="AK42" s="8"/>
      <c r="AL42" s="8"/>
      <c r="AM42" s="8"/>
    </row>
    <row r="43" spans="1:39" s="43" customFormat="1">
      <c r="A43" s="201">
        <f>ROW()</f>
        <v>43</v>
      </c>
      <c r="B43" s="1598"/>
      <c r="C43" s="364"/>
      <c r="D43" s="364"/>
      <c r="E43" s="2068">
        <f t="shared" si="0"/>
        <v>0</v>
      </c>
      <c r="F43" s="1196">
        <v>0</v>
      </c>
      <c r="G43" s="1135">
        <f t="shared" si="1"/>
        <v>0</v>
      </c>
      <c r="H43" s="626">
        <f t="shared" si="5"/>
        <v>0</v>
      </c>
      <c r="I43" s="626">
        <f t="shared" si="5"/>
        <v>0</v>
      </c>
      <c r="J43" s="626">
        <f t="shared" si="5"/>
        <v>0</v>
      </c>
      <c r="K43" s="626">
        <f t="shared" si="5"/>
        <v>0</v>
      </c>
      <c r="L43" s="626">
        <f t="shared" si="5"/>
        <v>0</v>
      </c>
      <c r="M43" s="40"/>
      <c r="N43" s="462"/>
      <c r="Y43" s="8" cm="1">
        <f t="array" aca="1" ref="Y43" ca="1">CELL("protect",A43)</f>
        <v>1</v>
      </c>
      <c r="Z43" s="8" cm="1">
        <f t="array" aca="1" ref="Z43" ca="1">CELL("protect",B43)</f>
        <v>0</v>
      </c>
      <c r="AA43" s="8" cm="1">
        <f t="array" aca="1" ref="AA43" ca="1">CELL("protect",C43)</f>
        <v>0</v>
      </c>
      <c r="AB43" s="8" cm="1">
        <f t="array" aca="1" ref="AB43" ca="1">CELL("protect",D43)</f>
        <v>0</v>
      </c>
      <c r="AC43" s="8" cm="1">
        <f t="array" aca="1" ref="AC43" ca="1">CELL("protect",E43)</f>
        <v>0</v>
      </c>
      <c r="AD43" s="8" cm="1">
        <f t="array" aca="1" ref="AD43" ca="1">CELL("protect",F43)</f>
        <v>0</v>
      </c>
      <c r="AE43" s="8" cm="1">
        <f t="array" aca="1" ref="AE43" ca="1">CELL("protect",G43)</f>
        <v>0</v>
      </c>
      <c r="AF43" s="8" cm="1">
        <f t="array" aca="1" ref="AF43" ca="1">CELL("protect",H43)</f>
        <v>0</v>
      </c>
      <c r="AG43" s="8" cm="1">
        <f t="array" aca="1" ref="AG43" ca="1">CELL("protect",I43)</f>
        <v>0</v>
      </c>
      <c r="AH43" s="8" cm="1">
        <f t="array" aca="1" ref="AH43" ca="1">CELL("protect",J43)</f>
        <v>0</v>
      </c>
      <c r="AI43" s="8" cm="1">
        <f t="array" aca="1" ref="AI43" ca="1">CELL("protect",K43)</f>
        <v>0</v>
      </c>
      <c r="AJ43" s="8" cm="1">
        <f t="array" aca="1" ref="AJ43" ca="1">CELL("protect",L43)</f>
        <v>0</v>
      </c>
      <c r="AK43" s="8"/>
      <c r="AL43" s="8"/>
      <c r="AM43" s="8"/>
    </row>
    <row r="44" spans="1:39" s="43" customFormat="1">
      <c r="A44" s="201">
        <f>ROW()</f>
        <v>44</v>
      </c>
      <c r="B44" s="1598"/>
      <c r="C44" s="364"/>
      <c r="D44" s="364"/>
      <c r="E44" s="2068">
        <f t="shared" si="0"/>
        <v>0</v>
      </c>
      <c r="F44" s="1196">
        <v>0</v>
      </c>
      <c r="G44" s="1135">
        <f t="shared" si="1"/>
        <v>0</v>
      </c>
      <c r="H44" s="626">
        <f t="shared" si="5"/>
        <v>0</v>
      </c>
      <c r="I44" s="626">
        <f t="shared" si="5"/>
        <v>0</v>
      </c>
      <c r="J44" s="626">
        <f t="shared" si="5"/>
        <v>0</v>
      </c>
      <c r="K44" s="626">
        <f t="shared" si="5"/>
        <v>0</v>
      </c>
      <c r="L44" s="626">
        <f t="shared" si="5"/>
        <v>0</v>
      </c>
      <c r="M44" s="40"/>
      <c r="N44" s="462"/>
      <c r="Y44" s="8" cm="1">
        <f t="array" aca="1" ref="Y44" ca="1">CELL("protect",A44)</f>
        <v>1</v>
      </c>
      <c r="Z44" s="8" cm="1">
        <f t="array" aca="1" ref="Z44" ca="1">CELL("protect",B44)</f>
        <v>0</v>
      </c>
      <c r="AA44" s="8" cm="1">
        <f t="array" aca="1" ref="AA44" ca="1">CELL("protect",C44)</f>
        <v>0</v>
      </c>
      <c r="AB44" s="8" cm="1">
        <f t="array" aca="1" ref="AB44" ca="1">CELL("protect",D44)</f>
        <v>0</v>
      </c>
      <c r="AC44" s="8" cm="1">
        <f t="array" aca="1" ref="AC44" ca="1">CELL("protect",E44)</f>
        <v>0</v>
      </c>
      <c r="AD44" s="8" cm="1">
        <f t="array" aca="1" ref="AD44" ca="1">CELL("protect",F44)</f>
        <v>0</v>
      </c>
      <c r="AE44" s="8" cm="1">
        <f t="array" aca="1" ref="AE44" ca="1">CELL("protect",G44)</f>
        <v>0</v>
      </c>
      <c r="AF44" s="8" cm="1">
        <f t="array" aca="1" ref="AF44" ca="1">CELL("protect",H44)</f>
        <v>0</v>
      </c>
      <c r="AG44" s="8" cm="1">
        <f t="array" aca="1" ref="AG44" ca="1">CELL("protect",I44)</f>
        <v>0</v>
      </c>
      <c r="AH44" s="8" cm="1">
        <f t="array" aca="1" ref="AH44" ca="1">CELL("protect",J44)</f>
        <v>0</v>
      </c>
      <c r="AI44" s="8" cm="1">
        <f t="array" aca="1" ref="AI44" ca="1">CELL("protect",K44)</f>
        <v>0</v>
      </c>
      <c r="AJ44" s="8" cm="1">
        <f t="array" aca="1" ref="AJ44" ca="1">CELL("protect",L44)</f>
        <v>0</v>
      </c>
      <c r="AK44" s="8"/>
      <c r="AL44" s="8"/>
      <c r="AM44" s="8"/>
    </row>
    <row r="45" spans="1:39" s="43" customFormat="1">
      <c r="A45" s="201">
        <f>ROW()</f>
        <v>45</v>
      </c>
      <c r="B45" s="1598"/>
      <c r="C45" s="364"/>
      <c r="D45" s="364"/>
      <c r="E45" s="2068">
        <f t="shared" si="0"/>
        <v>0</v>
      </c>
      <c r="F45" s="1196">
        <v>0</v>
      </c>
      <c r="G45" s="1135">
        <f t="shared" si="1"/>
        <v>0</v>
      </c>
      <c r="H45" s="626">
        <f t="shared" si="5"/>
        <v>0</v>
      </c>
      <c r="I45" s="626">
        <f t="shared" si="5"/>
        <v>0</v>
      </c>
      <c r="J45" s="626">
        <f t="shared" si="5"/>
        <v>0</v>
      </c>
      <c r="K45" s="626">
        <f t="shared" si="5"/>
        <v>0</v>
      </c>
      <c r="L45" s="626">
        <f t="shared" si="5"/>
        <v>0</v>
      </c>
      <c r="M45" s="40"/>
      <c r="N45" s="462"/>
      <c r="Y45" s="8" cm="1">
        <f t="array" aca="1" ref="Y45" ca="1">CELL("protect",A45)</f>
        <v>1</v>
      </c>
      <c r="Z45" s="8" cm="1">
        <f t="array" aca="1" ref="Z45" ca="1">CELL("protect",B45)</f>
        <v>0</v>
      </c>
      <c r="AA45" s="8" cm="1">
        <f t="array" aca="1" ref="AA45" ca="1">CELL("protect",C45)</f>
        <v>0</v>
      </c>
      <c r="AB45" s="8" cm="1">
        <f t="array" aca="1" ref="AB45" ca="1">CELL("protect",D45)</f>
        <v>0</v>
      </c>
      <c r="AC45" s="8" cm="1">
        <f t="array" aca="1" ref="AC45" ca="1">CELL("protect",E45)</f>
        <v>0</v>
      </c>
      <c r="AD45" s="8" cm="1">
        <f t="array" aca="1" ref="AD45" ca="1">CELL("protect",F45)</f>
        <v>0</v>
      </c>
      <c r="AE45" s="8" cm="1">
        <f t="array" aca="1" ref="AE45" ca="1">CELL("protect",G45)</f>
        <v>0</v>
      </c>
      <c r="AF45" s="8" cm="1">
        <f t="array" aca="1" ref="AF45" ca="1">CELL("protect",H45)</f>
        <v>0</v>
      </c>
      <c r="AG45" s="8" cm="1">
        <f t="array" aca="1" ref="AG45" ca="1">CELL("protect",I45)</f>
        <v>0</v>
      </c>
      <c r="AH45" s="8" cm="1">
        <f t="array" aca="1" ref="AH45" ca="1">CELL("protect",J45)</f>
        <v>0</v>
      </c>
      <c r="AI45" s="8" cm="1">
        <f t="array" aca="1" ref="AI45" ca="1">CELL("protect",K45)</f>
        <v>0</v>
      </c>
      <c r="AJ45" s="8" cm="1">
        <f t="array" aca="1" ref="AJ45" ca="1">CELL("protect",L45)</f>
        <v>0</v>
      </c>
      <c r="AK45" s="8"/>
      <c r="AL45" s="8"/>
      <c r="AM45" s="8"/>
    </row>
    <row r="46" spans="1:39" s="43" customFormat="1">
      <c r="A46" s="201">
        <f>ROW()</f>
        <v>46</v>
      </c>
      <c r="B46" s="1598"/>
      <c r="C46" s="364"/>
      <c r="D46" s="364"/>
      <c r="E46" s="2068">
        <f t="shared" si="0"/>
        <v>0</v>
      </c>
      <c r="F46" s="1196">
        <v>0</v>
      </c>
      <c r="G46" s="1135">
        <f t="shared" si="1"/>
        <v>0</v>
      </c>
      <c r="H46" s="626">
        <f t="shared" si="5"/>
        <v>0</v>
      </c>
      <c r="I46" s="626">
        <f t="shared" si="5"/>
        <v>0</v>
      </c>
      <c r="J46" s="626">
        <f t="shared" si="5"/>
        <v>0</v>
      </c>
      <c r="K46" s="626">
        <f t="shared" si="5"/>
        <v>0</v>
      </c>
      <c r="L46" s="626">
        <f t="shared" si="5"/>
        <v>0</v>
      </c>
      <c r="M46" s="40"/>
      <c r="N46" s="462"/>
      <c r="Y46" s="8" cm="1">
        <f t="array" aca="1" ref="Y46" ca="1">CELL("protect",A46)</f>
        <v>1</v>
      </c>
      <c r="Z46" s="8" cm="1">
        <f t="array" aca="1" ref="Z46" ca="1">CELL("protect",B46)</f>
        <v>0</v>
      </c>
      <c r="AA46" s="8" cm="1">
        <f t="array" aca="1" ref="AA46" ca="1">CELL("protect",C46)</f>
        <v>0</v>
      </c>
      <c r="AB46" s="8" cm="1">
        <f t="array" aca="1" ref="AB46" ca="1">CELL("protect",D46)</f>
        <v>0</v>
      </c>
      <c r="AC46" s="8" cm="1">
        <f t="array" aca="1" ref="AC46" ca="1">CELL("protect",E46)</f>
        <v>0</v>
      </c>
      <c r="AD46" s="8" cm="1">
        <f t="array" aca="1" ref="AD46" ca="1">CELL("protect",F46)</f>
        <v>0</v>
      </c>
      <c r="AE46" s="8" cm="1">
        <f t="array" aca="1" ref="AE46" ca="1">CELL("protect",G46)</f>
        <v>0</v>
      </c>
      <c r="AF46" s="8" cm="1">
        <f t="array" aca="1" ref="AF46" ca="1">CELL("protect",H46)</f>
        <v>0</v>
      </c>
      <c r="AG46" s="8" cm="1">
        <f t="array" aca="1" ref="AG46" ca="1">CELL("protect",I46)</f>
        <v>0</v>
      </c>
      <c r="AH46" s="8" cm="1">
        <f t="array" aca="1" ref="AH46" ca="1">CELL("protect",J46)</f>
        <v>0</v>
      </c>
      <c r="AI46" s="8" cm="1">
        <f t="array" aca="1" ref="AI46" ca="1">CELL("protect",K46)</f>
        <v>0</v>
      </c>
      <c r="AJ46" s="8" cm="1">
        <f t="array" aca="1" ref="AJ46" ca="1">CELL("protect",L46)</f>
        <v>0</v>
      </c>
      <c r="AK46" s="8"/>
      <c r="AL46" s="8"/>
      <c r="AM46" s="8"/>
    </row>
    <row r="47" spans="1:39" s="43" customFormat="1">
      <c r="A47" s="201">
        <f>ROW()</f>
        <v>47</v>
      </c>
      <c r="B47" s="1599"/>
      <c r="C47" s="364">
        <v>0</v>
      </c>
      <c r="D47" s="364">
        <v>0</v>
      </c>
      <c r="E47" s="1995">
        <f t="shared" si="0"/>
        <v>0</v>
      </c>
      <c r="F47" s="1200">
        <v>0</v>
      </c>
      <c r="G47" s="1137">
        <f t="shared" ref="G47:L47" si="6">+$D47</f>
        <v>0</v>
      </c>
      <c r="H47" s="627">
        <f t="shared" si="6"/>
        <v>0</v>
      </c>
      <c r="I47" s="627">
        <f t="shared" si="6"/>
        <v>0</v>
      </c>
      <c r="J47" s="627">
        <f t="shared" si="6"/>
        <v>0</v>
      </c>
      <c r="K47" s="627">
        <f t="shared" si="6"/>
        <v>0</v>
      </c>
      <c r="L47" s="627">
        <f t="shared" si="6"/>
        <v>0</v>
      </c>
      <c r="M47" s="40"/>
      <c r="N47" s="462"/>
      <c r="Y47" s="8" cm="1">
        <f t="array" aca="1" ref="Y47" ca="1">CELL("protect",A47)</f>
        <v>1</v>
      </c>
      <c r="Z47" s="8" cm="1">
        <f t="array" aca="1" ref="Z47" ca="1">CELL("protect",B47)</f>
        <v>0</v>
      </c>
      <c r="AA47" s="8" cm="1">
        <f t="array" aca="1" ref="AA47" ca="1">CELL("protect",C47)</f>
        <v>0</v>
      </c>
      <c r="AB47" s="8" cm="1">
        <f t="array" aca="1" ref="AB47" ca="1">CELL("protect",D47)</f>
        <v>0</v>
      </c>
      <c r="AC47" s="8" cm="1">
        <f t="array" aca="1" ref="AC47" ca="1">CELL("protect",E47)</f>
        <v>0</v>
      </c>
      <c r="AD47" s="8" cm="1">
        <f t="array" aca="1" ref="AD47" ca="1">CELL("protect",F47)</f>
        <v>0</v>
      </c>
      <c r="AE47" s="8" cm="1">
        <f t="array" aca="1" ref="AE47" ca="1">CELL("protect",G47)</f>
        <v>0</v>
      </c>
      <c r="AF47" s="8" cm="1">
        <f t="array" aca="1" ref="AF47" ca="1">CELL("protect",H47)</f>
        <v>0</v>
      </c>
      <c r="AG47" s="8" cm="1">
        <f t="array" aca="1" ref="AG47" ca="1">CELL("protect",I47)</f>
        <v>0</v>
      </c>
      <c r="AH47" s="8" cm="1">
        <f t="array" aca="1" ref="AH47" ca="1">CELL("protect",J47)</f>
        <v>0</v>
      </c>
      <c r="AI47" s="8" cm="1">
        <f t="array" aca="1" ref="AI47" ca="1">CELL("protect",K47)</f>
        <v>0</v>
      </c>
      <c r="AJ47" s="8" cm="1">
        <f t="array" aca="1" ref="AJ47" ca="1">CELL("protect",L47)</f>
        <v>0</v>
      </c>
      <c r="AK47" s="8"/>
      <c r="AL47" s="8"/>
      <c r="AM47" s="8"/>
    </row>
    <row r="48" spans="1:39" s="43" customFormat="1">
      <c r="A48" s="201">
        <f>ROW()</f>
        <v>48</v>
      </c>
      <c r="B48" s="479" t="s">
        <v>788</v>
      </c>
      <c r="C48" s="480"/>
      <c r="D48" s="480"/>
      <c r="E48" s="481"/>
      <c r="F48" s="1138">
        <f t="shared" ref="F48:L48" si="7">SUM(F9:F47)</f>
        <v>0</v>
      </c>
      <c r="G48" s="1138">
        <f t="shared" si="7"/>
        <v>23550</v>
      </c>
      <c r="H48" s="482">
        <f t="shared" si="7"/>
        <v>23550</v>
      </c>
      <c r="I48" s="482">
        <f t="shared" si="7"/>
        <v>23550</v>
      </c>
      <c r="J48" s="482">
        <f t="shared" si="7"/>
        <v>23550</v>
      </c>
      <c r="K48" s="482">
        <f t="shared" si="7"/>
        <v>23550</v>
      </c>
      <c r="L48" s="482">
        <f t="shared" si="7"/>
        <v>23550</v>
      </c>
      <c r="M48" s="40"/>
      <c r="N48" s="462"/>
      <c r="Y48" s="8" cm="1">
        <f t="array" aca="1" ref="Y48" ca="1">CELL("protect",A48)</f>
        <v>1</v>
      </c>
      <c r="Z48" s="8" cm="1">
        <f t="array" aca="1" ref="Z48" ca="1">CELL("protect",B48)</f>
        <v>0</v>
      </c>
      <c r="AA48" s="8" cm="1">
        <f t="array" aca="1" ref="AA48" ca="1">CELL("protect",C48)</f>
        <v>0</v>
      </c>
      <c r="AB48" s="8" cm="1">
        <f t="array" aca="1" ref="AB48" ca="1">CELL("protect",D48)</f>
        <v>0</v>
      </c>
      <c r="AC48" s="8" cm="1">
        <f t="array" aca="1" ref="AC48" ca="1">CELL("protect",E48)</f>
        <v>1</v>
      </c>
      <c r="AD48" s="8" cm="1">
        <f t="array" aca="1" ref="AD48" ca="1">CELL("protect",F48)</f>
        <v>1</v>
      </c>
      <c r="AE48" s="8" cm="1">
        <f t="array" aca="1" ref="AE48" ca="1">CELL("protect",G48)</f>
        <v>1</v>
      </c>
      <c r="AF48" s="8" cm="1">
        <f t="array" aca="1" ref="AF48" ca="1">CELL("protect",H48)</f>
        <v>1</v>
      </c>
      <c r="AG48" s="8" cm="1">
        <f t="array" aca="1" ref="AG48" ca="1">CELL("protect",I48)</f>
        <v>1</v>
      </c>
      <c r="AH48" s="8" cm="1">
        <f t="array" aca="1" ref="AH48" ca="1">CELL("protect",J48)</f>
        <v>1</v>
      </c>
      <c r="AI48" s="8" cm="1">
        <f t="array" aca="1" ref="AI48" ca="1">CELL("protect",K48)</f>
        <v>1</v>
      </c>
      <c r="AJ48" s="8" cm="1">
        <f t="array" aca="1" ref="AJ48" ca="1">CELL("protect",L48)</f>
        <v>1</v>
      </c>
      <c r="AK48" s="8"/>
      <c r="AL48" s="8"/>
      <c r="AM48" s="8"/>
    </row>
    <row r="49" spans="1:39" s="43" customFormat="1">
      <c r="A49" s="201">
        <f>ROW()</f>
        <v>49</v>
      </c>
      <c r="B49" s="476" t="s">
        <v>789</v>
      </c>
      <c r="C49" s="475"/>
      <c r="D49" s="1167">
        <v>0.02</v>
      </c>
      <c r="E49" s="1168"/>
      <c r="F49" s="477">
        <f t="shared" ref="F49:L49" si="8">+F48*((1+$D$49)^F7-1)</f>
        <v>0</v>
      </c>
      <c r="G49" s="477">
        <f t="shared" si="8"/>
        <v>471.0000000000004</v>
      </c>
      <c r="H49" s="478">
        <f t="shared" si="8"/>
        <v>951.41999999999985</v>
      </c>
      <c r="I49" s="478">
        <f t="shared" si="8"/>
        <v>1441.4483999999984</v>
      </c>
      <c r="J49" s="478">
        <f t="shared" si="8"/>
        <v>1941.2773679999993</v>
      </c>
      <c r="K49" s="478">
        <f t="shared" si="8"/>
        <v>2451.1029153600002</v>
      </c>
      <c r="L49" s="478">
        <f t="shared" si="8"/>
        <v>2971.1249736672016</v>
      </c>
      <c r="M49" s="40"/>
      <c r="N49" s="462"/>
      <c r="Y49" s="8" cm="1">
        <f t="array" aca="1" ref="Y49" ca="1">CELL("protect",A49)</f>
        <v>1</v>
      </c>
      <c r="Z49" s="8" cm="1">
        <f t="array" aca="1" ref="Z49" ca="1">CELL("protect",B49)</f>
        <v>0</v>
      </c>
      <c r="AA49" s="8" cm="1">
        <f t="array" aca="1" ref="AA49" ca="1">CELL("protect",C49)</f>
        <v>0</v>
      </c>
      <c r="AB49" s="8" cm="1">
        <f t="array" aca="1" ref="AB49" ca="1">CELL("protect",D49)</f>
        <v>0</v>
      </c>
      <c r="AC49" s="8" cm="1">
        <f t="array" aca="1" ref="AC49" ca="1">CELL("protect",E49)</f>
        <v>1</v>
      </c>
      <c r="AD49" s="8" cm="1">
        <f t="array" aca="1" ref="AD49" ca="1">CELL("protect",F49)</f>
        <v>1</v>
      </c>
      <c r="AE49" s="8" cm="1">
        <f t="array" aca="1" ref="AE49" ca="1">CELL("protect",G49)</f>
        <v>1</v>
      </c>
      <c r="AF49" s="8" cm="1">
        <f t="array" aca="1" ref="AF49" ca="1">CELL("protect",H49)</f>
        <v>1</v>
      </c>
      <c r="AG49" s="8" cm="1">
        <f t="array" aca="1" ref="AG49" ca="1">CELL("protect",I49)</f>
        <v>1</v>
      </c>
      <c r="AH49" s="8" cm="1">
        <f t="array" aca="1" ref="AH49" ca="1">CELL("protect",J49)</f>
        <v>1</v>
      </c>
      <c r="AI49" s="8" cm="1">
        <f t="array" aca="1" ref="AI49" ca="1">CELL("protect",K49)</f>
        <v>1</v>
      </c>
      <c r="AJ49" s="8" cm="1">
        <f t="array" aca="1" ref="AJ49" ca="1">CELL("protect",L49)</f>
        <v>1</v>
      </c>
      <c r="AK49" s="8"/>
      <c r="AL49" s="8"/>
      <c r="AM49" s="8"/>
    </row>
    <row r="50" spans="1:39" ht="15.6">
      <c r="A50" s="201"/>
      <c r="D50" s="1623">
        <f>SUM(D9:D47)</f>
        <v>23550</v>
      </c>
      <c r="E50" s="335">
        <f>SUM(E9:E47)</f>
        <v>141300</v>
      </c>
      <c r="F50" s="335">
        <f>SUM(F9:F47)</f>
        <v>0</v>
      </c>
      <c r="G50" s="335">
        <f t="shared" ref="G50:L50" si="9">SUM(G9:G47)+G49</f>
        <v>24021</v>
      </c>
      <c r="H50" s="335">
        <f t="shared" si="9"/>
        <v>24501.42</v>
      </c>
      <c r="I50" s="335">
        <f t="shared" si="9"/>
        <v>24991.448399999997</v>
      </c>
      <c r="J50" s="335">
        <f t="shared" si="9"/>
        <v>25491.277367999999</v>
      </c>
      <c r="K50" s="335">
        <f t="shared" si="9"/>
        <v>26001.102915359999</v>
      </c>
      <c r="L50" s="335">
        <f t="shared" si="9"/>
        <v>26521.124973667203</v>
      </c>
      <c r="N50" s="462"/>
      <c r="Y50" s="8" cm="1">
        <f t="array" aca="1" ref="Y50" ca="1">CELL("protect",A50)</f>
        <v>1</v>
      </c>
      <c r="Z50" s="8" cm="1">
        <f t="array" aca="1" ref="Z50" ca="1">CELL("protect",B50)</f>
        <v>1</v>
      </c>
      <c r="AA50" s="8" cm="1">
        <f t="array" aca="1" ref="AA50" ca="1">CELL("protect",C50)</f>
        <v>1</v>
      </c>
      <c r="AB50" s="8" cm="1">
        <f t="array" aca="1" ref="AB50" ca="1">CELL("protect",D50)</f>
        <v>1</v>
      </c>
      <c r="AC50" s="8" cm="1">
        <f t="array" aca="1" ref="AC50" ca="1">CELL("protect",E50)</f>
        <v>1</v>
      </c>
      <c r="AD50" s="8" cm="1">
        <f t="array" aca="1" ref="AD50" ca="1">CELL("protect",F50)</f>
        <v>1</v>
      </c>
      <c r="AE50" s="8" cm="1">
        <f t="array" aca="1" ref="AE50" ca="1">CELL("protect",G50)</f>
        <v>1</v>
      </c>
      <c r="AF50" s="8" cm="1">
        <f t="array" aca="1" ref="AF50" ca="1">CELL("protect",H50)</f>
        <v>1</v>
      </c>
      <c r="AG50" s="8" cm="1">
        <f t="array" aca="1" ref="AG50" ca="1">CELL("protect",I50)</f>
        <v>1</v>
      </c>
      <c r="AH50" s="8" cm="1">
        <f t="array" aca="1" ref="AH50" ca="1">CELL("protect",J50)</f>
        <v>1</v>
      </c>
      <c r="AI50" s="8" cm="1">
        <f t="array" aca="1" ref="AI50" ca="1">CELL("protect",K50)</f>
        <v>1</v>
      </c>
      <c r="AJ50" s="8" cm="1">
        <f t="array" aca="1" ref="AJ50" ca="1">CELL("protect",L50)</f>
        <v>1</v>
      </c>
      <c r="AK50" s="8"/>
      <c r="AL50" s="8"/>
      <c r="AM50" s="8"/>
    </row>
    <row r="51" spans="1:39" ht="14.4">
      <c r="A51" s="201">
        <f t="shared" ref="A51:A72" si="10">ROW()-9</f>
        <v>42</v>
      </c>
      <c r="B51" s="273" t="s">
        <v>790</v>
      </c>
      <c r="Y51" s="8" cm="1">
        <f t="array" aca="1" ref="Y51" ca="1">CELL("protect",A51)</f>
        <v>1</v>
      </c>
      <c r="Z51" s="8" cm="1">
        <f t="array" aca="1" ref="Z51" ca="1">CELL("protect",B51)</f>
        <v>1</v>
      </c>
      <c r="AA51" s="8" cm="1">
        <f t="array" aca="1" ref="AA51" ca="1">CELL("protect",C51)</f>
        <v>1</v>
      </c>
      <c r="AB51" s="8" cm="1">
        <f t="array" aca="1" ref="AB51" ca="1">CELL("protect",D51)</f>
        <v>1</v>
      </c>
      <c r="AC51" s="8" cm="1">
        <f t="array" aca="1" ref="AC51" ca="1">CELL("protect",E51)</f>
        <v>1</v>
      </c>
      <c r="AD51" s="8" cm="1">
        <f t="array" aca="1" ref="AD51" ca="1">CELL("protect",F51)</f>
        <v>1</v>
      </c>
      <c r="AE51" s="8" cm="1">
        <f t="array" aca="1" ref="AE51" ca="1">CELL("protect",G51)</f>
        <v>1</v>
      </c>
      <c r="AF51" s="8" cm="1">
        <f t="array" aca="1" ref="AF51" ca="1">CELL("protect",H51)</f>
        <v>1</v>
      </c>
      <c r="AG51" s="8" cm="1">
        <f t="array" aca="1" ref="AG51" ca="1">CELL("protect",I51)</f>
        <v>1</v>
      </c>
      <c r="AH51" s="8" cm="1">
        <f t="array" aca="1" ref="AH51" ca="1">CELL("protect",J51)</f>
        <v>1</v>
      </c>
      <c r="AI51" s="8" cm="1">
        <f t="array" aca="1" ref="AI51" ca="1">CELL("protect",K51)</f>
        <v>1</v>
      </c>
      <c r="AJ51" s="8" cm="1">
        <f t="array" aca="1" ref="AJ51" ca="1">CELL("protect",L51)</f>
        <v>1</v>
      </c>
      <c r="AK51" s="8"/>
      <c r="AL51" s="8"/>
      <c r="AM51" s="8"/>
    </row>
    <row r="52" spans="1:39" ht="14.4">
      <c r="A52" s="201">
        <f t="shared" si="10"/>
        <v>43</v>
      </c>
      <c r="B52" s="273" t="s">
        <v>791</v>
      </c>
      <c r="Y52" s="8" cm="1">
        <f t="array" aca="1" ref="Y52" ca="1">CELL("protect",A52)</f>
        <v>1</v>
      </c>
      <c r="Z52" s="8" cm="1">
        <f t="array" aca="1" ref="Z52" ca="1">CELL("protect",B52)</f>
        <v>1</v>
      </c>
      <c r="AA52" s="8" cm="1">
        <f t="array" aca="1" ref="AA52" ca="1">CELL("protect",C52)</f>
        <v>1</v>
      </c>
      <c r="AB52" s="8" cm="1">
        <f t="array" aca="1" ref="AB52" ca="1">CELL("protect",D52)</f>
        <v>1</v>
      </c>
      <c r="AC52" s="8" cm="1">
        <f t="array" aca="1" ref="AC52" ca="1">CELL("protect",E52)</f>
        <v>1</v>
      </c>
      <c r="AD52" s="8" cm="1">
        <f t="array" aca="1" ref="AD52" ca="1">CELL("protect",F52)</f>
        <v>1</v>
      </c>
      <c r="AE52" s="8" cm="1">
        <f t="array" aca="1" ref="AE52" ca="1">CELL("protect",G52)</f>
        <v>1</v>
      </c>
      <c r="AF52" s="8" cm="1">
        <f t="array" aca="1" ref="AF52" ca="1">CELL("protect",H52)</f>
        <v>1</v>
      </c>
      <c r="AG52" s="8" cm="1">
        <f t="array" aca="1" ref="AG52" ca="1">CELL("protect",I52)</f>
        <v>1</v>
      </c>
      <c r="AH52" s="8" cm="1">
        <f t="array" aca="1" ref="AH52" ca="1">CELL("protect",J52)</f>
        <v>1</v>
      </c>
      <c r="AI52" s="8" cm="1">
        <f t="array" aca="1" ref="AI52" ca="1">CELL("protect",K52)</f>
        <v>1</v>
      </c>
      <c r="AJ52" s="8" cm="1">
        <f t="array" aca="1" ref="AJ52" ca="1">CELL("protect",L52)</f>
        <v>1</v>
      </c>
      <c r="AK52" s="8"/>
      <c r="AL52" s="8"/>
      <c r="AM52" s="8"/>
    </row>
    <row r="53" spans="1:39" ht="14.4">
      <c r="A53" s="201">
        <f t="shared" si="10"/>
        <v>44</v>
      </c>
      <c r="B53" s="273" t="s">
        <v>792</v>
      </c>
      <c r="G53" s="474"/>
      <c r="H53" s="474"/>
      <c r="I53" s="474"/>
      <c r="J53" s="474"/>
      <c r="K53" s="474"/>
      <c r="L53" s="474"/>
      <c r="Y53" s="8" cm="1">
        <f t="array" aca="1" ref="Y53" ca="1">CELL("protect",A53)</f>
        <v>1</v>
      </c>
      <c r="Z53" s="8" cm="1">
        <f t="array" aca="1" ref="Z53" ca="1">CELL("protect",B53)</f>
        <v>1</v>
      </c>
      <c r="AA53" s="8" cm="1">
        <f t="array" aca="1" ref="AA53" ca="1">CELL("protect",C53)</f>
        <v>1</v>
      </c>
      <c r="AB53" s="8" cm="1">
        <f t="array" aca="1" ref="AB53" ca="1">CELL("protect",D53)</f>
        <v>1</v>
      </c>
      <c r="AC53" s="8" cm="1">
        <f t="array" aca="1" ref="AC53" ca="1">CELL("protect",E53)</f>
        <v>1</v>
      </c>
      <c r="AD53" s="8" cm="1">
        <f t="array" aca="1" ref="AD53" ca="1">CELL("protect",F53)</f>
        <v>1</v>
      </c>
      <c r="AE53" s="8" cm="1">
        <f t="array" aca="1" ref="AE53" ca="1">CELL("protect",G53)</f>
        <v>1</v>
      </c>
      <c r="AF53" s="8" cm="1">
        <f t="array" aca="1" ref="AF53" ca="1">CELL("protect",H53)</f>
        <v>1</v>
      </c>
      <c r="AG53" s="8" cm="1">
        <f t="array" aca="1" ref="AG53" ca="1">CELL("protect",I53)</f>
        <v>1</v>
      </c>
      <c r="AH53" s="8" cm="1">
        <f t="array" aca="1" ref="AH53" ca="1">CELL("protect",J53)</f>
        <v>1</v>
      </c>
      <c r="AI53" s="8" cm="1">
        <f t="array" aca="1" ref="AI53" ca="1">CELL("protect",K53)</f>
        <v>1</v>
      </c>
      <c r="AJ53" s="8" cm="1">
        <f t="array" aca="1" ref="AJ53" ca="1">CELL("protect",L53)</f>
        <v>1</v>
      </c>
      <c r="AK53" s="8"/>
      <c r="AL53" s="8"/>
      <c r="AM53" s="8"/>
    </row>
    <row r="54" spans="1:39">
      <c r="A54" s="201">
        <f t="shared" si="10"/>
        <v>45</v>
      </c>
      <c r="Y54" s="8" cm="1">
        <f t="array" aca="1" ref="Y54" ca="1">CELL("protect",A54)</f>
        <v>1</v>
      </c>
      <c r="Z54" s="8" cm="1">
        <f t="array" aca="1" ref="Z54" ca="1">CELL("protect",B54)</f>
        <v>1</v>
      </c>
      <c r="AA54" s="8" cm="1">
        <f t="array" aca="1" ref="AA54" ca="1">CELL("protect",C54)</f>
        <v>1</v>
      </c>
      <c r="AB54" s="8" cm="1">
        <f t="array" aca="1" ref="AB54" ca="1">CELL("protect",D54)</f>
        <v>1</v>
      </c>
      <c r="AC54" s="8" cm="1">
        <f t="array" aca="1" ref="AC54" ca="1">CELL("protect",E54)</f>
        <v>1</v>
      </c>
      <c r="AD54" s="8" cm="1">
        <f t="array" aca="1" ref="AD54" ca="1">CELL("protect",F54)</f>
        <v>1</v>
      </c>
      <c r="AE54" s="8" cm="1">
        <f t="array" aca="1" ref="AE54" ca="1">CELL("protect",G54)</f>
        <v>1</v>
      </c>
      <c r="AF54" s="8" cm="1">
        <f t="array" aca="1" ref="AF54" ca="1">CELL("protect",H54)</f>
        <v>1</v>
      </c>
      <c r="AG54" s="8" cm="1">
        <f t="array" aca="1" ref="AG54" ca="1">CELL("protect",I54)</f>
        <v>1</v>
      </c>
      <c r="AH54" s="8" cm="1">
        <f t="array" aca="1" ref="AH54" ca="1">CELL("protect",J54)</f>
        <v>1</v>
      </c>
      <c r="AI54" s="8" cm="1">
        <f t="array" aca="1" ref="AI54" ca="1">CELL("protect",K54)</f>
        <v>1</v>
      </c>
      <c r="AJ54" s="8" cm="1">
        <f t="array" aca="1" ref="AJ54" ca="1">CELL("protect",L54)</f>
        <v>1</v>
      </c>
      <c r="AK54" s="8"/>
      <c r="AL54" s="8"/>
      <c r="AM54" s="8"/>
    </row>
    <row r="55" spans="1:39">
      <c r="A55" s="201">
        <f t="shared" si="10"/>
        <v>46</v>
      </c>
    </row>
    <row r="56" spans="1:39">
      <c r="A56" s="201">
        <f t="shared" si="10"/>
        <v>47</v>
      </c>
    </row>
    <row r="57" spans="1:39">
      <c r="A57" s="201">
        <f t="shared" si="10"/>
        <v>48</v>
      </c>
    </row>
    <row r="58" spans="1:39">
      <c r="A58" s="201">
        <f t="shared" si="10"/>
        <v>49</v>
      </c>
    </row>
    <row r="59" spans="1:39">
      <c r="A59" s="201">
        <f t="shared" si="10"/>
        <v>50</v>
      </c>
    </row>
    <row r="60" spans="1:39">
      <c r="A60" s="201">
        <f t="shared" si="10"/>
        <v>51</v>
      </c>
    </row>
    <row r="61" spans="1:39">
      <c r="A61" s="201">
        <f t="shared" si="10"/>
        <v>52</v>
      </c>
    </row>
    <row r="62" spans="1:39">
      <c r="A62" s="201">
        <f t="shared" si="10"/>
        <v>53</v>
      </c>
    </row>
    <row r="63" spans="1:39">
      <c r="A63" s="201">
        <f t="shared" si="10"/>
        <v>54</v>
      </c>
    </row>
    <row r="64" spans="1:39">
      <c r="A64" s="201">
        <f t="shared" si="10"/>
        <v>55</v>
      </c>
    </row>
    <row r="65" spans="1:1">
      <c r="A65" s="201">
        <f t="shared" si="10"/>
        <v>56</v>
      </c>
    </row>
    <row r="66" spans="1:1">
      <c r="A66" s="201">
        <f t="shared" si="10"/>
        <v>57</v>
      </c>
    </row>
    <row r="67" spans="1:1">
      <c r="A67" s="201">
        <f t="shared" si="10"/>
        <v>58</v>
      </c>
    </row>
    <row r="68" spans="1:1">
      <c r="A68" s="201">
        <f t="shared" si="10"/>
        <v>59</v>
      </c>
    </row>
    <row r="69" spans="1:1">
      <c r="A69" s="201">
        <f t="shared" si="10"/>
        <v>60</v>
      </c>
    </row>
    <row r="70" spans="1:1">
      <c r="A70" s="201">
        <f t="shared" si="10"/>
        <v>61</v>
      </c>
    </row>
    <row r="71" spans="1:1">
      <c r="A71" s="201">
        <f t="shared" si="10"/>
        <v>62</v>
      </c>
    </row>
    <row r="72" spans="1:1">
      <c r="A72" s="201">
        <f t="shared" si="10"/>
        <v>63</v>
      </c>
    </row>
    <row r="73" spans="1:1">
      <c r="A73" s="201">
        <f t="shared" ref="A73:A99" si="11">ROW()-9</f>
        <v>64</v>
      </c>
    </row>
    <row r="74" spans="1:1">
      <c r="A74" s="201">
        <f t="shared" si="11"/>
        <v>65</v>
      </c>
    </row>
    <row r="75" spans="1:1">
      <c r="A75" s="201">
        <f t="shared" si="11"/>
        <v>66</v>
      </c>
    </row>
    <row r="76" spans="1:1">
      <c r="A76" s="201">
        <f t="shared" si="11"/>
        <v>67</v>
      </c>
    </row>
    <row r="77" spans="1:1">
      <c r="A77" s="201">
        <f t="shared" si="11"/>
        <v>68</v>
      </c>
    </row>
    <row r="78" spans="1:1">
      <c r="A78" s="201">
        <f t="shared" si="11"/>
        <v>69</v>
      </c>
    </row>
    <row r="79" spans="1:1">
      <c r="A79" s="201">
        <f t="shared" si="11"/>
        <v>70</v>
      </c>
    </row>
    <row r="80" spans="1:1">
      <c r="A80" s="201">
        <f t="shared" si="11"/>
        <v>71</v>
      </c>
    </row>
    <row r="81" spans="1:1">
      <c r="A81" s="201">
        <f t="shared" si="11"/>
        <v>72</v>
      </c>
    </row>
    <row r="82" spans="1:1">
      <c r="A82" s="201">
        <f t="shared" si="11"/>
        <v>73</v>
      </c>
    </row>
    <row r="83" spans="1:1">
      <c r="A83" s="201">
        <f t="shared" si="11"/>
        <v>74</v>
      </c>
    </row>
    <row r="84" spans="1:1">
      <c r="A84" s="201">
        <f t="shared" si="11"/>
        <v>75</v>
      </c>
    </row>
    <row r="85" spans="1:1">
      <c r="A85" s="201">
        <f t="shared" si="11"/>
        <v>76</v>
      </c>
    </row>
    <row r="86" spans="1:1">
      <c r="A86" s="201">
        <f t="shared" si="11"/>
        <v>77</v>
      </c>
    </row>
    <row r="87" spans="1:1">
      <c r="A87" s="201">
        <f t="shared" si="11"/>
        <v>78</v>
      </c>
    </row>
    <row r="88" spans="1:1">
      <c r="A88" s="201">
        <f t="shared" si="11"/>
        <v>79</v>
      </c>
    </row>
    <row r="89" spans="1:1">
      <c r="A89" s="201">
        <f t="shared" si="11"/>
        <v>80</v>
      </c>
    </row>
    <row r="90" spans="1:1">
      <c r="A90" s="201">
        <f t="shared" si="11"/>
        <v>81</v>
      </c>
    </row>
    <row r="91" spans="1:1">
      <c r="A91" s="201">
        <f t="shared" si="11"/>
        <v>82</v>
      </c>
    </row>
    <row r="92" spans="1:1">
      <c r="A92" s="201">
        <f t="shared" si="11"/>
        <v>83</v>
      </c>
    </row>
    <row r="93" spans="1:1">
      <c r="A93" s="201">
        <f t="shared" si="11"/>
        <v>84</v>
      </c>
    </row>
    <row r="94" spans="1:1">
      <c r="A94" s="201">
        <f t="shared" si="11"/>
        <v>85</v>
      </c>
    </row>
    <row r="95" spans="1:1">
      <c r="A95" s="201">
        <f t="shared" si="11"/>
        <v>86</v>
      </c>
    </row>
    <row r="96" spans="1:1">
      <c r="A96" s="201">
        <f t="shared" si="11"/>
        <v>87</v>
      </c>
    </row>
    <row r="97" spans="1:1">
      <c r="A97" s="201">
        <f t="shared" si="11"/>
        <v>88</v>
      </c>
    </row>
    <row r="98" spans="1:1">
      <c r="A98" s="201">
        <f t="shared" si="11"/>
        <v>89</v>
      </c>
    </row>
    <row r="99" spans="1:1">
      <c r="A99" s="201">
        <f t="shared" si="11"/>
        <v>90</v>
      </c>
    </row>
  </sheetData>
  <sheetProtection algorithmName="SHA-512" hashValue="DExloZUuPiY+j5/Fod9/vFcjeJ8n431BE1O65UsagTTk9xjo4isY4Nc9vT42gTrySCISmVGYVAU5h3gXPXbILQ==" saltValue="b6QcF4rlvqhkibBWk+SLoQ==" spinCount="100000" sheet="1" objects="1" scenarios="1"/>
  <conditionalFormatting sqref="C1">
    <cfRule type="expression" dxfId="30" priority="4" stopIfTrue="1">
      <formula>MOD(ROW(),2)=0</formula>
    </cfRule>
  </conditionalFormatting>
  <conditionalFormatting sqref="Y1:AM54">
    <cfRule type="cellIs" dxfId="29" priority="3" stopIfTrue="1" operator="equal">
      <formula>0</formula>
    </cfRule>
  </conditionalFormatting>
  <hyperlinks>
    <hyperlink ref="C1" location="HypLink1" display="HypLink1" xr:uid="{AC32C744-B1F5-4D26-8E2F-8A9254C786B3}"/>
  </hyperlinks>
  <pageMargins left="0.25" right="0.25" top="0.5" bottom="0.45" header="0.25" footer="0.25"/>
  <pageSetup scale="67" fitToHeight="2" orientation="landscape" r:id="rId1"/>
  <headerFooter>
    <oddHeader xml:space="preserve">&amp;L &amp;C &amp;R </oddHeader>
    <oddFooter>&amp;L&amp;7&amp;D  at &amp;T Mike 702.486.8879&amp;C&amp;7&amp;F  &amp;A&amp;R&amp;7Page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3D17B-7BC8-42CA-9311-0161D4784E15}">
  <sheetPr codeName="Sheet8">
    <tabColor rgb="FFFFFF00"/>
  </sheetPr>
  <dimension ref="A1:AD47"/>
  <sheetViews>
    <sheetView workbookViewId="0">
      <selection sqref="A1:D1"/>
    </sheetView>
  </sheetViews>
  <sheetFormatPr defaultColWidth="8.77734375" defaultRowHeight="13.8"/>
  <cols>
    <col min="1" max="1" width="6.77734375" style="75" bestFit="1" customWidth="1"/>
    <col min="2" max="2" width="29.21875" style="75" customWidth="1"/>
    <col min="3" max="3" width="12.5546875" style="75" customWidth="1"/>
    <col min="4" max="4" width="9.44140625" style="79" customWidth="1"/>
    <col min="5" max="5" width="7.21875" style="79" customWidth="1"/>
    <col min="6" max="6" width="10.44140625" style="79" customWidth="1"/>
    <col min="7" max="7" width="11" style="79" customWidth="1"/>
    <col min="8" max="14" width="14.77734375" style="75" customWidth="1"/>
    <col min="15" max="15" width="3.44140625" style="75" customWidth="1"/>
    <col min="16" max="16" width="76.5546875" style="416" customWidth="1"/>
    <col min="17" max="18" width="10.5546875" style="75" bestFit="1" customWidth="1"/>
    <col min="19" max="19" width="20.21875" style="75" customWidth="1"/>
    <col min="20" max="16384" width="8.77734375" style="75"/>
  </cols>
  <sheetData>
    <row r="1" spans="1:30" ht="24" customHeight="1">
      <c r="A1" s="2202" t="s">
        <v>1465</v>
      </c>
      <c r="B1" s="2202"/>
      <c r="C1" s="2202"/>
      <c r="D1" s="2202"/>
      <c r="E1" s="96"/>
      <c r="F1" s="367"/>
      <c r="G1" s="558" t="s">
        <v>2</v>
      </c>
    </row>
    <row r="2" spans="1:30" ht="15.6">
      <c r="A2" s="2200" t="str">
        <f>SchoolName</f>
        <v>Southern Nevada Trades High School</v>
      </c>
      <c r="B2" s="2200"/>
      <c r="C2" s="2200"/>
      <c r="D2" s="2200"/>
      <c r="E2" s="179"/>
      <c r="F2" s="72"/>
    </row>
    <row r="3" spans="1:30">
      <c r="A3" s="78" t="s">
        <v>72</v>
      </c>
    </row>
    <row r="4" spans="1:30">
      <c r="A4" s="80" t="s">
        <v>73</v>
      </c>
    </row>
    <row r="5" spans="1:30">
      <c r="A5" s="71" t="str">
        <f ca="1">CELL("filename")</f>
        <v>C:\Users\jewel\Documents\SNTHS\CHARTER APP FINAL\FINAL COMPILED\[SNTHS Budget Worksheet.xlsx]Summary</v>
      </c>
    </row>
    <row r="7" spans="1:30">
      <c r="A7" s="95"/>
      <c r="B7" s="81"/>
    </row>
    <row r="8" spans="1:30">
      <c r="A8" s="95"/>
      <c r="B8" s="81"/>
    </row>
    <row r="9" spans="1:30">
      <c r="A9" s="95"/>
      <c r="B9" s="81"/>
    </row>
    <row r="10" spans="1:30">
      <c r="A10" s="95"/>
      <c r="H10" s="1171"/>
      <c r="I10" s="1171" t="s">
        <v>793</v>
      </c>
      <c r="J10" s="1172"/>
      <c r="K10" s="1172"/>
      <c r="L10" s="1172"/>
      <c r="M10" s="1172"/>
      <c r="N10" s="1173"/>
      <c r="P10" s="1936" t="s">
        <v>95</v>
      </c>
    </row>
    <row r="11" spans="1:30">
      <c r="A11" s="95"/>
      <c r="H11" s="1174" t="s">
        <v>794</v>
      </c>
      <c r="I11" s="1174" t="s">
        <v>701</v>
      </c>
      <c r="J11" s="1175" t="s">
        <v>702</v>
      </c>
      <c r="K11" s="1175" t="s">
        <v>703</v>
      </c>
      <c r="L11" s="1175" t="s">
        <v>704</v>
      </c>
      <c r="M11" s="1175" t="s">
        <v>705</v>
      </c>
      <c r="N11" s="1176" t="s">
        <v>706</v>
      </c>
      <c r="P11" s="628"/>
    </row>
    <row r="12" spans="1:30" ht="15.6">
      <c r="A12" s="651"/>
      <c r="F12" s="99"/>
      <c r="G12" s="99"/>
      <c r="H12" s="1177">
        <f>+I12-1</f>
        <v>2022</v>
      </c>
      <c r="I12" s="1178">
        <f>Cover!E11</f>
        <v>2023</v>
      </c>
      <c r="J12" s="1179">
        <f>+I13</f>
        <v>2024</v>
      </c>
      <c r="K12" s="1179">
        <f>+J13</f>
        <v>2025</v>
      </c>
      <c r="L12" s="1179">
        <f>+K13</f>
        <v>2026</v>
      </c>
      <c r="M12" s="1179">
        <f>+L13</f>
        <v>2027</v>
      </c>
      <c r="N12" s="1180">
        <f>+M13</f>
        <v>2028</v>
      </c>
      <c r="P12" s="462"/>
    </row>
    <row r="13" spans="1:30" s="79" customFormat="1" ht="15.6">
      <c r="A13" s="651"/>
      <c r="D13" s="100"/>
      <c r="E13" s="100"/>
      <c r="F13" s="101"/>
      <c r="G13" s="101"/>
      <c r="H13" s="994">
        <f>+I13-1</f>
        <v>2023</v>
      </c>
      <c r="I13" s="994">
        <f t="shared" ref="I13:N13" si="0">+I12+1</f>
        <v>2024</v>
      </c>
      <c r="J13" s="995">
        <f t="shared" si="0"/>
        <v>2025</v>
      </c>
      <c r="K13" s="995">
        <f t="shared" si="0"/>
        <v>2026</v>
      </c>
      <c r="L13" s="995">
        <f t="shared" si="0"/>
        <v>2027</v>
      </c>
      <c r="M13" s="995">
        <f t="shared" si="0"/>
        <v>2028</v>
      </c>
      <c r="N13" s="996">
        <f t="shared" si="0"/>
        <v>2029</v>
      </c>
      <c r="P13" s="462"/>
      <c r="Q13" s="75"/>
      <c r="R13" s="75"/>
      <c r="S13" s="75"/>
      <c r="T13" s="75"/>
      <c r="U13" s="75"/>
      <c r="V13" s="75"/>
      <c r="W13" s="75"/>
      <c r="X13" s="75"/>
      <c r="Y13" s="75"/>
      <c r="Z13" s="75"/>
      <c r="AA13" s="75"/>
      <c r="AB13" s="75"/>
      <c r="AC13" s="75"/>
      <c r="AD13" s="75"/>
    </row>
    <row r="14" spans="1:30" s="79" customFormat="1" ht="17.399999999999999">
      <c r="A14" s="651">
        <f>ROW()</f>
        <v>14</v>
      </c>
      <c r="B14" s="997" t="s">
        <v>208</v>
      </c>
      <c r="C14" s="998"/>
      <c r="D14" s="951"/>
      <c r="E14" s="951"/>
      <c r="F14" s="999"/>
      <c r="G14" s="999"/>
      <c r="H14" s="348"/>
      <c r="I14" s="349"/>
      <c r="J14" s="349"/>
      <c r="K14" s="349"/>
      <c r="L14" s="349"/>
      <c r="M14" s="349"/>
      <c r="N14" s="349"/>
      <c r="P14" s="462"/>
      <c r="Q14" s="75"/>
      <c r="R14" s="75"/>
      <c r="S14" s="75"/>
      <c r="T14" s="75"/>
      <c r="U14" s="75"/>
      <c r="V14" s="75"/>
      <c r="W14" s="75"/>
      <c r="X14" s="75"/>
      <c r="Y14" s="75"/>
      <c r="Z14" s="75"/>
      <c r="AA14" s="75"/>
      <c r="AB14" s="75"/>
      <c r="AC14" s="75"/>
      <c r="AD14" s="75"/>
    </row>
    <row r="15" spans="1:30">
      <c r="A15" s="651">
        <f>ROW()</f>
        <v>15</v>
      </c>
      <c r="B15" s="951" t="s">
        <v>209</v>
      </c>
      <c r="C15" s="1000"/>
      <c r="D15" s="951"/>
      <c r="E15" s="951"/>
      <c r="F15" s="1001"/>
      <c r="G15" s="1001"/>
      <c r="H15" s="1170">
        <v>0</v>
      </c>
      <c r="I15" s="670">
        <f t="shared" ref="I15:N15" si="1">COUNTIF(I18:I30,"&gt;0")</f>
        <v>2</v>
      </c>
      <c r="J15" s="670">
        <f t="shared" si="1"/>
        <v>3</v>
      </c>
      <c r="K15" s="670">
        <f t="shared" si="1"/>
        <v>4</v>
      </c>
      <c r="L15" s="670">
        <f t="shared" si="1"/>
        <v>4</v>
      </c>
      <c r="M15" s="670">
        <f t="shared" si="1"/>
        <v>4</v>
      </c>
      <c r="N15" s="670">
        <f t="shared" si="1"/>
        <v>4</v>
      </c>
      <c r="P15" s="462"/>
    </row>
    <row r="16" spans="1:30">
      <c r="A16" s="651">
        <f>ROW()</f>
        <v>16</v>
      </c>
      <c r="B16" s="91" t="s">
        <v>210</v>
      </c>
      <c r="C16" s="1002"/>
      <c r="D16" s="91"/>
      <c r="E16" s="91"/>
      <c r="F16" s="1003"/>
      <c r="G16" s="1003"/>
      <c r="H16" s="1113">
        <v>0</v>
      </c>
      <c r="I16" s="670">
        <f>+' Enrol &amp; Rev'!G18</f>
        <v>6.8965517241379306</v>
      </c>
      <c r="J16" s="670">
        <f>+' Enrol &amp; Rev'!H18</f>
        <v>14.285714285714286</v>
      </c>
      <c r="K16" s="670">
        <f>+' Enrol &amp; Rev'!I18</f>
        <v>21.05263157894737</v>
      </c>
      <c r="L16" s="670">
        <f>+' Enrol &amp; Rev'!J18</f>
        <v>25</v>
      </c>
      <c r="M16" s="670">
        <f>+' Enrol &amp; Rev'!K18</f>
        <v>29.411764705882351</v>
      </c>
      <c r="N16" s="670">
        <f>+' Enrol &amp; Rev'!L18</f>
        <v>28.94736842105263</v>
      </c>
      <c r="P16" s="462"/>
    </row>
    <row r="17" spans="1:16">
      <c r="A17" s="651">
        <f>ROW()</f>
        <v>17</v>
      </c>
      <c r="B17" s="102"/>
      <c r="C17" s="1624"/>
      <c r="D17" s="1625"/>
      <c r="E17" s="1625"/>
      <c r="F17" s="365"/>
      <c r="G17" s="365"/>
      <c r="H17" s="365"/>
      <c r="I17" s="365"/>
      <c r="J17" s="365"/>
      <c r="K17" s="365"/>
      <c r="L17" s="365"/>
      <c r="M17" s="365"/>
      <c r="N17" s="365"/>
      <c r="P17" s="462"/>
    </row>
    <row r="18" spans="1:16">
      <c r="A18" s="651">
        <f>ROW()</f>
        <v>18</v>
      </c>
      <c r="B18" s="223" t="s">
        <v>211</v>
      </c>
      <c r="C18" s="103"/>
      <c r="D18" s="102"/>
      <c r="E18" s="102"/>
      <c r="F18" s="54"/>
      <c r="G18" s="54"/>
      <c r="H18" s="1110"/>
      <c r="I18" s="801">
        <f>+'Mkt Res'!E14</f>
        <v>0</v>
      </c>
      <c r="J18" s="801">
        <f>+'Mkt Res'!F14</f>
        <v>0</v>
      </c>
      <c r="K18" s="801">
        <f>+'Mkt Res'!G14</f>
        <v>0</v>
      </c>
      <c r="L18" s="801">
        <f>+'Mkt Res'!H14</f>
        <v>0</v>
      </c>
      <c r="M18" s="801">
        <f>+'Mkt Res'!I14</f>
        <v>0</v>
      </c>
      <c r="N18" s="801">
        <f>+'Mkt Res'!J14</f>
        <v>0</v>
      </c>
      <c r="P18" s="462"/>
    </row>
    <row r="19" spans="1:16">
      <c r="A19" s="651">
        <f>ROW()</f>
        <v>19</v>
      </c>
      <c r="B19" s="106" t="s">
        <v>212</v>
      </c>
      <c r="C19" s="107"/>
      <c r="D19" s="106"/>
      <c r="E19" s="106"/>
      <c r="F19" s="366"/>
      <c r="G19" s="366"/>
      <c r="H19" s="1111"/>
      <c r="I19" s="800">
        <f>+'Mkt Res'!E15</f>
        <v>0</v>
      </c>
      <c r="J19" s="800">
        <f>+'Mkt Res'!F15</f>
        <v>0</v>
      </c>
      <c r="K19" s="800">
        <f>+'Mkt Res'!G15</f>
        <v>0</v>
      </c>
      <c r="L19" s="800">
        <f>+'Mkt Res'!H15</f>
        <v>0</v>
      </c>
      <c r="M19" s="800">
        <f>+'Mkt Res'!I15</f>
        <v>0</v>
      </c>
      <c r="N19" s="800">
        <f>+'Mkt Res'!J15</f>
        <v>0</v>
      </c>
      <c r="P19" s="462"/>
    </row>
    <row r="20" spans="1:16">
      <c r="A20" s="651">
        <f>ROW()</f>
        <v>20</v>
      </c>
      <c r="B20" s="106" t="s">
        <v>213</v>
      </c>
      <c r="C20" s="107"/>
      <c r="D20" s="106"/>
      <c r="E20" s="106"/>
      <c r="F20" s="366"/>
      <c r="G20" s="366"/>
      <c r="H20" s="1111"/>
      <c r="I20" s="800">
        <f>+'Mkt Res'!E16</f>
        <v>0</v>
      </c>
      <c r="J20" s="800">
        <f>+'Mkt Res'!F16</f>
        <v>0</v>
      </c>
      <c r="K20" s="800">
        <f>+'Mkt Res'!G16</f>
        <v>0</v>
      </c>
      <c r="L20" s="800">
        <f>+'Mkt Res'!H16</f>
        <v>0</v>
      </c>
      <c r="M20" s="800">
        <f>+'Mkt Res'!I16</f>
        <v>0</v>
      </c>
      <c r="N20" s="800">
        <f>+'Mkt Res'!J16</f>
        <v>0</v>
      </c>
      <c r="P20" s="462"/>
    </row>
    <row r="21" spans="1:16">
      <c r="A21" s="651">
        <f>ROW()</f>
        <v>21</v>
      </c>
      <c r="B21" s="106" t="s">
        <v>214</v>
      </c>
      <c r="C21" s="107"/>
      <c r="D21" s="106"/>
      <c r="E21" s="106"/>
      <c r="F21" s="366"/>
      <c r="G21" s="366"/>
      <c r="H21" s="1111"/>
      <c r="I21" s="800">
        <f>+'Mkt Res'!E17</f>
        <v>0</v>
      </c>
      <c r="J21" s="800">
        <f>+'Mkt Res'!F17</f>
        <v>0</v>
      </c>
      <c r="K21" s="800">
        <f>+'Mkt Res'!G17</f>
        <v>0</v>
      </c>
      <c r="L21" s="800">
        <f>+'Mkt Res'!H17</f>
        <v>0</v>
      </c>
      <c r="M21" s="800">
        <f>+'Mkt Res'!I17</f>
        <v>0</v>
      </c>
      <c r="N21" s="800">
        <f>+'Mkt Res'!J17</f>
        <v>0</v>
      </c>
      <c r="P21" s="462"/>
    </row>
    <row r="22" spans="1:16">
      <c r="A22" s="651">
        <f>ROW()</f>
        <v>22</v>
      </c>
      <c r="B22" s="106" t="s">
        <v>215</v>
      </c>
      <c r="C22" s="107"/>
      <c r="D22" s="106"/>
      <c r="E22" s="106"/>
      <c r="F22" s="366"/>
      <c r="G22" s="366"/>
      <c r="H22" s="1111"/>
      <c r="I22" s="800">
        <f>+'Mkt Res'!E18</f>
        <v>0</v>
      </c>
      <c r="J22" s="800">
        <f>+'Mkt Res'!F18</f>
        <v>0</v>
      </c>
      <c r="K22" s="800">
        <f>+'Mkt Res'!G18</f>
        <v>0</v>
      </c>
      <c r="L22" s="800">
        <f>+'Mkt Res'!H18</f>
        <v>0</v>
      </c>
      <c r="M22" s="800">
        <f>+'Mkt Res'!I18</f>
        <v>0</v>
      </c>
      <c r="N22" s="800">
        <f>+'Mkt Res'!J18</f>
        <v>0</v>
      </c>
      <c r="P22" s="462"/>
    </row>
    <row r="23" spans="1:16">
      <c r="A23" s="651">
        <f>ROW()</f>
        <v>23</v>
      </c>
      <c r="B23" s="106" t="s">
        <v>216</v>
      </c>
      <c r="C23" s="107"/>
      <c r="D23" s="106"/>
      <c r="E23" s="106"/>
      <c r="F23" s="366"/>
      <c r="G23" s="366"/>
      <c r="H23" s="1111"/>
      <c r="I23" s="800">
        <f>+'Mkt Res'!E19</f>
        <v>0</v>
      </c>
      <c r="J23" s="800">
        <f>+'Mkt Res'!F19</f>
        <v>0</v>
      </c>
      <c r="K23" s="800">
        <f>+'Mkt Res'!G19</f>
        <v>0</v>
      </c>
      <c r="L23" s="800">
        <f>+'Mkt Res'!H19</f>
        <v>0</v>
      </c>
      <c r="M23" s="800">
        <f>+'Mkt Res'!I19</f>
        <v>0</v>
      </c>
      <c r="N23" s="800">
        <f>+'Mkt Res'!J19</f>
        <v>0</v>
      </c>
      <c r="P23" s="462"/>
    </row>
    <row r="24" spans="1:16">
      <c r="A24" s="651">
        <f>ROW()</f>
        <v>24</v>
      </c>
      <c r="B24" s="106" t="s">
        <v>217</v>
      </c>
      <c r="C24" s="107"/>
      <c r="D24" s="106"/>
      <c r="E24" s="106"/>
      <c r="F24" s="366"/>
      <c r="G24" s="366"/>
      <c r="H24" s="1111"/>
      <c r="I24" s="800">
        <f>+'Mkt Res'!E20</f>
        <v>0</v>
      </c>
      <c r="J24" s="800">
        <f>+'Mkt Res'!F20</f>
        <v>0</v>
      </c>
      <c r="K24" s="800">
        <f>+'Mkt Res'!G20</f>
        <v>0</v>
      </c>
      <c r="L24" s="800">
        <f>+'Mkt Res'!H20</f>
        <v>0</v>
      </c>
      <c r="M24" s="800">
        <f>+'Mkt Res'!I20</f>
        <v>0</v>
      </c>
      <c r="N24" s="800">
        <f>+'Mkt Res'!J20</f>
        <v>0</v>
      </c>
      <c r="P24" s="462"/>
    </row>
    <row r="25" spans="1:16">
      <c r="A25" s="651">
        <f>ROW()</f>
        <v>25</v>
      </c>
      <c r="B25" s="106" t="s">
        <v>218</v>
      </c>
      <c r="C25" s="107"/>
      <c r="D25" s="106"/>
      <c r="E25" s="106"/>
      <c r="F25" s="366"/>
      <c r="G25" s="366"/>
      <c r="H25" s="1111"/>
      <c r="I25" s="800">
        <f>+'Mkt Res'!E21</f>
        <v>0</v>
      </c>
      <c r="J25" s="800">
        <f>+'Mkt Res'!F21</f>
        <v>0</v>
      </c>
      <c r="K25" s="800">
        <f>+'Mkt Res'!G21</f>
        <v>0</v>
      </c>
      <c r="L25" s="800">
        <f>+'Mkt Res'!H21</f>
        <v>0</v>
      </c>
      <c r="M25" s="800">
        <f>+'Mkt Res'!I21</f>
        <v>0</v>
      </c>
      <c r="N25" s="800">
        <f>+'Mkt Res'!J21</f>
        <v>0</v>
      </c>
      <c r="P25" s="462"/>
    </row>
    <row r="26" spans="1:16">
      <c r="A26" s="651">
        <f>ROW()</f>
        <v>26</v>
      </c>
      <c r="B26" s="106" t="s">
        <v>219</v>
      </c>
      <c r="C26" s="107"/>
      <c r="D26" s="106"/>
      <c r="E26" s="106"/>
      <c r="F26" s="366"/>
      <c r="G26" s="366"/>
      <c r="H26" s="1111"/>
      <c r="I26" s="800">
        <f>+'Mkt Res'!E22</f>
        <v>0</v>
      </c>
      <c r="J26" s="800">
        <f>+'Mkt Res'!F22</f>
        <v>0</v>
      </c>
      <c r="K26" s="800">
        <f>+'Mkt Res'!G22</f>
        <v>0</v>
      </c>
      <c r="L26" s="800">
        <f>+'Mkt Res'!H22</f>
        <v>0</v>
      </c>
      <c r="M26" s="800">
        <f>+'Mkt Res'!I22</f>
        <v>0</v>
      </c>
      <c r="N26" s="800">
        <f>+'Mkt Res'!J22</f>
        <v>0</v>
      </c>
      <c r="P26" s="462"/>
    </row>
    <row r="27" spans="1:16">
      <c r="A27" s="651">
        <f>ROW()</f>
        <v>27</v>
      </c>
      <c r="B27" s="106" t="s">
        <v>220</v>
      </c>
      <c r="C27" s="107"/>
      <c r="D27" s="106"/>
      <c r="E27" s="106"/>
      <c r="F27" s="366"/>
      <c r="G27" s="366"/>
      <c r="H27" s="1111"/>
      <c r="I27" s="800">
        <f>+'Mkt Res'!E23</f>
        <v>100</v>
      </c>
      <c r="J27" s="800">
        <f>+'Mkt Res'!F23</f>
        <v>100</v>
      </c>
      <c r="K27" s="800">
        <f>+'Mkt Res'!G23</f>
        <v>100</v>
      </c>
      <c r="L27" s="800">
        <f>+'Mkt Res'!H23</f>
        <v>150</v>
      </c>
      <c r="M27" s="800">
        <f>+'Mkt Res'!I23</f>
        <v>150</v>
      </c>
      <c r="N27" s="800">
        <f>+'Mkt Res'!J23</f>
        <v>150</v>
      </c>
      <c r="P27" s="462"/>
    </row>
    <row r="28" spans="1:16">
      <c r="A28" s="651">
        <f>ROW()</f>
        <v>28</v>
      </c>
      <c r="B28" s="106" t="s">
        <v>221</v>
      </c>
      <c r="C28" s="107"/>
      <c r="D28" s="106"/>
      <c r="E28" s="106"/>
      <c r="F28" s="366"/>
      <c r="G28" s="366"/>
      <c r="H28" s="1111"/>
      <c r="I28" s="800">
        <f>+'Mkt Res'!E24</f>
        <v>100</v>
      </c>
      <c r="J28" s="800">
        <f>+'Mkt Res'!F24</f>
        <v>100</v>
      </c>
      <c r="K28" s="800">
        <f>+'Mkt Res'!G24</f>
        <v>100</v>
      </c>
      <c r="L28" s="800">
        <f>+'Mkt Res'!H24</f>
        <v>100</v>
      </c>
      <c r="M28" s="800">
        <f>+'Mkt Res'!I24</f>
        <v>150</v>
      </c>
      <c r="N28" s="800">
        <f>+'Mkt Res'!J24</f>
        <v>150</v>
      </c>
      <c r="P28" s="462"/>
    </row>
    <row r="29" spans="1:16">
      <c r="A29" s="651">
        <f>ROW()</f>
        <v>29</v>
      </c>
      <c r="B29" s="106" t="s">
        <v>222</v>
      </c>
      <c r="C29" s="107"/>
      <c r="D29" s="106"/>
      <c r="E29" s="106"/>
      <c r="F29" s="366"/>
      <c r="G29" s="366"/>
      <c r="H29" s="1111"/>
      <c r="I29" s="800">
        <f>+'Mkt Res'!E25</f>
        <v>0</v>
      </c>
      <c r="J29" s="800">
        <f>+'Mkt Res'!F25</f>
        <v>100</v>
      </c>
      <c r="K29" s="800">
        <f>+'Mkt Res'!G25</f>
        <v>100</v>
      </c>
      <c r="L29" s="800">
        <f>+'Mkt Res'!H25</f>
        <v>100</v>
      </c>
      <c r="M29" s="800">
        <f>+'Mkt Res'!I25</f>
        <v>100</v>
      </c>
      <c r="N29" s="800">
        <f>+'Mkt Res'!J25</f>
        <v>150</v>
      </c>
      <c r="P29" s="462"/>
    </row>
    <row r="30" spans="1:16">
      <c r="A30" s="651">
        <f>ROW()</f>
        <v>30</v>
      </c>
      <c r="B30" s="106" t="s">
        <v>223</v>
      </c>
      <c r="C30" s="107"/>
      <c r="D30" s="106"/>
      <c r="E30" s="106"/>
      <c r="F30" s="366"/>
      <c r="G30" s="177"/>
      <c r="H30" s="1112"/>
      <c r="I30" s="802">
        <f>+'Mkt Res'!E26</f>
        <v>0</v>
      </c>
      <c r="J30" s="802">
        <f>+'Mkt Res'!F26</f>
        <v>0</v>
      </c>
      <c r="K30" s="802">
        <f>+'Mkt Res'!G26</f>
        <v>100</v>
      </c>
      <c r="L30" s="802">
        <f>+'Mkt Res'!H26</f>
        <v>100</v>
      </c>
      <c r="M30" s="802">
        <f>+'Mkt Res'!I26</f>
        <v>100</v>
      </c>
      <c r="N30" s="802">
        <f>+'Mkt Res'!J26</f>
        <v>100</v>
      </c>
      <c r="P30" s="462"/>
    </row>
    <row r="31" spans="1:16">
      <c r="A31" s="651">
        <f>ROW()</f>
        <v>31</v>
      </c>
      <c r="B31" s="255" t="s">
        <v>224</v>
      </c>
      <c r="C31" s="1626"/>
      <c r="D31" s="1626"/>
      <c r="E31" s="1626"/>
      <c r="F31" s="1626"/>
      <c r="G31" s="111"/>
      <c r="H31" s="154"/>
      <c r="I31" s="271">
        <f t="shared" ref="I31:N31" si="2">SUM(I18:I30)</f>
        <v>200</v>
      </c>
      <c r="J31" s="271">
        <f t="shared" si="2"/>
        <v>300</v>
      </c>
      <c r="K31" s="271">
        <f t="shared" si="2"/>
        <v>400</v>
      </c>
      <c r="L31" s="271">
        <f t="shared" si="2"/>
        <v>450</v>
      </c>
      <c r="M31" s="271">
        <f t="shared" si="2"/>
        <v>500</v>
      </c>
      <c r="N31" s="271">
        <f t="shared" si="2"/>
        <v>550</v>
      </c>
      <c r="P31" s="462"/>
    </row>
    <row r="32" spans="1:16">
      <c r="A32" s="651">
        <f>ROW()</f>
        <v>32</v>
      </c>
      <c r="B32" s="102" t="s">
        <v>225</v>
      </c>
      <c r="C32" s="102"/>
      <c r="D32" s="102"/>
      <c r="E32" s="102"/>
      <c r="F32" s="100"/>
      <c r="G32" s="100"/>
      <c r="H32" s="272"/>
      <c r="I32" s="192">
        <f>IFERROR(I31/I16,0)</f>
        <v>29.000000000000004</v>
      </c>
      <c r="J32" s="192">
        <f t="shared" ref="J32:N32" si="3">IFERROR(J31/J16,0)</f>
        <v>21</v>
      </c>
      <c r="K32" s="192">
        <f t="shared" si="3"/>
        <v>19</v>
      </c>
      <c r="L32" s="192">
        <f t="shared" si="3"/>
        <v>18</v>
      </c>
      <c r="M32" s="192">
        <f t="shared" si="3"/>
        <v>17</v>
      </c>
      <c r="N32" s="192">
        <f t="shared" si="3"/>
        <v>19</v>
      </c>
      <c r="P32" s="462"/>
    </row>
    <row r="33" spans="1:16">
      <c r="A33" s="651">
        <f>ROW()</f>
        <v>33</v>
      </c>
      <c r="D33" s="75"/>
      <c r="H33" s="79"/>
      <c r="I33" s="79"/>
      <c r="J33" s="79"/>
      <c r="K33" s="79"/>
      <c r="L33" s="79"/>
      <c r="M33" s="79"/>
      <c r="N33" s="79"/>
      <c r="P33" s="462"/>
    </row>
    <row r="34" spans="1:16" ht="17.399999999999999">
      <c r="A34" s="651">
        <f>ROW()</f>
        <v>34</v>
      </c>
      <c r="B34" s="2201" t="s">
        <v>795</v>
      </c>
      <c r="C34" s="2201"/>
      <c r="D34" s="2201"/>
      <c r="E34" s="2201"/>
      <c r="F34" s="2201"/>
      <c r="G34" s="2072"/>
      <c r="H34" s="980" t="str">
        <f>+H11</f>
        <v>SY 0</v>
      </c>
      <c r="I34" s="980" t="str">
        <f t="shared" ref="I34:N34" si="4">+I11</f>
        <v>SY 1</v>
      </c>
      <c r="J34" s="980" t="str">
        <f t="shared" si="4"/>
        <v>SY 2</v>
      </c>
      <c r="K34" s="980" t="str">
        <f t="shared" si="4"/>
        <v>SY 3</v>
      </c>
      <c r="L34" s="980" t="str">
        <f t="shared" si="4"/>
        <v>SY 4</v>
      </c>
      <c r="M34" s="980" t="str">
        <f t="shared" si="4"/>
        <v>SY 5</v>
      </c>
      <c r="N34" s="980" t="str">
        <f t="shared" si="4"/>
        <v>SY 6</v>
      </c>
      <c r="P34" s="462"/>
    </row>
    <row r="35" spans="1:16">
      <c r="A35" s="651">
        <f>ROW()</f>
        <v>35</v>
      </c>
      <c r="B35" s="2073" t="s">
        <v>796</v>
      </c>
      <c r="C35" s="2073" t="s">
        <v>797</v>
      </c>
      <c r="D35" s="2073"/>
      <c r="E35" s="2073"/>
      <c r="F35" s="2073"/>
      <c r="G35" s="2074" t="s">
        <v>244</v>
      </c>
      <c r="H35" s="1004">
        <f>H13</f>
        <v>2023</v>
      </c>
      <c r="I35" s="1004">
        <f t="shared" ref="I35:N35" si="5">I13</f>
        <v>2024</v>
      </c>
      <c r="J35" s="1004">
        <f t="shared" si="5"/>
        <v>2025</v>
      </c>
      <c r="K35" s="1004">
        <f t="shared" si="5"/>
        <v>2026</v>
      </c>
      <c r="L35" s="1004">
        <f t="shared" si="5"/>
        <v>2027</v>
      </c>
      <c r="M35" s="1004">
        <f t="shared" si="5"/>
        <v>2028</v>
      </c>
      <c r="N35" s="1004">
        <f t="shared" si="5"/>
        <v>2029</v>
      </c>
      <c r="P35" s="462"/>
    </row>
    <row r="36" spans="1:16">
      <c r="A36" s="651">
        <f>ROW()</f>
        <v>36</v>
      </c>
      <c r="B36" s="809" t="s">
        <v>1500</v>
      </c>
      <c r="C36" s="809"/>
      <c r="D36" s="809"/>
      <c r="E36" s="809"/>
      <c r="F36" s="809"/>
      <c r="G36" s="2075">
        <f>SUM(H36:N36)</f>
        <v>22000</v>
      </c>
      <c r="H36" s="368">
        <v>0</v>
      </c>
      <c r="I36" s="368">
        <f>+' Enrol &amp; Rev'!G35*20</f>
        <v>4000</v>
      </c>
      <c r="J36" s="368">
        <f>+' Enrol &amp; Rev'!H35*20</f>
        <v>6000</v>
      </c>
      <c r="K36" s="368">
        <v>3000</v>
      </c>
      <c r="L36" s="368">
        <v>3000</v>
      </c>
      <c r="M36" s="368">
        <v>3000</v>
      </c>
      <c r="N36" s="368">
        <v>3000</v>
      </c>
      <c r="P36" s="462" t="s">
        <v>1501</v>
      </c>
    </row>
    <row r="37" spans="1:16">
      <c r="A37" s="651">
        <f>ROW()</f>
        <v>37</v>
      </c>
      <c r="B37" s="1598" t="s">
        <v>1511</v>
      </c>
      <c r="C37" s="1598"/>
      <c r="D37" s="1598"/>
      <c r="E37" s="1598"/>
      <c r="F37" s="1598"/>
      <c r="G37" s="2076">
        <f t="shared" ref="G37:G43" si="6">SUM(H37:N37)</f>
        <v>0</v>
      </c>
      <c r="H37" s="369">
        <v>0</v>
      </c>
      <c r="I37" s="369">
        <v>0</v>
      </c>
      <c r="J37" s="369">
        <v>0</v>
      </c>
      <c r="K37" s="369">
        <v>0</v>
      </c>
      <c r="L37" s="369">
        <v>0</v>
      </c>
      <c r="M37" s="369">
        <v>0</v>
      </c>
      <c r="N37" s="369">
        <v>0</v>
      </c>
      <c r="P37" s="462" t="s">
        <v>1533</v>
      </c>
    </row>
    <row r="38" spans="1:16">
      <c r="A38" s="651">
        <f>ROW()</f>
        <v>38</v>
      </c>
      <c r="B38" s="1598"/>
      <c r="C38" s="1598"/>
      <c r="D38" s="1598"/>
      <c r="E38" s="1598"/>
      <c r="F38" s="1598"/>
      <c r="G38" s="2076">
        <f t="shared" si="6"/>
        <v>0</v>
      </c>
      <c r="H38" s="369">
        <v>0</v>
      </c>
      <c r="I38" s="369">
        <v>0</v>
      </c>
      <c r="J38" s="369">
        <v>0</v>
      </c>
      <c r="K38" s="369">
        <v>0</v>
      </c>
      <c r="L38" s="369">
        <v>0</v>
      </c>
      <c r="M38" s="369">
        <v>0</v>
      </c>
      <c r="N38" s="369">
        <v>0</v>
      </c>
      <c r="P38" s="462"/>
    </row>
    <row r="39" spans="1:16">
      <c r="A39" s="651">
        <f>ROW()</f>
        <v>39</v>
      </c>
      <c r="B39" s="1598"/>
      <c r="C39" s="1598"/>
      <c r="D39" s="1598"/>
      <c r="E39" s="1598"/>
      <c r="F39" s="1598"/>
      <c r="G39" s="2076">
        <f t="shared" si="6"/>
        <v>0</v>
      </c>
      <c r="H39" s="369">
        <v>0</v>
      </c>
      <c r="I39" s="369">
        <v>0</v>
      </c>
      <c r="J39" s="369">
        <v>0</v>
      </c>
      <c r="K39" s="369">
        <v>0</v>
      </c>
      <c r="L39" s="369">
        <v>0</v>
      </c>
      <c r="M39" s="369">
        <v>0</v>
      </c>
      <c r="N39" s="369">
        <v>0</v>
      </c>
      <c r="P39" s="462"/>
    </row>
    <row r="40" spans="1:16">
      <c r="A40" s="651">
        <f>ROW()</f>
        <v>40</v>
      </c>
      <c r="B40" s="1598"/>
      <c r="C40" s="1598"/>
      <c r="D40" s="1598"/>
      <c r="E40" s="1598"/>
      <c r="F40" s="1598"/>
      <c r="G40" s="2076">
        <f t="shared" si="6"/>
        <v>0</v>
      </c>
      <c r="H40" s="369">
        <v>0</v>
      </c>
      <c r="I40" s="369">
        <v>0</v>
      </c>
      <c r="J40" s="369">
        <v>0</v>
      </c>
      <c r="K40" s="369">
        <v>0</v>
      </c>
      <c r="L40" s="369">
        <v>0</v>
      </c>
      <c r="M40" s="369">
        <v>0</v>
      </c>
      <c r="N40" s="369">
        <v>0</v>
      </c>
      <c r="P40" s="462"/>
    </row>
    <row r="41" spans="1:16">
      <c r="A41" s="651">
        <f>ROW()</f>
        <v>41</v>
      </c>
      <c r="B41" s="1598"/>
      <c r="C41" s="1598"/>
      <c r="D41" s="1598"/>
      <c r="E41" s="1598"/>
      <c r="F41" s="1598"/>
      <c r="G41" s="2076">
        <f t="shared" si="6"/>
        <v>0</v>
      </c>
      <c r="H41" s="369">
        <v>0</v>
      </c>
      <c r="I41" s="369">
        <v>0</v>
      </c>
      <c r="J41" s="369">
        <v>0</v>
      </c>
      <c r="K41" s="369">
        <v>0</v>
      </c>
      <c r="L41" s="369">
        <v>0</v>
      </c>
      <c r="M41" s="369">
        <v>0</v>
      </c>
      <c r="N41" s="369">
        <v>0</v>
      </c>
      <c r="P41" s="462"/>
    </row>
    <row r="42" spans="1:16">
      <c r="A42" s="651">
        <f>ROW()</f>
        <v>42</v>
      </c>
      <c r="B42" s="1598"/>
      <c r="C42" s="1598"/>
      <c r="D42" s="1598"/>
      <c r="E42" s="1598"/>
      <c r="F42" s="1598"/>
      <c r="G42" s="2076">
        <f t="shared" si="6"/>
        <v>0</v>
      </c>
      <c r="H42" s="369">
        <v>0</v>
      </c>
      <c r="I42" s="369">
        <v>0</v>
      </c>
      <c r="J42" s="369">
        <v>0</v>
      </c>
      <c r="K42" s="369">
        <v>0</v>
      </c>
      <c r="L42" s="369">
        <v>0</v>
      </c>
      <c r="M42" s="369">
        <v>0</v>
      </c>
      <c r="N42" s="369">
        <v>0</v>
      </c>
      <c r="P42" s="462"/>
    </row>
    <row r="43" spans="1:16">
      <c r="A43" s="651">
        <f>ROW()</f>
        <v>43</v>
      </c>
      <c r="B43" s="808"/>
      <c r="C43" s="808"/>
      <c r="D43" s="808"/>
      <c r="E43" s="808"/>
      <c r="F43" s="808"/>
      <c r="G43" s="2077">
        <f t="shared" si="6"/>
        <v>0</v>
      </c>
      <c r="H43" s="370">
        <v>0</v>
      </c>
      <c r="I43" s="370">
        <v>0</v>
      </c>
      <c r="J43" s="370">
        <v>0</v>
      </c>
      <c r="K43" s="370">
        <v>0</v>
      </c>
      <c r="L43" s="370">
        <v>0</v>
      </c>
      <c r="M43" s="370">
        <v>0</v>
      </c>
      <c r="N43" s="370">
        <v>0</v>
      </c>
      <c r="P43" s="462"/>
    </row>
    <row r="44" spans="1:16">
      <c r="A44" s="651">
        <f>ROW()</f>
        <v>44</v>
      </c>
      <c r="B44" s="100" t="s">
        <v>798</v>
      </c>
      <c r="C44" s="805"/>
      <c r="D44" s="805"/>
      <c r="E44" s="100"/>
      <c r="F44" s="100"/>
      <c r="G44" s="806">
        <f>SUM(H44:N44)</f>
        <v>22000</v>
      </c>
      <c r="H44" s="807">
        <f t="shared" ref="H44:N44" si="7">SUM(H36:H43)</f>
        <v>0</v>
      </c>
      <c r="I44" s="807">
        <f t="shared" si="7"/>
        <v>4000</v>
      </c>
      <c r="J44" s="807">
        <f t="shared" si="7"/>
        <v>6000</v>
      </c>
      <c r="K44" s="807">
        <f t="shared" si="7"/>
        <v>3000</v>
      </c>
      <c r="L44" s="807">
        <f t="shared" si="7"/>
        <v>3000</v>
      </c>
      <c r="M44" s="807">
        <f t="shared" si="7"/>
        <v>3000</v>
      </c>
      <c r="N44" s="807">
        <f t="shared" si="7"/>
        <v>3000</v>
      </c>
      <c r="P44" s="462"/>
    </row>
    <row r="45" spans="1:16">
      <c r="G45" s="313">
        <f t="shared" ref="G45:N45" si="8">IFERROR(G44/$G$44,0)</f>
        <v>1</v>
      </c>
      <c r="H45" s="313">
        <f t="shared" si="8"/>
        <v>0</v>
      </c>
      <c r="I45" s="313">
        <f t="shared" si="8"/>
        <v>0.18181818181818182</v>
      </c>
      <c r="J45" s="313">
        <f t="shared" si="8"/>
        <v>0.27272727272727271</v>
      </c>
      <c r="K45" s="313">
        <f t="shared" si="8"/>
        <v>0.13636363636363635</v>
      </c>
      <c r="L45" s="313">
        <f t="shared" si="8"/>
        <v>0.13636363636363635</v>
      </c>
      <c r="M45" s="313">
        <f t="shared" si="8"/>
        <v>0.13636363636363635</v>
      </c>
      <c r="N45" s="313">
        <f t="shared" si="8"/>
        <v>0.13636363636363635</v>
      </c>
      <c r="P45" s="462"/>
    </row>
    <row r="46" spans="1:16">
      <c r="P46" s="462"/>
    </row>
    <row r="47" spans="1:16">
      <c r="P47" s="462"/>
    </row>
  </sheetData>
  <sheetProtection algorithmName="SHA-512" hashValue="+nCdf/eU4+wCwHa5Mmmltuq5Whk83yy1MDurbsMS+jV5dYcBtrZFizzPlKWyYHIE2m6kUBMkLSFp/GLMvBFN8Q==" saltValue="L+K9Z4t8rSbi67rFk3dHSg==" spinCount="100000" sheet="1" objects="1" scenarios="1"/>
  <mergeCells count="4">
    <mergeCell ref="A2:B2"/>
    <mergeCell ref="B34:F34"/>
    <mergeCell ref="C2:D2"/>
    <mergeCell ref="A1:D1"/>
  </mergeCells>
  <conditionalFormatting sqref="B18:G30">
    <cfRule type="expression" dxfId="28" priority="11" stopIfTrue="1">
      <formula>MOD(ROW(),2)=0</formula>
    </cfRule>
  </conditionalFormatting>
  <conditionalFormatting sqref="H18:N30">
    <cfRule type="cellIs" dxfId="27" priority="12" stopIfTrue="1" operator="equal">
      <formula>0</formula>
    </cfRule>
  </conditionalFormatting>
  <conditionalFormatting sqref="H15:H16">
    <cfRule type="cellIs" dxfId="26" priority="13" stopIfTrue="1" operator="equal">
      <formula>0</formula>
    </cfRule>
  </conditionalFormatting>
  <conditionalFormatting sqref="A2:B2">
    <cfRule type="cellIs" dxfId="25" priority="14" stopIfTrue="1" operator="equal">
      <formula>0</formula>
    </cfRule>
  </conditionalFormatting>
  <conditionalFormatting sqref="G1">
    <cfRule type="expression" dxfId="24" priority="4" stopIfTrue="1">
      <formula>MOD(ROW(),2)=0</formula>
    </cfRule>
  </conditionalFormatting>
  <conditionalFormatting sqref="I15:N16">
    <cfRule type="cellIs" dxfId="23" priority="15" stopIfTrue="1" operator="equal">
      <formula>0</formula>
    </cfRule>
  </conditionalFormatting>
  <conditionalFormatting sqref="C2:D2">
    <cfRule type="cellIs" dxfId="22" priority="1" stopIfTrue="1" operator="equal">
      <formula>0</formula>
    </cfRule>
  </conditionalFormatting>
  <hyperlinks>
    <hyperlink ref="G1" location="HypLink1" display="HypLink1" xr:uid="{805FECA2-5C0A-46B0-99E2-B0B827F3BE70}"/>
  </hyperlinks>
  <pageMargins left="0.25" right="0.25" top="0.5" bottom="0.45" header="0.25" footer="0.25"/>
  <pageSetup scale="70" fitToHeight="6" orientation="landscape" r:id="rId1"/>
  <headerFooter>
    <oddHeader xml:space="preserve">&amp;L &amp;C &amp;R </oddHeader>
    <oddFooter>&amp;L&amp;7&amp;D  at &amp;T Mike 702.854.0691&amp;C&amp;7&amp;F  &amp;A&amp;R&amp;7Page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F194-DFD1-468F-8395-0712B077DA3C}">
  <sheetPr codeName="Sheet12">
    <tabColor rgb="FFFFFF00"/>
  </sheetPr>
  <dimension ref="A1:AD80"/>
  <sheetViews>
    <sheetView topLeftCell="A40" workbookViewId="0">
      <selection activeCell="A48" sqref="A48"/>
    </sheetView>
  </sheetViews>
  <sheetFormatPr defaultColWidth="8.77734375" defaultRowHeight="13.8"/>
  <cols>
    <col min="1" max="1" width="6.77734375" style="75" bestFit="1" customWidth="1"/>
    <col min="2" max="2" width="47.77734375" style="75" customWidth="1"/>
    <col min="3" max="3" width="10.21875" style="75" customWidth="1"/>
    <col min="4" max="4" width="14.5546875" style="79" customWidth="1"/>
    <col min="5" max="5" width="20.77734375" style="79" customWidth="1"/>
    <col min="6" max="6" width="13.44140625" style="79" customWidth="1"/>
    <col min="7" max="7" width="12.5546875" style="75" customWidth="1"/>
    <col min="8" max="8" width="12.77734375" style="75" customWidth="1"/>
    <col min="9" max="9" width="12.21875" style="75" customWidth="1"/>
    <col min="10" max="10" width="14" style="75" customWidth="1"/>
    <col min="11" max="11" width="14.77734375" style="75" customWidth="1"/>
    <col min="12" max="12" width="3.21875" style="75" customWidth="1"/>
    <col min="13" max="13" width="61.77734375" style="416" customWidth="1"/>
    <col min="14" max="16384" width="8.77734375" style="75"/>
  </cols>
  <sheetData>
    <row r="1" spans="1:30" ht="17.399999999999999">
      <c r="A1" s="340" t="s">
        <v>1342</v>
      </c>
      <c r="B1" s="42"/>
      <c r="C1" s="558" t="s">
        <v>2</v>
      </c>
      <c r="D1" s="269" t="s">
        <v>814</v>
      </c>
      <c r="E1" s="43"/>
      <c r="F1" s="43"/>
      <c r="G1" s="54"/>
      <c r="H1" s="54"/>
      <c r="I1" s="56"/>
      <c r="J1" s="56"/>
      <c r="K1" s="56"/>
      <c r="L1" s="100"/>
      <c r="M1" s="2008"/>
    </row>
    <row r="2" spans="1:30" ht="15.6">
      <c r="A2" s="175" t="str">
        <f>SchoolName</f>
        <v>Southern Nevada Trades High School</v>
      </c>
      <c r="B2" s="46"/>
      <c r="C2" s="40"/>
      <c r="D2" s="269" t="s">
        <v>815</v>
      </c>
      <c r="E2" s="43"/>
      <c r="F2" s="43"/>
      <c r="G2" s="54"/>
      <c r="H2" s="54"/>
      <c r="I2" s="341"/>
      <c r="J2" s="341"/>
      <c r="K2" s="220"/>
      <c r="L2" s="221"/>
      <c r="M2" s="2083"/>
    </row>
    <row r="3" spans="1:30">
      <c r="A3" s="47" t="s">
        <v>72</v>
      </c>
      <c r="B3" s="40"/>
      <c r="C3" s="40"/>
      <c r="D3" s="342" t="s">
        <v>816</v>
      </c>
      <c r="E3" s="43"/>
      <c r="F3" s="43"/>
      <c r="G3" s="54"/>
      <c r="H3" s="54"/>
      <c r="I3" s="343"/>
      <c r="J3" s="343"/>
      <c r="K3" s="220"/>
      <c r="L3" s="221"/>
      <c r="M3" s="2083"/>
    </row>
    <row r="4" spans="1:30">
      <c r="A4" s="48" t="s">
        <v>73</v>
      </c>
      <c r="B4" s="40"/>
      <c r="C4" s="40"/>
      <c r="D4" s="269" t="s">
        <v>817</v>
      </c>
      <c r="E4" s="43"/>
      <c r="F4" s="43"/>
      <c r="G4" s="54"/>
      <c r="H4" s="54"/>
      <c r="I4" s="56"/>
      <c r="J4" s="56"/>
      <c r="K4" s="56"/>
      <c r="L4" s="100"/>
      <c r="M4" s="2008"/>
    </row>
    <row r="5" spans="1:30">
      <c r="A5" s="36" t="str">
        <f ca="1">CELL("filename")</f>
        <v>C:\Users\jewel\Documents\SNTHS\CHARTER APP FINAL\FINAL COMPILED\[SNTHS Budget Worksheet.xlsx]Summary</v>
      </c>
      <c r="B5" s="40"/>
      <c r="C5" s="40"/>
      <c r="D5" s="43"/>
      <c r="E5" s="43"/>
      <c r="F5" s="43"/>
      <c r="G5" s="54"/>
      <c r="H5" s="54"/>
      <c r="I5" s="341"/>
      <c r="J5" s="341"/>
      <c r="K5" s="220"/>
      <c r="L5" s="221"/>
      <c r="M5" s="2083"/>
    </row>
    <row r="6" spans="1:30">
      <c r="A6" s="344"/>
      <c r="B6" s="37" t="s">
        <v>818</v>
      </c>
      <c r="C6" s="37"/>
      <c r="D6" s="43"/>
      <c r="E6" s="43"/>
      <c r="F6" s="43"/>
      <c r="G6" s="54"/>
      <c r="H6" s="54"/>
      <c r="I6" s="54"/>
      <c r="J6" s="54"/>
      <c r="K6" s="54"/>
      <c r="L6" s="100"/>
      <c r="M6" s="2008"/>
    </row>
    <row r="7" spans="1:30">
      <c r="A7" s="344"/>
      <c r="B7" s="37" t="s">
        <v>819</v>
      </c>
      <c r="C7" s="345"/>
      <c r="D7" s="40"/>
      <c r="E7" s="345" t="s">
        <v>820</v>
      </c>
      <c r="F7" s="346"/>
      <c r="G7" s="40"/>
      <c r="H7" s="40"/>
      <c r="I7" s="40"/>
      <c r="J7" s="40"/>
      <c r="K7" s="40"/>
    </row>
    <row r="8" spans="1:30">
      <c r="A8" s="344"/>
      <c r="B8" s="37" t="s">
        <v>1340</v>
      </c>
      <c r="C8" s="347"/>
      <c r="D8" s="40"/>
      <c r="E8" s="347" t="s">
        <v>243</v>
      </c>
      <c r="F8" s="39"/>
      <c r="G8" s="40"/>
      <c r="H8" s="40"/>
      <c r="I8" s="40"/>
      <c r="J8" s="40"/>
      <c r="K8" s="40"/>
    </row>
    <row r="9" spans="1:30">
      <c r="A9" s="663"/>
      <c r="B9" s="37"/>
      <c r="C9" s="43"/>
      <c r="D9" s="316"/>
      <c r="E9" s="1005" t="s">
        <v>794</v>
      </c>
      <c r="F9" s="1006" t="s">
        <v>701</v>
      </c>
      <c r="G9" s="1006" t="s">
        <v>702</v>
      </c>
      <c r="H9" s="1006" t="s">
        <v>703</v>
      </c>
      <c r="I9" s="1006" t="s">
        <v>704</v>
      </c>
      <c r="J9" s="1006" t="s">
        <v>705</v>
      </c>
      <c r="K9" s="1631" t="s">
        <v>706</v>
      </c>
    </row>
    <row r="10" spans="1:30" ht="15.6">
      <c r="A10" s="663"/>
      <c r="B10" s="37"/>
      <c r="C10" s="40"/>
      <c r="D10" s="390"/>
      <c r="E10" s="1007">
        <f>+F10-1</f>
        <v>2022</v>
      </c>
      <c r="F10" s="1008">
        <f>' Enrol &amp; Rev'!G10</f>
        <v>2023</v>
      </c>
      <c r="G10" s="1009">
        <f>+F11</f>
        <v>2024</v>
      </c>
      <c r="H10" s="1009">
        <f>+G11</f>
        <v>2025</v>
      </c>
      <c r="I10" s="1009">
        <f>+H11</f>
        <v>2026</v>
      </c>
      <c r="J10" s="1009">
        <f>+I11</f>
        <v>2027</v>
      </c>
      <c r="K10" s="1010">
        <f>+J11</f>
        <v>2028</v>
      </c>
    </row>
    <row r="11" spans="1:30" s="79" customFormat="1" ht="15.6">
      <c r="A11" s="663"/>
      <c r="B11" s="37"/>
      <c r="C11" s="43"/>
      <c r="D11" s="400" t="s">
        <v>123</v>
      </c>
      <c r="E11" s="1011">
        <f>+F11-1</f>
        <v>2023</v>
      </c>
      <c r="F11" s="1012">
        <f t="shared" ref="F11:K11" si="0">+F10+1</f>
        <v>2024</v>
      </c>
      <c r="G11" s="1012">
        <f t="shared" si="0"/>
        <v>2025</v>
      </c>
      <c r="H11" s="1012">
        <f t="shared" si="0"/>
        <v>2026</v>
      </c>
      <c r="I11" s="1012">
        <f t="shared" si="0"/>
        <v>2027</v>
      </c>
      <c r="J11" s="1012">
        <f t="shared" si="0"/>
        <v>2028</v>
      </c>
      <c r="K11" s="1013">
        <f t="shared" si="0"/>
        <v>2029</v>
      </c>
      <c r="M11" s="1936" t="s">
        <v>95</v>
      </c>
      <c r="N11" s="75"/>
      <c r="O11" s="75"/>
      <c r="P11" s="75"/>
      <c r="Q11" s="75"/>
      <c r="R11" s="75"/>
      <c r="S11" s="75"/>
      <c r="T11" s="75"/>
      <c r="U11" s="75"/>
      <c r="V11" s="75"/>
      <c r="W11" s="75"/>
      <c r="X11" s="75"/>
      <c r="Y11" s="75"/>
      <c r="Z11" s="75"/>
      <c r="AA11" s="75"/>
      <c r="AB11" s="75"/>
      <c r="AC11" s="75"/>
      <c r="AD11" s="75"/>
    </row>
    <row r="12" spans="1:30" s="79" customFormat="1" ht="15.6">
      <c r="A12" s="663">
        <f>ROW()</f>
        <v>12</v>
      </c>
      <c r="B12" s="1045" t="s">
        <v>405</v>
      </c>
      <c r="C12" s="1046"/>
      <c r="D12" s="1047"/>
      <c r="E12" s="778"/>
      <c r="F12" s="885">
        <f>'Mkt Res'!E27</f>
        <v>200</v>
      </c>
      <c r="G12" s="885">
        <f>'Mkt Res'!F27</f>
        <v>300</v>
      </c>
      <c r="H12" s="885">
        <f>'Mkt Res'!G27</f>
        <v>400</v>
      </c>
      <c r="I12" s="885">
        <f>'Mkt Res'!H27</f>
        <v>450</v>
      </c>
      <c r="J12" s="885">
        <f>'Mkt Res'!I27</f>
        <v>500</v>
      </c>
      <c r="K12" s="885">
        <f>'Mkt Res'!J27</f>
        <v>550</v>
      </c>
      <c r="M12" s="628"/>
      <c r="N12" s="75"/>
      <c r="O12" s="75"/>
      <c r="P12" s="75"/>
      <c r="Q12" s="75"/>
      <c r="R12" s="75"/>
      <c r="S12" s="75"/>
      <c r="T12" s="75"/>
      <c r="U12" s="75"/>
      <c r="V12" s="75"/>
      <c r="W12" s="75"/>
      <c r="X12" s="75"/>
      <c r="Y12" s="75"/>
      <c r="Z12" s="75"/>
      <c r="AA12" s="75"/>
      <c r="AB12" s="75"/>
      <c r="AC12" s="75"/>
      <c r="AD12" s="75"/>
    </row>
    <row r="13" spans="1:30" s="79" customFormat="1" ht="15.6">
      <c r="A13" s="1181">
        <f>ROW()</f>
        <v>13</v>
      </c>
      <c r="B13" s="706" t="s">
        <v>406</v>
      </c>
      <c r="C13" s="831"/>
      <c r="D13" s="886">
        <f>SUM(E13:K13)</f>
        <v>24373827.680398501</v>
      </c>
      <c r="E13" s="832"/>
      <c r="F13" s="888">
        <f>+' Enrol &amp; Rev'!G142</f>
        <v>1748937.5</v>
      </c>
      <c r="G13" s="888">
        <f>+' Enrol &amp; Rev'!H142</f>
        <v>2985042.728962</v>
      </c>
      <c r="H13" s="888">
        <f>+' Enrol &amp; Rev'!I142</f>
        <v>4043933.2184430007</v>
      </c>
      <c r="I13" s="888">
        <f>+' Enrol &amp; Rev'!J142</f>
        <v>4669192.8329240009</v>
      </c>
      <c r="J13" s="888">
        <f>+' Enrol &amp; Rev'!K142</f>
        <v>5198638.0776644992</v>
      </c>
      <c r="K13" s="888">
        <f>+' Enrol &amp; Rev'!L142</f>
        <v>5728083.3224050002</v>
      </c>
      <c r="M13" s="462"/>
      <c r="N13" s="75"/>
      <c r="O13" s="75"/>
      <c r="P13" s="75"/>
      <c r="Q13" s="75"/>
      <c r="R13" s="75"/>
      <c r="S13" s="75"/>
      <c r="T13" s="75"/>
      <c r="U13" s="75"/>
      <c r="V13" s="75"/>
      <c r="W13" s="75"/>
      <c r="X13" s="75"/>
      <c r="Y13" s="75"/>
      <c r="Z13" s="75"/>
      <c r="AA13" s="75"/>
      <c r="AB13" s="75"/>
      <c r="AC13" s="75"/>
      <c r="AD13" s="75"/>
    </row>
    <row r="14" spans="1:30" s="79" customFormat="1" ht="15.6">
      <c r="A14" s="1181">
        <f>ROW()</f>
        <v>14</v>
      </c>
      <c r="B14" s="891" t="s">
        <v>821</v>
      </c>
      <c r="C14" s="822"/>
      <c r="D14" s="887">
        <f>SUM(E14:K14)</f>
        <v>21771486.580417052</v>
      </c>
      <c r="E14" s="889">
        <f>SUM(Summary!F46:F49,Summary!F42:F44)</f>
        <v>372499.6</v>
      </c>
      <c r="F14" s="890">
        <f>SUM(Summary!G46:G49,Summary!G42:G44)</f>
        <v>1715179.0429310345</v>
      </c>
      <c r="G14" s="890">
        <f>SUM(Summary!H46:H49,Summary!H42:H44)</f>
        <v>2502601.1038903939</v>
      </c>
      <c r="H14" s="890">
        <f>SUM(Summary!I46:I49,Summary!I42:I44)</f>
        <v>3450397.596481008</v>
      </c>
      <c r="I14" s="890">
        <f>SUM(Summary!J46:J49,Summary!J42:J44)</f>
        <v>4223905.6076929206</v>
      </c>
      <c r="J14" s="890">
        <f>SUM(Summary!K46:K49,Summary!K42:K44)</f>
        <v>4690541.285869889</v>
      </c>
      <c r="K14" s="890">
        <f>SUM(Summary!L46:L49,Summary!L42:L44)</f>
        <v>4816362.343551809</v>
      </c>
      <c r="M14" s="462"/>
      <c r="N14" s="75"/>
      <c r="O14" s="75"/>
      <c r="P14" s="75"/>
      <c r="Q14" s="75"/>
      <c r="R14" s="75"/>
      <c r="S14" s="75"/>
      <c r="T14" s="75"/>
      <c r="U14" s="75"/>
      <c r="V14" s="75"/>
      <c r="W14" s="75"/>
      <c r="X14" s="75"/>
      <c r="Y14" s="75"/>
      <c r="Z14" s="75"/>
      <c r="AA14" s="75"/>
      <c r="AB14" s="75"/>
      <c r="AC14" s="75"/>
      <c r="AD14" s="75"/>
    </row>
    <row r="15" spans="1:30" s="79" customFormat="1" ht="15.6">
      <c r="A15" s="1181">
        <f>ROW()</f>
        <v>15</v>
      </c>
      <c r="B15" s="892" t="s">
        <v>822</v>
      </c>
      <c r="C15" s="822"/>
      <c r="D15" s="2081" t="s">
        <v>823</v>
      </c>
      <c r="E15" s="889"/>
      <c r="F15" s="890"/>
      <c r="G15" s="890"/>
      <c r="H15" s="890"/>
      <c r="I15" s="890"/>
      <c r="J15" s="890"/>
      <c r="K15" s="890"/>
      <c r="M15" s="462"/>
      <c r="N15" s="75"/>
      <c r="O15" s="75"/>
      <c r="P15" s="75"/>
      <c r="Q15" s="75"/>
      <c r="R15" s="75"/>
      <c r="S15" s="75"/>
      <c r="T15" s="75"/>
      <c r="U15" s="75"/>
      <c r="V15" s="75"/>
      <c r="W15" s="75"/>
      <c r="X15" s="75"/>
      <c r="Y15" s="75"/>
      <c r="Z15" s="75"/>
      <c r="AA15" s="75"/>
      <c r="AB15" s="75"/>
      <c r="AC15" s="75"/>
      <c r="AD15" s="75"/>
    </row>
    <row r="16" spans="1:30" ht="15.6">
      <c r="A16" s="1181">
        <f>ROW()</f>
        <v>16</v>
      </c>
      <c r="B16" s="892" t="s">
        <v>1341</v>
      </c>
      <c r="C16" s="366"/>
      <c r="D16" s="823"/>
      <c r="E16" s="823"/>
      <c r="F16" s="824"/>
      <c r="G16" s="825"/>
      <c r="H16" s="825"/>
      <c r="I16" s="825"/>
      <c r="J16" s="825"/>
      <c r="K16" s="825"/>
      <c r="M16" s="462"/>
    </row>
    <row r="17" spans="1:13" ht="15.6">
      <c r="A17" s="1181">
        <f>ROW()</f>
        <v>17</v>
      </c>
      <c r="B17" s="1219" t="s">
        <v>1225</v>
      </c>
      <c r="C17" s="54"/>
      <c r="D17" s="1111"/>
      <c r="E17" s="1220"/>
      <c r="F17" s="841"/>
      <c r="G17" s="1221"/>
      <c r="H17" s="1221"/>
      <c r="I17" s="1221"/>
      <c r="J17" s="1221"/>
      <c r="K17" s="1221"/>
      <c r="M17" s="462"/>
    </row>
    <row r="18" spans="1:13" ht="15.6">
      <c r="A18" s="1181">
        <f>ROW()</f>
        <v>18</v>
      </c>
      <c r="B18" s="1219" t="s">
        <v>1226</v>
      </c>
      <c r="C18" s="54"/>
      <c r="D18" s="1111"/>
      <c r="E18" s="1220"/>
      <c r="F18" s="841"/>
      <c r="G18" s="1221"/>
      <c r="H18" s="1221"/>
      <c r="I18" s="1221"/>
      <c r="J18" s="1221"/>
      <c r="K18" s="1221"/>
      <c r="M18" s="462"/>
    </row>
    <row r="19" spans="1:13" ht="15.6">
      <c r="A19" s="1181">
        <f>ROW()</f>
        <v>19</v>
      </c>
      <c r="B19" s="1219" t="s">
        <v>824</v>
      </c>
      <c r="C19" s="54"/>
      <c r="D19" s="1111"/>
      <c r="E19" s="1649" t="s">
        <v>825</v>
      </c>
      <c r="F19" s="841"/>
      <c r="G19" s="1221"/>
      <c r="H19" s="1221"/>
      <c r="I19" s="1221"/>
      <c r="J19" s="1221"/>
      <c r="K19" s="1221"/>
      <c r="M19" s="462"/>
    </row>
    <row r="20" spans="1:13" ht="15.6">
      <c r="A20" s="1181">
        <f>ROW()</f>
        <v>20</v>
      </c>
      <c r="B20" s="1219" t="s">
        <v>1227</v>
      </c>
      <c r="C20" s="54"/>
      <c r="D20" s="1111"/>
      <c r="E20" s="1220"/>
      <c r="F20" s="841"/>
      <c r="G20" s="1221"/>
      <c r="H20" s="1221"/>
      <c r="I20" s="1221"/>
      <c r="J20" s="1221"/>
      <c r="K20" s="1221"/>
      <c r="M20" s="462"/>
    </row>
    <row r="21" spans="1:13" ht="15.6">
      <c r="A21" s="1181">
        <f>ROW()</f>
        <v>21</v>
      </c>
      <c r="B21" s="1219" t="s">
        <v>826</v>
      </c>
      <c r="C21" s="54"/>
      <c r="D21" s="1111"/>
      <c r="E21" s="1220"/>
      <c r="F21" s="841"/>
      <c r="G21" s="1221"/>
      <c r="H21" s="1221"/>
      <c r="I21" s="1221"/>
      <c r="J21" s="1221"/>
      <c r="K21" s="1221"/>
      <c r="M21" s="462"/>
    </row>
    <row r="22" spans="1:13" ht="15.6">
      <c r="A22" s="1181">
        <f>ROW()</f>
        <v>22</v>
      </c>
      <c r="B22" s="1219" t="s">
        <v>826</v>
      </c>
      <c r="C22" s="54"/>
      <c r="D22" s="1111"/>
      <c r="E22" s="1220"/>
      <c r="F22" s="841"/>
      <c r="G22" s="1221"/>
      <c r="H22" s="1221"/>
      <c r="I22" s="1221"/>
      <c r="J22" s="1221"/>
      <c r="K22" s="1221"/>
      <c r="M22" s="462"/>
    </row>
    <row r="23" spans="1:13" ht="15.6">
      <c r="A23" s="1181">
        <f>ROW()</f>
        <v>23</v>
      </c>
      <c r="B23" s="1219"/>
      <c r="C23" s="54"/>
      <c r="D23" s="353"/>
      <c r="E23" s="1220"/>
      <c r="F23" s="841"/>
      <c r="G23" s="1221"/>
      <c r="H23" s="1221"/>
      <c r="I23" s="1221"/>
      <c r="J23" s="1221"/>
      <c r="K23" s="1221"/>
      <c r="M23" s="462"/>
    </row>
    <row r="24" spans="1:13">
      <c r="A24" s="1181">
        <f>ROW()</f>
        <v>24</v>
      </c>
      <c r="B24" s="1223" t="s">
        <v>827</v>
      </c>
      <c r="C24" s="821"/>
      <c r="D24" s="439"/>
      <c r="E24" s="826"/>
      <c r="F24" s="826"/>
      <c r="G24" s="826"/>
      <c r="H24" s="826"/>
      <c r="I24" s="826"/>
      <c r="J24" s="826"/>
      <c r="K24" s="826"/>
      <c r="M24" s="462"/>
    </row>
    <row r="25" spans="1:13">
      <c r="A25" s="1181">
        <f>ROW()</f>
        <v>25</v>
      </c>
      <c r="B25" s="1222"/>
      <c r="C25" s="1118">
        <v>0</v>
      </c>
      <c r="D25" s="2078">
        <f>SUM(E25:K25)</f>
        <v>0</v>
      </c>
      <c r="E25" s="1080">
        <v>0</v>
      </c>
      <c r="F25" s="1080">
        <v>0</v>
      </c>
      <c r="G25" s="1080">
        <v>0</v>
      </c>
      <c r="H25" s="1080">
        <v>0</v>
      </c>
      <c r="I25" s="1080">
        <v>0</v>
      </c>
      <c r="J25" s="1080">
        <v>0</v>
      </c>
      <c r="K25" s="1080">
        <v>0</v>
      </c>
      <c r="M25" s="462"/>
    </row>
    <row r="26" spans="1:13">
      <c r="A26" s="1181">
        <f>ROW()</f>
        <v>26</v>
      </c>
      <c r="B26" s="1114"/>
      <c r="C26" s="712">
        <v>0</v>
      </c>
      <c r="D26" s="2079">
        <f>SUM(E26:K26)</f>
        <v>0</v>
      </c>
      <c r="E26" s="828">
        <v>0</v>
      </c>
      <c r="F26" s="828">
        <v>0</v>
      </c>
      <c r="G26" s="828">
        <v>0</v>
      </c>
      <c r="H26" s="828">
        <v>0</v>
      </c>
      <c r="I26" s="828">
        <v>0</v>
      </c>
      <c r="J26" s="828">
        <v>0</v>
      </c>
      <c r="K26" s="828">
        <v>0</v>
      </c>
      <c r="M26" s="462"/>
    </row>
    <row r="27" spans="1:13">
      <c r="A27" s="1181">
        <f>ROW()</f>
        <v>27</v>
      </c>
      <c r="B27" s="409"/>
      <c r="C27" s="712"/>
      <c r="D27" s="2079"/>
      <c r="E27" s="828">
        <v>0</v>
      </c>
      <c r="F27" s="828">
        <v>0</v>
      </c>
      <c r="G27" s="828">
        <v>0</v>
      </c>
      <c r="H27" s="828">
        <v>0</v>
      </c>
      <c r="I27" s="828">
        <v>0</v>
      </c>
      <c r="J27" s="828">
        <v>0</v>
      </c>
      <c r="K27" s="828">
        <v>0</v>
      </c>
      <c r="M27" s="462"/>
    </row>
    <row r="28" spans="1:13">
      <c r="A28" s="1181">
        <f>ROW()</f>
        <v>28</v>
      </c>
      <c r="B28" s="1114"/>
      <c r="C28" s="1115">
        <v>0</v>
      </c>
      <c r="D28" s="2079">
        <f>SUM(E28:K28)</f>
        <v>0</v>
      </c>
      <c r="E28" s="828">
        <v>0</v>
      </c>
      <c r="F28" s="828">
        <v>0</v>
      </c>
      <c r="G28" s="828">
        <v>0</v>
      </c>
      <c r="H28" s="828">
        <v>0</v>
      </c>
      <c r="I28" s="828">
        <v>0</v>
      </c>
      <c r="J28" s="828">
        <v>0</v>
      </c>
      <c r="K28" s="828">
        <v>0</v>
      </c>
      <c r="M28" s="462"/>
    </row>
    <row r="29" spans="1:13">
      <c r="A29" s="1181">
        <f>ROW()</f>
        <v>29</v>
      </c>
      <c r="B29" s="1114"/>
      <c r="C29" s="1115">
        <v>0</v>
      </c>
      <c r="D29" s="2079">
        <f>SUM(E29:K29)</f>
        <v>0</v>
      </c>
      <c r="E29" s="828">
        <v>0</v>
      </c>
      <c r="F29" s="828">
        <v>0</v>
      </c>
      <c r="G29" s="828">
        <v>0</v>
      </c>
      <c r="H29" s="828">
        <v>0</v>
      </c>
      <c r="I29" s="828">
        <v>0</v>
      </c>
      <c r="J29" s="828">
        <v>0</v>
      </c>
      <c r="K29" s="828">
        <v>0</v>
      </c>
      <c r="M29" s="462"/>
    </row>
    <row r="30" spans="1:13">
      <c r="A30" s="1181">
        <f>ROW()</f>
        <v>30</v>
      </c>
      <c r="B30" s="409" t="s">
        <v>828</v>
      </c>
      <c r="C30" s="712"/>
      <c r="D30" s="2079"/>
      <c r="E30" s="828">
        <v>0</v>
      </c>
      <c r="F30" s="828">
        <v>0</v>
      </c>
      <c r="G30" s="828">
        <v>0</v>
      </c>
      <c r="H30" s="828">
        <v>0</v>
      </c>
      <c r="I30" s="828">
        <v>0</v>
      </c>
      <c r="J30" s="828">
        <v>0</v>
      </c>
      <c r="K30" s="828">
        <v>0</v>
      </c>
      <c r="M30" s="462"/>
    </row>
    <row r="31" spans="1:13">
      <c r="A31" s="1181">
        <f>ROW()</f>
        <v>31</v>
      </c>
      <c r="B31" s="1114" t="s">
        <v>1470</v>
      </c>
      <c r="C31" s="1115">
        <v>0</v>
      </c>
      <c r="D31" s="2079">
        <f>SUM(E31:K31)</f>
        <v>0</v>
      </c>
      <c r="E31" s="828">
        <v>0</v>
      </c>
      <c r="F31" s="828">
        <v>0</v>
      </c>
      <c r="G31" s="828">
        <v>0</v>
      </c>
      <c r="H31" s="828">
        <v>0</v>
      </c>
      <c r="I31" s="828">
        <v>0</v>
      </c>
      <c r="J31" s="828">
        <v>0</v>
      </c>
      <c r="K31" s="828">
        <v>0</v>
      </c>
      <c r="M31" s="462"/>
    </row>
    <row r="32" spans="1:13">
      <c r="A32" s="1181">
        <f>ROW()</f>
        <v>32</v>
      </c>
      <c r="B32" s="1114" t="s">
        <v>1471</v>
      </c>
      <c r="C32" s="1115">
        <v>0</v>
      </c>
      <c r="D32" s="2079">
        <f>SUM(E32:K32)</f>
        <v>0</v>
      </c>
      <c r="E32" s="828">
        <v>0</v>
      </c>
      <c r="F32" s="828">
        <v>0</v>
      </c>
      <c r="G32" s="828">
        <v>0</v>
      </c>
      <c r="H32" s="828">
        <v>0</v>
      </c>
      <c r="I32" s="828">
        <v>0</v>
      </c>
      <c r="J32" s="828">
        <v>0</v>
      </c>
      <c r="K32" s="828">
        <v>0</v>
      </c>
      <c r="M32" s="462"/>
    </row>
    <row r="33" spans="1:13">
      <c r="A33" s="1181">
        <f>ROW()</f>
        <v>33</v>
      </c>
      <c r="B33" s="409" t="s">
        <v>828</v>
      </c>
      <c r="C33" s="1115"/>
      <c r="D33" s="2079"/>
      <c r="E33" s="828">
        <v>0</v>
      </c>
      <c r="F33" s="828">
        <v>0</v>
      </c>
      <c r="G33" s="828">
        <v>0</v>
      </c>
      <c r="H33" s="828">
        <v>0</v>
      </c>
      <c r="I33" s="828">
        <v>0</v>
      </c>
      <c r="J33" s="828">
        <v>0</v>
      </c>
      <c r="K33" s="828">
        <v>0</v>
      </c>
      <c r="M33" s="462"/>
    </row>
    <row r="34" spans="1:13">
      <c r="A34" s="1181">
        <f>ROW()</f>
        <v>34</v>
      </c>
      <c r="B34" s="1114" t="s">
        <v>829</v>
      </c>
      <c r="C34" s="1115">
        <v>0</v>
      </c>
      <c r="D34" s="2079">
        <f>SUM(E34:K34)</f>
        <v>0</v>
      </c>
      <c r="E34" s="828">
        <v>0</v>
      </c>
      <c r="F34" s="828">
        <v>0</v>
      </c>
      <c r="G34" s="828">
        <v>0</v>
      </c>
      <c r="H34" s="828">
        <v>0</v>
      </c>
      <c r="I34" s="828">
        <v>0</v>
      </c>
      <c r="J34" s="828">
        <v>0</v>
      </c>
      <c r="K34" s="828">
        <v>0</v>
      </c>
      <c r="M34" s="462"/>
    </row>
    <row r="35" spans="1:13">
      <c r="A35" s="1181">
        <f>ROW()</f>
        <v>35</v>
      </c>
      <c r="B35" s="1114" t="s">
        <v>830</v>
      </c>
      <c r="C35" s="1115">
        <v>0</v>
      </c>
      <c r="D35" s="2079">
        <f>SUM(E35:K35)</f>
        <v>0</v>
      </c>
      <c r="E35" s="828">
        <v>0</v>
      </c>
      <c r="F35" s="828">
        <v>0</v>
      </c>
      <c r="G35" s="828">
        <v>0</v>
      </c>
      <c r="H35" s="828">
        <v>0</v>
      </c>
      <c r="I35" s="828">
        <v>0</v>
      </c>
      <c r="J35" s="828">
        <v>0</v>
      </c>
      <c r="K35" s="828">
        <v>0</v>
      </c>
      <c r="M35" s="462"/>
    </row>
    <row r="36" spans="1:13">
      <c r="A36" s="1181">
        <f>ROW()</f>
        <v>36</v>
      </c>
      <c r="B36" s="409" t="s">
        <v>828</v>
      </c>
      <c r="C36" s="1115"/>
      <c r="D36" s="2079"/>
      <c r="E36" s="828">
        <v>0</v>
      </c>
      <c r="F36" s="828">
        <v>0</v>
      </c>
      <c r="G36" s="828">
        <v>0</v>
      </c>
      <c r="H36" s="828">
        <v>0</v>
      </c>
      <c r="I36" s="828">
        <v>0</v>
      </c>
      <c r="J36" s="828">
        <v>0</v>
      </c>
      <c r="K36" s="828">
        <v>0</v>
      </c>
      <c r="M36" s="462"/>
    </row>
    <row r="37" spans="1:13">
      <c r="A37" s="1181">
        <f>ROW()</f>
        <v>37</v>
      </c>
      <c r="B37" s="1114" t="s">
        <v>831</v>
      </c>
      <c r="C37" s="1115"/>
      <c r="D37" s="2079"/>
      <c r="E37" s="828">
        <v>0</v>
      </c>
      <c r="F37" s="828">
        <v>0</v>
      </c>
      <c r="G37" s="828">
        <v>0</v>
      </c>
      <c r="H37" s="828">
        <v>0</v>
      </c>
      <c r="I37" s="828">
        <v>0</v>
      </c>
      <c r="J37" s="828">
        <v>0</v>
      </c>
      <c r="K37" s="828">
        <v>0</v>
      </c>
      <c r="M37" s="462"/>
    </row>
    <row r="38" spans="1:13">
      <c r="A38" s="1181">
        <f>ROW()</f>
        <v>38</v>
      </c>
      <c r="B38" s="1116" t="s">
        <v>831</v>
      </c>
      <c r="C38" s="1117"/>
      <c r="D38" s="2080">
        <f>SUM(E38:K38)</f>
        <v>0</v>
      </c>
      <c r="E38" s="829">
        <v>0</v>
      </c>
      <c r="F38" s="829">
        <v>0</v>
      </c>
      <c r="G38" s="829">
        <v>0</v>
      </c>
      <c r="H38" s="829">
        <v>0</v>
      </c>
      <c r="I38" s="829">
        <v>0</v>
      </c>
      <c r="J38" s="829">
        <v>0</v>
      </c>
      <c r="K38" s="829">
        <v>0</v>
      </c>
      <c r="M38" s="462"/>
    </row>
    <row r="39" spans="1:13">
      <c r="A39" s="1181">
        <f>ROW()</f>
        <v>39</v>
      </c>
      <c r="B39" s="351"/>
      <c r="C39" s="352"/>
      <c r="D39" s="830">
        <f>SUM(E39:K39)</f>
        <v>0</v>
      </c>
      <c r="E39" s="830">
        <f t="shared" ref="E39:K39" si="1">SUM(E25:E38)</f>
        <v>0</v>
      </c>
      <c r="F39" s="830">
        <f t="shared" si="1"/>
        <v>0</v>
      </c>
      <c r="G39" s="830">
        <f t="shared" si="1"/>
        <v>0</v>
      </c>
      <c r="H39" s="830">
        <f t="shared" si="1"/>
        <v>0</v>
      </c>
      <c r="I39" s="830">
        <f t="shared" si="1"/>
        <v>0</v>
      </c>
      <c r="J39" s="830">
        <f t="shared" si="1"/>
        <v>0</v>
      </c>
      <c r="K39" s="830">
        <f t="shared" si="1"/>
        <v>0</v>
      </c>
      <c r="M39" s="462"/>
    </row>
    <row r="40" spans="1:13">
      <c r="A40" s="1181">
        <f>ROW()</f>
        <v>40</v>
      </c>
      <c r="B40" s="442" t="s">
        <v>832</v>
      </c>
      <c r="C40" s="54"/>
      <c r="D40" s="54"/>
      <c r="E40" s="54"/>
      <c r="F40" s="352"/>
      <c r="G40" s="350"/>
      <c r="H40" s="353"/>
      <c r="I40" s="354"/>
      <c r="J40" s="354"/>
      <c r="K40" s="354"/>
      <c r="L40" s="219"/>
      <c r="M40" s="462"/>
    </row>
    <row r="41" spans="1:13">
      <c r="A41" s="1181">
        <f>ROW()</f>
        <v>41</v>
      </c>
      <c r="B41" s="442" t="s">
        <v>833</v>
      </c>
      <c r="C41" s="54"/>
      <c r="D41" s="54"/>
      <c r="E41" s="54"/>
      <c r="F41" s="352"/>
      <c r="G41" s="350"/>
      <c r="H41" s="353"/>
      <c r="I41" s="354"/>
      <c r="J41" s="354"/>
      <c r="K41" s="354"/>
      <c r="L41" s="219"/>
      <c r="M41" s="462"/>
    </row>
    <row r="42" spans="1:13">
      <c r="A42" s="1181">
        <f>ROW()</f>
        <v>42</v>
      </c>
      <c r="B42" s="442"/>
      <c r="C42" s="54"/>
      <c r="D42" s="54"/>
      <c r="E42" s="54"/>
      <c r="F42" s="352"/>
      <c r="G42" s="350"/>
      <c r="H42" s="353"/>
      <c r="I42" s="354"/>
      <c r="J42" s="354"/>
      <c r="K42" s="354"/>
      <c r="L42" s="219"/>
      <c r="M42" s="462"/>
    </row>
    <row r="43" spans="1:13">
      <c r="A43" s="1181">
        <f>ROW()</f>
        <v>43</v>
      </c>
      <c r="B43" s="442"/>
      <c r="C43" s="54"/>
      <c r="D43" s="54"/>
      <c r="E43" s="54"/>
      <c r="F43" s="352"/>
      <c r="G43" s="350"/>
      <c r="H43" s="353"/>
      <c r="I43" s="354"/>
      <c r="J43" s="354"/>
      <c r="K43" s="354"/>
      <c r="L43" s="219"/>
      <c r="M43" s="462"/>
    </row>
    <row r="44" spans="1:13">
      <c r="A44" s="1181">
        <f>ROW()</f>
        <v>44</v>
      </c>
      <c r="B44" s="442"/>
      <c r="C44" s="54"/>
      <c r="D44" s="2203" t="s">
        <v>834</v>
      </c>
      <c r="E44" s="2204"/>
      <c r="F44" s="2205"/>
      <c r="G44" s="350"/>
      <c r="H44" s="2203" t="s">
        <v>835</v>
      </c>
      <c r="I44" s="2204"/>
      <c r="J44" s="2205"/>
      <c r="K44" s="354"/>
      <c r="L44" s="219"/>
      <c r="M44" s="462"/>
    </row>
    <row r="45" spans="1:13">
      <c r="A45" s="1181">
        <f>ROW()</f>
        <v>45</v>
      </c>
      <c r="B45" s="443"/>
      <c r="D45" s="72" t="s">
        <v>836</v>
      </c>
      <c r="E45" s="444" t="s">
        <v>837</v>
      </c>
      <c r="F45" s="72" t="s">
        <v>758</v>
      </c>
      <c r="G45" s="350"/>
      <c r="H45" s="72" t="s">
        <v>836</v>
      </c>
      <c r="I45" s="444" t="s">
        <v>837</v>
      </c>
      <c r="J45" s="72" t="s">
        <v>758</v>
      </c>
      <c r="K45" s="354"/>
      <c r="L45" s="219"/>
      <c r="M45" s="462"/>
    </row>
    <row r="46" spans="1:13">
      <c r="A46" s="1181">
        <f>ROW()</f>
        <v>46</v>
      </c>
      <c r="B46" s="443"/>
      <c r="D46" s="72" t="s">
        <v>838</v>
      </c>
      <c r="E46" s="72" t="s">
        <v>839</v>
      </c>
      <c r="F46" s="72" t="s">
        <v>840</v>
      </c>
      <c r="G46" s="350"/>
      <c r="H46" s="72" t="s">
        <v>838</v>
      </c>
      <c r="I46" s="72" t="s">
        <v>839</v>
      </c>
      <c r="J46" s="72" t="s">
        <v>840</v>
      </c>
      <c r="K46" s="354"/>
      <c r="L46" s="219"/>
      <c r="M46" s="462"/>
    </row>
    <row r="47" spans="1:13" ht="15.6">
      <c r="A47" s="1181">
        <f>ROW()</f>
        <v>47</v>
      </c>
      <c r="B47" s="445" t="s">
        <v>841</v>
      </c>
      <c r="C47" s="94"/>
      <c r="D47" s="93" t="s">
        <v>842</v>
      </c>
      <c r="E47" s="93" t="s">
        <v>842</v>
      </c>
      <c r="F47" s="93" t="s">
        <v>842</v>
      </c>
      <c r="G47" s="350"/>
      <c r="H47" s="93" t="s">
        <v>842</v>
      </c>
      <c r="I47" s="93" t="s">
        <v>842</v>
      </c>
      <c r="J47" s="93" t="s">
        <v>842</v>
      </c>
      <c r="K47" s="354"/>
      <c r="L47" s="219"/>
      <c r="M47" s="462"/>
    </row>
    <row r="48" spans="1:13" ht="27.6">
      <c r="A48" s="1181">
        <f>ROW()</f>
        <v>48</v>
      </c>
      <c r="B48" s="446" t="s">
        <v>843</v>
      </c>
      <c r="C48" s="447"/>
      <c r="D48" s="1182"/>
      <c r="E48" s="1182"/>
      <c r="F48" s="1183"/>
      <c r="G48" s="2082"/>
      <c r="H48" s="1213" t="s">
        <v>1522</v>
      </c>
      <c r="I48" s="1214"/>
      <c r="J48" s="1183"/>
      <c r="K48" s="354"/>
      <c r="L48" s="354"/>
      <c r="M48" s="462" t="s">
        <v>1523</v>
      </c>
    </row>
    <row r="49" spans="1:13">
      <c r="A49" s="1181">
        <f>ROW()</f>
        <v>49</v>
      </c>
      <c r="B49" s="446" t="s">
        <v>844</v>
      </c>
      <c r="C49" s="447"/>
      <c r="D49" s="1182"/>
      <c r="E49" s="1182"/>
      <c r="F49" s="361"/>
      <c r="G49" s="2082"/>
      <c r="H49" s="1215" t="s">
        <v>1522</v>
      </c>
      <c r="I49" s="1182"/>
      <c r="J49" s="361"/>
      <c r="K49" s="354"/>
      <c r="L49" s="354"/>
      <c r="M49" s="462"/>
    </row>
    <row r="50" spans="1:13">
      <c r="A50" s="1181">
        <f>ROW()</f>
        <v>50</v>
      </c>
      <c r="B50" s="106" t="s">
        <v>845</v>
      </c>
      <c r="C50" s="106"/>
      <c r="D50" s="360"/>
      <c r="E50" s="360"/>
      <c r="F50" s="361"/>
      <c r="G50" s="2082"/>
      <c r="H50" s="1216"/>
      <c r="I50" s="360"/>
      <c r="J50" s="361"/>
      <c r="K50" s="354"/>
      <c r="L50" s="354"/>
      <c r="M50" s="462"/>
    </row>
    <row r="51" spans="1:13">
      <c r="A51" s="1181">
        <f>ROW()</f>
        <v>51</v>
      </c>
      <c r="B51" s="106" t="s">
        <v>846</v>
      </c>
      <c r="C51" s="106"/>
      <c r="D51" s="360"/>
      <c r="E51" s="360"/>
      <c r="F51" s="361"/>
      <c r="G51" s="2082"/>
      <c r="H51" s="1216"/>
      <c r="I51" s="360"/>
      <c r="J51" s="361"/>
      <c r="K51" s="354"/>
      <c r="L51" s="354"/>
      <c r="M51" s="462"/>
    </row>
    <row r="52" spans="1:13">
      <c r="A52" s="1181">
        <f>ROW()</f>
        <v>52</v>
      </c>
      <c r="B52" s="106" t="s">
        <v>847</v>
      </c>
      <c r="C52" s="106"/>
      <c r="D52" s="360"/>
      <c r="E52" s="360"/>
      <c r="F52" s="361"/>
      <c r="G52" s="2082"/>
      <c r="H52" s="1216"/>
      <c r="I52" s="360"/>
      <c r="J52" s="361"/>
      <c r="K52" s="354"/>
      <c r="L52" s="354"/>
      <c r="M52" s="462"/>
    </row>
    <row r="53" spans="1:13">
      <c r="A53" s="1181">
        <f>ROW()</f>
        <v>53</v>
      </c>
      <c r="B53" s="106" t="s">
        <v>848</v>
      </c>
      <c r="C53" s="106"/>
      <c r="D53" s="360"/>
      <c r="E53" s="360"/>
      <c r="F53" s="361"/>
      <c r="G53" s="2082"/>
      <c r="H53" s="1216"/>
      <c r="I53" s="360"/>
      <c r="J53" s="361"/>
      <c r="K53" s="354"/>
      <c r="L53" s="354"/>
      <c r="M53" s="462"/>
    </row>
    <row r="54" spans="1:13">
      <c r="A54" s="1181">
        <f>ROW()</f>
        <v>54</v>
      </c>
      <c r="B54" s="106" t="s">
        <v>849</v>
      </c>
      <c r="C54" s="106"/>
      <c r="D54" s="360"/>
      <c r="E54" s="360"/>
      <c r="F54" s="361"/>
      <c r="G54" s="2082"/>
      <c r="H54" s="1216"/>
      <c r="I54" s="360"/>
      <c r="J54" s="361"/>
      <c r="K54" s="354"/>
      <c r="L54" s="354"/>
      <c r="M54" s="462"/>
    </row>
    <row r="55" spans="1:13">
      <c r="A55" s="1181">
        <f>ROW()</f>
        <v>55</v>
      </c>
      <c r="B55" s="106" t="s">
        <v>850</v>
      </c>
      <c r="C55" s="106"/>
      <c r="D55" s="360"/>
      <c r="E55" s="360"/>
      <c r="F55" s="361"/>
      <c r="G55" s="2082"/>
      <c r="H55" s="1216"/>
      <c r="I55" s="360"/>
      <c r="J55" s="361"/>
      <c r="K55" s="354"/>
      <c r="L55" s="354"/>
      <c r="M55" s="462"/>
    </row>
    <row r="56" spans="1:13">
      <c r="A56" s="1181">
        <f>ROW()</f>
        <v>56</v>
      </c>
      <c r="B56" s="106" t="s">
        <v>851</v>
      </c>
      <c r="C56" s="106"/>
      <c r="D56" s="360"/>
      <c r="E56" s="360"/>
      <c r="F56" s="361"/>
      <c r="G56" s="2082"/>
      <c r="H56" s="1216"/>
      <c r="I56" s="360"/>
      <c r="J56" s="361"/>
      <c r="K56" s="354"/>
      <c r="L56" s="354"/>
      <c r="M56" s="462"/>
    </row>
    <row r="57" spans="1:13">
      <c r="A57" s="1181">
        <f>ROW()</f>
        <v>57</v>
      </c>
      <c r="B57" s="106" t="s">
        <v>852</v>
      </c>
      <c r="C57" s="106"/>
      <c r="D57" s="360"/>
      <c r="E57" s="360"/>
      <c r="F57" s="361"/>
      <c r="G57" s="2082"/>
      <c r="H57" s="1216"/>
      <c r="I57" s="360"/>
      <c r="J57" s="361"/>
      <c r="K57" s="354"/>
      <c r="L57" s="354"/>
      <c r="M57" s="462"/>
    </row>
    <row r="58" spans="1:13">
      <c r="A58" s="1181">
        <f>ROW()</f>
        <v>58</v>
      </c>
      <c r="B58" s="106" t="s">
        <v>853</v>
      </c>
      <c r="C58" s="106"/>
      <c r="D58" s="360"/>
      <c r="E58" s="360"/>
      <c r="F58" s="361"/>
      <c r="G58" s="2082"/>
      <c r="H58" s="1216"/>
      <c r="I58" s="360"/>
      <c r="J58" s="361"/>
      <c r="K58" s="354"/>
      <c r="L58" s="354"/>
      <c r="M58" s="462"/>
    </row>
    <row r="59" spans="1:13">
      <c r="A59" s="1181">
        <f>ROW()</f>
        <v>59</v>
      </c>
      <c r="B59" s="106" t="s">
        <v>854</v>
      </c>
      <c r="C59" s="106"/>
      <c r="D59" s="360"/>
      <c r="E59" s="360"/>
      <c r="F59" s="361"/>
      <c r="G59" s="2082"/>
      <c r="H59" s="1216"/>
      <c r="I59" s="360"/>
      <c r="J59" s="361"/>
      <c r="K59" s="354"/>
      <c r="L59" s="354"/>
      <c r="M59" s="462"/>
    </row>
    <row r="60" spans="1:13">
      <c r="A60" s="1181">
        <f>ROW()</f>
        <v>60</v>
      </c>
      <c r="B60" s="106" t="s">
        <v>855</v>
      </c>
      <c r="C60" s="106"/>
      <c r="D60" s="360"/>
      <c r="E60" s="360"/>
      <c r="F60" s="361"/>
      <c r="G60" s="2082"/>
      <c r="H60" s="1216"/>
      <c r="I60" s="360"/>
      <c r="J60" s="361"/>
      <c r="K60" s="354"/>
      <c r="L60" s="354"/>
      <c r="M60" s="462"/>
    </row>
    <row r="61" spans="1:13">
      <c r="A61" s="1181">
        <f>ROW()</f>
        <v>61</v>
      </c>
      <c r="B61" s="106" t="s">
        <v>856</v>
      </c>
      <c r="C61" s="106"/>
      <c r="D61" s="360"/>
      <c r="E61" s="360"/>
      <c r="F61" s="361"/>
      <c r="G61" s="2082"/>
      <c r="H61" s="1216"/>
      <c r="I61" s="360"/>
      <c r="J61" s="361"/>
      <c r="K61" s="354"/>
      <c r="L61" s="354"/>
      <c r="M61" s="462"/>
    </row>
    <row r="62" spans="1:13">
      <c r="A62" s="1181">
        <f>ROW()</f>
        <v>62</v>
      </c>
      <c r="B62" s="106" t="s">
        <v>857</v>
      </c>
      <c r="C62" s="106"/>
      <c r="D62" s="360"/>
      <c r="E62" s="360"/>
      <c r="F62" s="361"/>
      <c r="G62" s="2082"/>
      <c r="H62" s="1216"/>
      <c r="I62" s="360"/>
      <c r="J62" s="361"/>
      <c r="K62" s="354"/>
      <c r="L62" s="354"/>
      <c r="M62" s="462"/>
    </row>
    <row r="63" spans="1:13">
      <c r="A63" s="1181">
        <f>ROW()</f>
        <v>63</v>
      </c>
      <c r="B63" s="106" t="s">
        <v>1209</v>
      </c>
      <c r="C63" s="106"/>
      <c r="D63" s="360"/>
      <c r="E63" s="360"/>
      <c r="F63" s="361"/>
      <c r="G63" s="2082"/>
      <c r="H63" s="1216"/>
      <c r="I63" s="360"/>
      <c r="J63" s="361"/>
      <c r="K63" s="354"/>
      <c r="L63" s="354"/>
      <c r="M63" s="462"/>
    </row>
    <row r="64" spans="1:13">
      <c r="A64" s="1181">
        <f>ROW()</f>
        <v>64</v>
      </c>
      <c r="B64" s="106" t="s">
        <v>858</v>
      </c>
      <c r="C64" s="106"/>
      <c r="D64" s="360"/>
      <c r="E64" s="360"/>
      <c r="F64" s="361"/>
      <c r="G64" s="2082"/>
      <c r="H64" s="1216"/>
      <c r="I64" s="360"/>
      <c r="J64" s="361"/>
      <c r="K64" s="354"/>
      <c r="L64" s="354"/>
      <c r="M64" s="462"/>
    </row>
    <row r="65" spans="1:13">
      <c r="A65" s="1181">
        <f>ROW()</f>
        <v>65</v>
      </c>
      <c r="B65" s="106" t="s">
        <v>859</v>
      </c>
      <c r="C65" s="106"/>
      <c r="D65" s="360"/>
      <c r="E65" s="360"/>
      <c r="F65" s="361"/>
      <c r="G65" s="2082"/>
      <c r="H65" s="1216"/>
      <c r="I65" s="360"/>
      <c r="J65" s="361"/>
      <c r="K65" s="354"/>
      <c r="L65" s="354"/>
      <c r="M65" s="462"/>
    </row>
    <row r="66" spans="1:13">
      <c r="A66" s="1181">
        <f>ROW()</f>
        <v>66</v>
      </c>
      <c r="B66" s="106" t="s">
        <v>860</v>
      </c>
      <c r="C66" s="106"/>
      <c r="D66" s="360"/>
      <c r="E66" s="360"/>
      <c r="F66" s="361"/>
      <c r="G66" s="2082"/>
      <c r="H66" s="1216"/>
      <c r="I66" s="360"/>
      <c r="J66" s="361"/>
      <c r="K66" s="354"/>
      <c r="L66" s="354"/>
      <c r="M66" s="462"/>
    </row>
    <row r="67" spans="1:13">
      <c r="A67" s="1181">
        <f>ROW()</f>
        <v>67</v>
      </c>
      <c r="B67" s="106" t="s">
        <v>861</v>
      </c>
      <c r="C67" s="106"/>
      <c r="D67" s="360"/>
      <c r="E67" s="360"/>
      <c r="F67" s="361"/>
      <c r="G67" s="2082"/>
      <c r="H67" s="1216"/>
      <c r="I67" s="360"/>
      <c r="J67" s="361"/>
      <c r="K67" s="354"/>
      <c r="L67" s="354"/>
      <c r="M67" s="462"/>
    </row>
    <row r="68" spans="1:13">
      <c r="A68" s="1181">
        <f>ROW()</f>
        <v>68</v>
      </c>
      <c r="B68" s="106" t="s">
        <v>862</v>
      </c>
      <c r="C68" s="106"/>
      <c r="D68" s="360"/>
      <c r="E68" s="360"/>
      <c r="F68" s="361"/>
      <c r="G68" s="2082"/>
      <c r="H68" s="1216"/>
      <c r="I68" s="360"/>
      <c r="J68" s="361"/>
      <c r="K68" s="354"/>
      <c r="L68" s="354"/>
      <c r="M68" s="462"/>
    </row>
    <row r="69" spans="1:13">
      <c r="A69" s="1181">
        <f>ROW()</f>
        <v>69</v>
      </c>
      <c r="B69" s="106" t="s">
        <v>863</v>
      </c>
      <c r="C69" s="106"/>
      <c r="D69" s="360"/>
      <c r="E69" s="360"/>
      <c r="F69" s="361"/>
      <c r="G69" s="2082"/>
      <c r="H69" s="1216"/>
      <c r="I69" s="360"/>
      <c r="J69" s="361"/>
      <c r="K69" s="354"/>
      <c r="L69" s="354"/>
      <c r="M69" s="462"/>
    </row>
    <row r="70" spans="1:13">
      <c r="A70" s="1181">
        <f>ROW()</f>
        <v>70</v>
      </c>
      <c r="B70" s="106" t="s">
        <v>864</v>
      </c>
      <c r="C70" s="106"/>
      <c r="D70" s="360"/>
      <c r="E70" s="360"/>
      <c r="F70" s="361"/>
      <c r="G70" s="2082"/>
      <c r="H70" s="1216"/>
      <c r="I70" s="360"/>
      <c r="J70" s="361"/>
      <c r="K70" s="354"/>
      <c r="L70" s="354"/>
      <c r="M70" s="462"/>
    </row>
    <row r="71" spans="1:13">
      <c r="A71" s="1181">
        <f>ROW()</f>
        <v>71</v>
      </c>
      <c r="B71" s="106" t="s">
        <v>865</v>
      </c>
      <c r="C71" s="106"/>
      <c r="D71" s="360"/>
      <c r="E71" s="360"/>
      <c r="F71" s="361"/>
      <c r="G71" s="2082"/>
      <c r="H71" s="1216"/>
      <c r="I71" s="360"/>
      <c r="J71" s="361"/>
      <c r="K71" s="354"/>
      <c r="L71" s="354"/>
      <c r="M71" s="462"/>
    </row>
    <row r="72" spans="1:13">
      <c r="A72" s="1181">
        <f>ROW()</f>
        <v>72</v>
      </c>
      <c r="B72" s="106" t="s">
        <v>866</v>
      </c>
      <c r="C72" s="106"/>
      <c r="D72" s="360"/>
      <c r="E72" s="360"/>
      <c r="F72" s="361"/>
      <c r="G72" s="2082"/>
      <c r="H72" s="1216"/>
      <c r="I72" s="360"/>
      <c r="J72" s="361"/>
      <c r="K72" s="354"/>
      <c r="L72" s="354"/>
      <c r="M72" s="462"/>
    </row>
    <row r="73" spans="1:13">
      <c r="A73" s="1181">
        <f>ROW()</f>
        <v>73</v>
      </c>
      <c r="B73" s="106" t="s">
        <v>139</v>
      </c>
      <c r="C73" s="106"/>
      <c r="D73" s="360"/>
      <c r="E73" s="360"/>
      <c r="F73" s="1184"/>
      <c r="G73" s="2082"/>
      <c r="H73" s="1216"/>
      <c r="I73" s="360"/>
      <c r="J73" s="1184"/>
      <c r="K73" s="354"/>
      <c r="L73" s="354"/>
      <c r="M73" s="462"/>
    </row>
    <row r="74" spans="1:13">
      <c r="A74" s="1181">
        <f>ROW()</f>
        <v>74</v>
      </c>
      <c r="B74" s="1598" t="s">
        <v>867</v>
      </c>
      <c r="C74" s="1598"/>
      <c r="D74" s="360"/>
      <c r="E74" s="360"/>
      <c r="F74" s="1184"/>
      <c r="G74" s="2082"/>
      <c r="H74" s="1216"/>
      <c r="I74" s="360"/>
      <c r="J74" s="1184"/>
      <c r="K74" s="354"/>
      <c r="L74" s="354"/>
      <c r="M74" s="462"/>
    </row>
    <row r="75" spans="1:13">
      <c r="A75" s="1181">
        <f>ROW()</f>
        <v>75</v>
      </c>
      <c r="B75" s="1598" t="s">
        <v>867</v>
      </c>
      <c r="C75" s="1598"/>
      <c r="D75" s="360"/>
      <c r="E75" s="360"/>
      <c r="F75" s="1184"/>
      <c r="G75" s="2082"/>
      <c r="H75" s="1216"/>
      <c r="I75" s="360"/>
      <c r="J75" s="1184"/>
      <c r="K75" s="354"/>
      <c r="L75" s="354"/>
      <c r="M75" s="462"/>
    </row>
    <row r="76" spans="1:13">
      <c r="A76" s="1181">
        <f>ROW()</f>
        <v>76</v>
      </c>
      <c r="B76" s="1598" t="s">
        <v>867</v>
      </c>
      <c r="C76" s="1598"/>
      <c r="D76" s="360"/>
      <c r="E76" s="360"/>
      <c r="F76" s="1185"/>
      <c r="G76" s="2082"/>
      <c r="H76" s="1217"/>
      <c r="I76" s="1218"/>
      <c r="J76" s="1185"/>
      <c r="K76" s="354"/>
      <c r="L76" s="354"/>
      <c r="M76" s="462"/>
    </row>
    <row r="77" spans="1:13">
      <c r="A77" s="1181">
        <f>ROW()</f>
        <v>77</v>
      </c>
      <c r="B77" s="1632" t="s">
        <v>868</v>
      </c>
      <c r="C77" s="1633"/>
      <c r="D77" s="1634"/>
      <c r="E77" s="1634"/>
      <c r="F77" s="1634"/>
      <c r="G77" s="40"/>
      <c r="H77" s="40"/>
      <c r="I77" s="40"/>
      <c r="J77" s="40"/>
      <c r="K77" s="40"/>
      <c r="M77" s="462"/>
    </row>
    <row r="78" spans="1:13">
      <c r="A78" s="1181">
        <f>ROW()</f>
        <v>78</v>
      </c>
      <c r="B78" s="355" t="s">
        <v>869</v>
      </c>
      <c r="C78" s="49"/>
      <c r="D78" s="356"/>
      <c r="E78" s="60"/>
      <c r="F78" s="60"/>
      <c r="G78" s="60"/>
      <c r="H78" s="356"/>
      <c r="I78" s="356"/>
      <c r="J78" s="356"/>
      <c r="K78" s="356"/>
      <c r="L78" s="111"/>
      <c r="M78" s="462"/>
    </row>
    <row r="79" spans="1:13">
      <c r="A79" s="1181">
        <f>ROW()</f>
        <v>79</v>
      </c>
      <c r="B79" s="355" t="s">
        <v>870</v>
      </c>
      <c r="C79" s="49"/>
      <c r="D79" s="49"/>
      <c r="E79" s="357"/>
      <c r="F79" s="357"/>
      <c r="G79" s="357"/>
      <c r="H79" s="357"/>
      <c r="I79" s="357"/>
      <c r="J79" s="357"/>
      <c r="K79" s="357"/>
      <c r="L79" s="113"/>
      <c r="M79" s="462"/>
    </row>
    <row r="80" spans="1:13">
      <c r="A80" s="40"/>
      <c r="B80" s="40"/>
      <c r="C80" s="40"/>
      <c r="D80" s="43"/>
      <c r="E80" s="43"/>
      <c r="F80" s="43"/>
      <c r="G80" s="40"/>
      <c r="H80" s="40"/>
      <c r="I80" s="40"/>
      <c r="J80" s="40"/>
      <c r="K80" s="40"/>
      <c r="M80" s="462"/>
    </row>
  </sheetData>
  <sheetProtection algorithmName="SHA-512" hashValue="mK9ai6EwSqAN1Qedk7Oq9EKm+5ttj8M0Pafvta67pK02oaPgG8C47kf3Jyx+nq+OBh2b6y+NgL0TI0e493nMcg==" saltValue="aPsU5WE0ej5HAEBH5THURQ==" spinCount="100000" sheet="1" objects="1" scenarios="1"/>
  <sortState xmlns:xlrd2="http://schemas.microsoft.com/office/spreadsheetml/2017/richdata2" ref="B48:B69">
    <sortCondition ref="B48:B69"/>
  </sortState>
  <mergeCells count="2">
    <mergeCell ref="D44:F44"/>
    <mergeCell ref="H44:J44"/>
  </mergeCells>
  <conditionalFormatting sqref="B57 B48:C56 B58:C73">
    <cfRule type="expression" dxfId="21" priority="4" stopIfTrue="1">
      <formula>MOD(ROW(),2)=0</formula>
    </cfRule>
  </conditionalFormatting>
  <conditionalFormatting sqref="C1">
    <cfRule type="expression" dxfId="20" priority="3" stopIfTrue="1">
      <formula>MOD(ROW(),2)=0</formula>
    </cfRule>
  </conditionalFormatting>
  <conditionalFormatting sqref="C57">
    <cfRule type="expression" dxfId="19" priority="1" stopIfTrue="1">
      <formula>MOD(ROW(),2)=0</formula>
    </cfRule>
  </conditionalFormatting>
  <conditionalFormatting sqref="D48:F76">
    <cfRule type="cellIs" dxfId="18" priority="5" stopIfTrue="1" operator="equal">
      <formula>0</formula>
    </cfRule>
  </conditionalFormatting>
  <conditionalFormatting sqref="H48:J76">
    <cfRule type="cellIs" dxfId="17" priority="6" stopIfTrue="1" operator="equal">
      <formula>0</formula>
    </cfRule>
  </conditionalFormatting>
  <conditionalFormatting sqref="D17:D22">
    <cfRule type="cellIs" dxfId="16" priority="7" stopIfTrue="1" operator="equal">
      <formula>0</formula>
    </cfRule>
  </conditionalFormatting>
  <hyperlinks>
    <hyperlink ref="C1" location="HypLink1" display="HypLink1" xr:uid="{AE7F164B-C315-4492-8FD1-E663A24A0028}"/>
  </hyperlinks>
  <pageMargins left="0.25" right="0.25" top="0.5" bottom="0.45" header="0.25" footer="0.25"/>
  <pageSetup scale="70" fitToWidth="2" fitToHeight="6" orientation="landscape" r:id="rId1"/>
  <headerFooter>
    <oddHeader xml:space="preserve">&amp;L &amp;C &amp;R </oddHeader>
    <oddFooter>&amp;L&amp;7&amp;D  at &amp;T Mike 702.854.0691&amp;C&amp;7&amp;F  &amp;A&amp;R&amp;7Page &amp;P of &amp;N</oddFooter>
  </headerFooter>
  <rowBreaks count="1" manualBreakCount="1">
    <brk id="44"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C44E-25C2-4681-BA69-1E1347A6E436}">
  <sheetPr codeName="Sheet26"/>
  <dimension ref="A1:O85"/>
  <sheetViews>
    <sheetView showGridLines="0" zoomScale="115" zoomScaleNormal="115" zoomScaleSheetLayoutView="115" workbookViewId="0">
      <selection activeCell="I4" sqref="I4"/>
    </sheetView>
  </sheetViews>
  <sheetFormatPr defaultColWidth="8.77734375" defaultRowHeight="13.2"/>
  <cols>
    <col min="1" max="1" width="4.77734375" style="7" customWidth="1"/>
    <col min="2" max="2" width="8.77734375" style="7"/>
    <col min="3" max="3" width="11.77734375" style="7" customWidth="1"/>
    <col min="4" max="4" width="10.77734375" style="7" customWidth="1"/>
    <col min="5" max="8" width="8.77734375" style="7"/>
    <col min="9" max="9" width="14.21875" style="7" customWidth="1"/>
    <col min="10" max="10" width="8.77734375" style="7"/>
    <col min="11" max="11" width="13.5546875" style="7" customWidth="1"/>
    <col min="12" max="12" width="8.77734375" style="7"/>
    <col min="13" max="13" width="8.21875" style="7" customWidth="1"/>
    <col min="14" max="16384" width="8.77734375" style="7"/>
  </cols>
  <sheetData>
    <row r="1" spans="1:15" ht="15.6">
      <c r="A1" s="24" t="s">
        <v>1453</v>
      </c>
      <c r="B1" s="24"/>
      <c r="C1" s="24"/>
      <c r="D1" s="24"/>
      <c r="E1" s="24"/>
    </row>
    <row r="2" spans="1:15" ht="15.6">
      <c r="A2" s="2208" t="str">
        <f>SchoolName</f>
        <v>Southern Nevada Trades High School</v>
      </c>
      <c r="B2" s="2208"/>
      <c r="C2" s="2208"/>
      <c r="D2" s="2208"/>
      <c r="E2" s="2208"/>
    </row>
    <row r="3" spans="1:15">
      <c r="A3" s="11" t="s">
        <v>799</v>
      </c>
    </row>
    <row r="4" spans="1:15">
      <c r="A4" s="10" t="s">
        <v>72</v>
      </c>
    </row>
    <row r="5" spans="1:15">
      <c r="A5" s="9" t="str">
        <f ca="1">CELL("filename")</f>
        <v>C:\Users\jewel\Documents\SNTHS\CHARTER APP FINAL\FINAL COMPILED\[SNTHS Budget Worksheet.xlsx]Summary</v>
      </c>
    </row>
    <row r="6" spans="1:15">
      <c r="A6" s="8"/>
      <c r="B6" s="8"/>
      <c r="C6" s="8"/>
      <c r="D6" s="8"/>
      <c r="E6" s="8"/>
      <c r="F6" s="8"/>
      <c r="G6" s="8"/>
      <c r="H6" s="8"/>
      <c r="I6" s="8"/>
      <c r="J6" s="8"/>
      <c r="K6" s="8"/>
      <c r="L6" s="8"/>
      <c r="M6" s="8"/>
      <c r="N6" s="8"/>
      <c r="O6" s="8"/>
    </row>
    <row r="7" spans="1:15" ht="31.2" customHeight="1">
      <c r="A7" s="8"/>
      <c r="B7" s="2206" t="s">
        <v>1443</v>
      </c>
      <c r="C7" s="2207"/>
      <c r="D7" s="2207"/>
      <c r="E7" s="2130" t="s">
        <v>1442</v>
      </c>
      <c r="F7" s="2131" t="s">
        <v>978</v>
      </c>
      <c r="G7" s="2131" t="s">
        <v>962</v>
      </c>
      <c r="H7" s="2132" t="s">
        <v>1399</v>
      </c>
      <c r="I7" s="2130" t="s">
        <v>1400</v>
      </c>
      <c r="J7" s="2131" t="s">
        <v>1401</v>
      </c>
      <c r="K7" s="2132" t="s">
        <v>1402</v>
      </c>
      <c r="M7" s="8"/>
      <c r="N7" s="8"/>
      <c r="O7" s="8"/>
    </row>
    <row r="8" spans="1:15" ht="13.8">
      <c r="A8" s="1928">
        <v>1</v>
      </c>
      <c r="B8" s="1927" t="s">
        <v>901</v>
      </c>
      <c r="C8" s="1914"/>
      <c r="D8" s="1914"/>
      <c r="E8" s="1915">
        <v>0.1619956883276871</v>
      </c>
      <c r="F8" s="1915">
        <v>6.5291037881121033E-2</v>
      </c>
      <c r="G8" s="1919" t="s">
        <v>1441</v>
      </c>
      <c r="H8" s="1915">
        <v>0.98552510009239302</v>
      </c>
      <c r="I8" s="1915">
        <v>3.6957191253464737E-3</v>
      </c>
      <c r="J8" s="1915">
        <v>1.4474899907607022E-2</v>
      </c>
      <c r="K8" s="1915">
        <v>2.5254080689867571E-2</v>
      </c>
      <c r="L8" s="8"/>
      <c r="M8" s="8"/>
      <c r="N8" s="8"/>
      <c r="O8" s="8"/>
    </row>
    <row r="9" spans="1:15" ht="13.8">
      <c r="A9" s="1928">
        <v>2</v>
      </c>
      <c r="B9" s="1927" t="s">
        <v>1403</v>
      </c>
      <c r="C9" s="1914"/>
      <c r="D9" s="1914"/>
      <c r="E9" s="1915">
        <v>0.12456896956713739</v>
      </c>
      <c r="F9" s="1915">
        <v>0.15106187733523754</v>
      </c>
      <c r="G9" s="1925" t="s">
        <v>1441</v>
      </c>
      <c r="H9" s="1915">
        <v>0.85638269551790991</v>
      </c>
      <c r="I9" s="1915">
        <v>5.289812178782498E-3</v>
      </c>
      <c r="J9" s="1915">
        <v>2.3987372100233953E-2</v>
      </c>
      <c r="K9" s="1915">
        <v>2.564102564102564E-2</v>
      </c>
      <c r="L9" s="8"/>
      <c r="M9" s="8"/>
      <c r="N9" s="8"/>
      <c r="O9" s="8"/>
    </row>
    <row r="10" spans="1:15" ht="13.8">
      <c r="A10" s="1928">
        <v>3</v>
      </c>
      <c r="B10" s="1927" t="s">
        <v>913</v>
      </c>
      <c r="C10" s="1914"/>
      <c r="D10" s="1914"/>
      <c r="E10" s="1915">
        <v>0.13074074074074074</v>
      </c>
      <c r="F10" s="1915">
        <v>4.5185185185185182E-2</v>
      </c>
      <c r="G10" s="1925" t="s">
        <v>1441</v>
      </c>
      <c r="H10" s="1915">
        <v>0.30296296296296299</v>
      </c>
      <c r="I10" s="1915">
        <v>0</v>
      </c>
      <c r="J10" s="1915">
        <v>1.2962962962962963E-2</v>
      </c>
      <c r="K10" s="1915">
        <v>1.2037037037037037E-2</v>
      </c>
      <c r="L10" s="8"/>
      <c r="M10" s="8"/>
      <c r="N10" s="8"/>
      <c r="O10" s="8"/>
    </row>
    <row r="11" spans="1:15" ht="13.8">
      <c r="A11" s="1928">
        <v>4</v>
      </c>
      <c r="B11" s="1927" t="s">
        <v>915</v>
      </c>
      <c r="C11" s="1914"/>
      <c r="D11" s="1914"/>
      <c r="E11" s="1915">
        <v>0.12790092621500676</v>
      </c>
      <c r="F11" s="1915">
        <v>8.6689561869081069E-2</v>
      </c>
      <c r="G11" s="1925" t="s">
        <v>1441</v>
      </c>
      <c r="H11" s="1915">
        <v>0.4295972525757103</v>
      </c>
      <c r="I11" s="1915">
        <v>5.6197315017171403E-3</v>
      </c>
      <c r="J11" s="1915">
        <v>2.8098657508585701E-3</v>
      </c>
      <c r="K11" s="1915">
        <v>1.113539390155063E-2</v>
      </c>
      <c r="L11" s="8"/>
      <c r="M11" s="8"/>
      <c r="N11" s="8"/>
      <c r="O11" s="8"/>
    </row>
    <row r="12" spans="1:15" ht="13.8">
      <c r="A12" s="1928">
        <v>5</v>
      </c>
      <c r="B12" s="1927" t="s">
        <v>916</v>
      </c>
      <c r="C12" s="1914"/>
      <c r="D12" s="1914"/>
      <c r="E12" s="1915">
        <v>0.13861386138613863</v>
      </c>
      <c r="F12" s="1915">
        <v>9.9009900990099015E-2</v>
      </c>
      <c r="G12" s="1925" t="s">
        <v>1441</v>
      </c>
      <c r="H12" s="1915">
        <v>0.98019801980198018</v>
      </c>
      <c r="I12" s="1915">
        <v>0</v>
      </c>
      <c r="J12" s="1915">
        <v>0</v>
      </c>
      <c r="K12" s="1915">
        <v>0</v>
      </c>
      <c r="L12" s="8"/>
      <c r="M12" s="8"/>
      <c r="N12" s="8"/>
      <c r="O12" s="8"/>
    </row>
    <row r="13" spans="1:15" ht="13.8">
      <c r="A13" s="1928">
        <v>6</v>
      </c>
      <c r="B13" s="1927" t="s">
        <v>917</v>
      </c>
      <c r="C13" s="1914"/>
      <c r="D13" s="1914"/>
      <c r="E13" s="1915">
        <v>0.12654320987654322</v>
      </c>
      <c r="F13" s="1915">
        <v>0</v>
      </c>
      <c r="G13" s="1925" t="s">
        <v>1441</v>
      </c>
      <c r="H13" s="1915">
        <v>0.2932098765432099</v>
      </c>
      <c r="I13" s="1915">
        <v>0</v>
      </c>
      <c r="J13" s="1915">
        <v>0</v>
      </c>
      <c r="K13" s="1915">
        <v>4.0123456790123455E-2</v>
      </c>
      <c r="L13" s="8"/>
      <c r="M13" s="8"/>
      <c r="N13" s="8"/>
      <c r="O13" s="8"/>
    </row>
    <row r="14" spans="1:15" ht="13.8">
      <c r="A14" s="1928">
        <v>7</v>
      </c>
      <c r="B14" s="1927" t="s">
        <v>918</v>
      </c>
      <c r="C14" s="1914"/>
      <c r="D14" s="1914"/>
      <c r="E14" s="1915">
        <v>0.15366001209921354</v>
      </c>
      <c r="F14" s="1915">
        <v>8.4392014519056258E-2</v>
      </c>
      <c r="G14" s="1925" t="s">
        <v>1441</v>
      </c>
      <c r="H14" s="1915">
        <v>0.53024803387779795</v>
      </c>
      <c r="I14" s="1915">
        <v>5.7471264367816091E-3</v>
      </c>
      <c r="J14" s="1915">
        <v>2.7223230490018149E-2</v>
      </c>
      <c r="K14" s="1915">
        <v>7.8644888082274652E-3</v>
      </c>
      <c r="L14" s="8"/>
      <c r="M14" s="8"/>
      <c r="N14" s="8"/>
      <c r="O14" s="8"/>
    </row>
    <row r="15" spans="1:15" ht="13.8">
      <c r="A15" s="1928">
        <v>8</v>
      </c>
      <c r="B15" s="1927" t="s">
        <v>919</v>
      </c>
      <c r="C15" s="1914"/>
      <c r="D15" s="1914"/>
      <c r="E15" s="1915">
        <v>0.13534566699123662</v>
      </c>
      <c r="F15" s="1915">
        <v>5.842259006815969E-2</v>
      </c>
      <c r="G15" s="1925" t="s">
        <v>1441</v>
      </c>
      <c r="H15" s="1915">
        <v>0.42453748782862705</v>
      </c>
      <c r="I15" s="1915">
        <v>0</v>
      </c>
      <c r="J15" s="1915">
        <v>2.8237585199610515E-2</v>
      </c>
      <c r="K15" s="1915">
        <v>0</v>
      </c>
      <c r="L15" s="8"/>
      <c r="M15" s="8"/>
      <c r="N15" s="8"/>
      <c r="O15" s="8"/>
    </row>
    <row r="16" spans="1:15" ht="13.8">
      <c r="A16" s="1928">
        <v>9</v>
      </c>
      <c r="B16" s="1927" t="s">
        <v>921</v>
      </c>
      <c r="C16" s="1914"/>
      <c r="D16" s="1914"/>
      <c r="E16" s="1915">
        <v>0.14446952595936793</v>
      </c>
      <c r="F16" s="1915">
        <v>1.8058690744920992E-2</v>
      </c>
      <c r="G16" s="1925" t="s">
        <v>1441</v>
      </c>
      <c r="H16" s="1915">
        <v>0.46839729119638829</v>
      </c>
      <c r="I16" s="1915">
        <v>0</v>
      </c>
      <c r="J16" s="1915">
        <v>1.6930022573363433E-2</v>
      </c>
      <c r="K16" s="1915">
        <v>2.7088036117381489E-2</v>
      </c>
      <c r="L16" s="8"/>
      <c r="M16" s="8"/>
      <c r="N16" s="8"/>
      <c r="O16" s="8"/>
    </row>
    <row r="17" spans="1:15" ht="13.8">
      <c r="A17" s="1928">
        <v>10</v>
      </c>
      <c r="B17" s="1927" t="s">
        <v>923</v>
      </c>
      <c r="C17" s="1914"/>
      <c r="D17" s="1914"/>
      <c r="E17" s="1915">
        <v>0.13804828289697382</v>
      </c>
      <c r="F17" s="1915">
        <v>5.7350107673127051E-2</v>
      </c>
      <c r="G17" s="1925" t="s">
        <v>1441</v>
      </c>
      <c r="H17" s="1915">
        <v>0.50266349314292191</v>
      </c>
      <c r="I17" s="1915">
        <v>3.4002040122407345E-3</v>
      </c>
      <c r="J17" s="1915">
        <v>3.9669046809475236E-2</v>
      </c>
      <c r="K17" s="1915">
        <v>1.8814462201065398E-2</v>
      </c>
      <c r="L17" s="8"/>
      <c r="M17" s="8"/>
      <c r="N17" s="8"/>
      <c r="O17" s="8"/>
    </row>
    <row r="18" spans="1:15" ht="13.8">
      <c r="A18" s="1928">
        <v>11</v>
      </c>
      <c r="B18" s="1927" t="s">
        <v>924</v>
      </c>
      <c r="C18" s="1914"/>
      <c r="D18" s="1914"/>
      <c r="E18" s="1915">
        <v>0.15909090909090909</v>
      </c>
      <c r="F18" s="1915">
        <v>0.10314685314685315</v>
      </c>
      <c r="G18" s="1925" t="s">
        <v>1441</v>
      </c>
      <c r="H18" s="1915">
        <v>1</v>
      </c>
      <c r="I18" s="1915">
        <v>0</v>
      </c>
      <c r="J18" s="1915">
        <v>0</v>
      </c>
      <c r="K18" s="1915">
        <v>4.72027972027972E-2</v>
      </c>
      <c r="L18" s="8"/>
      <c r="M18" s="8"/>
      <c r="N18" s="8"/>
      <c r="O18" s="8"/>
    </row>
    <row r="19" spans="1:15" ht="13.8">
      <c r="A19" s="1928">
        <v>12</v>
      </c>
      <c r="B19" s="1927" t="s">
        <v>926</v>
      </c>
      <c r="C19" s="1914"/>
      <c r="D19" s="1914"/>
      <c r="E19" s="1915">
        <v>0.14386355209492027</v>
      </c>
      <c r="F19" s="1915">
        <v>7.4527252502780861E-2</v>
      </c>
      <c r="G19" s="1925" t="s">
        <v>1441</v>
      </c>
      <c r="H19" s="1915">
        <v>0.98183166481275497</v>
      </c>
      <c r="I19" s="1915">
        <v>1.0938079347423062E-2</v>
      </c>
      <c r="J19" s="1915">
        <v>3.8932146829810901E-2</v>
      </c>
      <c r="K19" s="1915">
        <v>3.0033370411568408E-2</v>
      </c>
      <c r="L19" s="8"/>
      <c r="M19" s="8"/>
      <c r="N19" s="8"/>
      <c r="O19" s="8"/>
    </row>
    <row r="20" spans="1:15" ht="13.8">
      <c r="A20" s="1928">
        <v>13</v>
      </c>
      <c r="B20" s="1927" t="s">
        <v>899</v>
      </c>
      <c r="C20" s="1914"/>
      <c r="D20" s="1914"/>
      <c r="E20" s="1915">
        <v>0.14152628892291985</v>
      </c>
      <c r="F20" s="1915">
        <v>0.11727922409392547</v>
      </c>
      <c r="G20" s="1925" t="s">
        <v>1441</v>
      </c>
      <c r="H20" s="1915">
        <v>0.59583971413986725</v>
      </c>
      <c r="I20" s="1915">
        <v>5.6151097498723839E-3</v>
      </c>
      <c r="J20" s="1915">
        <v>1.3654925982644206E-2</v>
      </c>
      <c r="K20" s="1915">
        <v>1.9525267993874426E-2</v>
      </c>
      <c r="L20" s="8"/>
      <c r="M20" s="8"/>
      <c r="N20" s="8"/>
      <c r="O20" s="8"/>
    </row>
    <row r="21" spans="1:15" ht="13.8">
      <c r="A21" s="1928">
        <v>14</v>
      </c>
      <c r="B21" s="1927" t="s">
        <v>928</v>
      </c>
      <c r="C21" s="1914"/>
      <c r="D21" s="1914"/>
      <c r="E21" s="1915">
        <v>0.17530487804878048</v>
      </c>
      <c r="F21" s="1915">
        <v>7.3170731707317069E-2</v>
      </c>
      <c r="G21" s="1925" t="s">
        <v>1441</v>
      </c>
      <c r="H21" s="1915">
        <v>0.73170731707317072</v>
      </c>
      <c r="I21" s="1915">
        <v>0</v>
      </c>
      <c r="J21" s="1915">
        <v>0</v>
      </c>
      <c r="K21" s="1915">
        <v>6.097560975609756E-2</v>
      </c>
      <c r="L21" s="8"/>
      <c r="M21" s="8"/>
      <c r="N21" s="8"/>
      <c r="O21" s="8"/>
    </row>
    <row r="22" spans="1:15" ht="13.8">
      <c r="A22" s="1928">
        <v>15</v>
      </c>
      <c r="B22" s="1927" t="s">
        <v>931</v>
      </c>
      <c r="C22" s="1914"/>
      <c r="D22" s="1914"/>
      <c r="E22" s="1915">
        <v>0.12723214285714285</v>
      </c>
      <c r="F22" s="1915">
        <v>0</v>
      </c>
      <c r="G22" s="1925" t="s">
        <v>1441</v>
      </c>
      <c r="H22" s="1915">
        <v>0.32589285714285715</v>
      </c>
      <c r="I22" s="1915">
        <v>0</v>
      </c>
      <c r="J22" s="1915">
        <v>0</v>
      </c>
      <c r="K22" s="1915">
        <v>0</v>
      </c>
      <c r="L22" s="8"/>
      <c r="M22" s="8"/>
      <c r="N22" s="8"/>
      <c r="O22" s="8"/>
    </row>
    <row r="23" spans="1:15" ht="13.8">
      <c r="A23" s="1928">
        <v>16</v>
      </c>
      <c r="B23" s="1927" t="s">
        <v>1404</v>
      </c>
      <c r="C23" s="1914"/>
      <c r="D23" s="1914"/>
      <c r="E23" s="1915">
        <v>0.13973348925955562</v>
      </c>
      <c r="F23" s="1915">
        <v>0.14139533452329661</v>
      </c>
      <c r="G23" s="1925" t="s">
        <v>1441</v>
      </c>
      <c r="H23" s="1915">
        <v>0.4681633532344433</v>
      </c>
      <c r="I23" s="1915">
        <v>4.9855357912229952E-3</v>
      </c>
      <c r="J23" s="1915">
        <v>9.72487228411399E-3</v>
      </c>
      <c r="K23" s="1915">
        <v>1.1371330091709238E-2</v>
      </c>
      <c r="L23" s="8"/>
      <c r="M23" s="8"/>
      <c r="N23" s="8"/>
      <c r="O23" s="8"/>
    </row>
    <row r="24" spans="1:15" ht="13.8">
      <c r="A24" s="1928">
        <v>17</v>
      </c>
      <c r="B24" s="1927" t="s">
        <v>922</v>
      </c>
      <c r="C24" s="1914"/>
      <c r="D24" s="1914"/>
      <c r="E24" s="1915">
        <v>0.16775244299674266</v>
      </c>
      <c r="F24" s="1915">
        <v>1.9543973941368076E-2</v>
      </c>
      <c r="G24" s="1925" t="s">
        <v>1441</v>
      </c>
      <c r="H24" s="1915">
        <v>0.74267100977198697</v>
      </c>
      <c r="I24" s="1915">
        <v>0</v>
      </c>
      <c r="J24" s="1915">
        <v>0</v>
      </c>
      <c r="K24" s="1915">
        <v>3.013029315960912E-2</v>
      </c>
      <c r="L24" s="8"/>
      <c r="M24" s="8"/>
      <c r="N24" s="8"/>
      <c r="O24" s="8"/>
    </row>
    <row r="25" spans="1:15">
      <c r="A25" s="8"/>
      <c r="L25" s="8"/>
      <c r="M25" s="8"/>
      <c r="N25" s="8"/>
      <c r="O25" s="8"/>
    </row>
    <row r="26" spans="1:15" ht="13.8">
      <c r="A26" s="8"/>
      <c r="B26" s="1924" t="s">
        <v>1455</v>
      </c>
      <c r="C26" s="1914"/>
      <c r="D26" s="1914"/>
      <c r="E26" s="1915">
        <v>0.12493398515924732</v>
      </c>
      <c r="F26" s="1915">
        <v>0.13386473995803819</v>
      </c>
      <c r="G26" s="1925" t="s">
        <v>1441</v>
      </c>
      <c r="H26" s="1915">
        <v>0.72566800854031688</v>
      </c>
      <c r="I26" s="1915">
        <v>0</v>
      </c>
      <c r="J26" s="1915">
        <v>0</v>
      </c>
      <c r="K26" s="1915">
        <v>0</v>
      </c>
      <c r="L26" s="8"/>
      <c r="M26" s="8"/>
      <c r="N26" s="8"/>
      <c r="O26" s="8"/>
    </row>
    <row r="27" spans="1:15" ht="13.8">
      <c r="A27" s="8"/>
      <c r="B27" s="1914" t="s">
        <v>1454</v>
      </c>
      <c r="C27" s="1914"/>
      <c r="D27" s="1914"/>
      <c r="E27" s="1915">
        <v>9.5428668057043003E-2</v>
      </c>
      <c r="F27" s="1915">
        <v>7.720346466753096E-2</v>
      </c>
      <c r="G27" s="1926" t="s">
        <v>1441</v>
      </c>
      <c r="H27" s="1915">
        <v>0.39456625894819908</v>
      </c>
      <c r="I27" s="1915">
        <v>2.818330421058565E-4</v>
      </c>
      <c r="J27" s="1915">
        <v>3.1565300715855928E-2</v>
      </c>
      <c r="K27" s="1915">
        <v>1.5218984273716251E-2</v>
      </c>
      <c r="L27" s="8"/>
      <c r="M27" s="8"/>
      <c r="N27" s="8"/>
      <c r="O27" s="8"/>
    </row>
    <row r="28" spans="1:15">
      <c r="A28" s="8"/>
      <c r="C28" s="8"/>
      <c r="D28" s="8"/>
      <c r="E28" s="8"/>
      <c r="F28" s="8"/>
      <c r="G28" s="8"/>
      <c r="H28" s="8"/>
      <c r="I28" s="8"/>
      <c r="J28" s="8"/>
      <c r="K28" s="8"/>
      <c r="L28" s="8"/>
      <c r="M28" s="8"/>
      <c r="N28" s="8"/>
      <c r="O28" s="8"/>
    </row>
    <row r="29" spans="1:15" ht="42" customHeight="1">
      <c r="A29" s="8"/>
      <c r="B29" s="2206" t="s">
        <v>1444</v>
      </c>
      <c r="C29" s="2207"/>
      <c r="D29" s="2207"/>
      <c r="E29" s="2131" t="s">
        <v>1456</v>
      </c>
      <c r="F29" s="2131" t="s">
        <v>1457</v>
      </c>
      <c r="G29" s="2131" t="s">
        <v>1405</v>
      </c>
      <c r="H29" s="2131" t="s">
        <v>1406</v>
      </c>
      <c r="I29" s="2131" t="s">
        <v>1407</v>
      </c>
      <c r="J29" s="2131" t="s">
        <v>1408</v>
      </c>
      <c r="K29" s="2133" t="s">
        <v>1409</v>
      </c>
      <c r="L29" s="2133" t="s">
        <v>1459</v>
      </c>
      <c r="M29" s="2134" t="s">
        <v>1458</v>
      </c>
      <c r="N29" s="8"/>
      <c r="O29" s="8"/>
    </row>
    <row r="30" spans="1:15" ht="13.8">
      <c r="A30" s="1928">
        <v>1</v>
      </c>
      <c r="B30" s="1918" t="s">
        <v>901</v>
      </c>
      <c r="C30" s="1918"/>
      <c r="D30" s="1918"/>
      <c r="E30" s="1915">
        <v>0.48506313520172467</v>
      </c>
      <c r="F30" s="1915">
        <v>0.51493686479827538</v>
      </c>
      <c r="G30" s="1919">
        <v>1.6322759470280258E-2</v>
      </c>
      <c r="H30" s="1919">
        <v>1.7246689251616876E-2</v>
      </c>
      <c r="I30" s="1919">
        <v>0.59223898983677237</v>
      </c>
      <c r="J30" s="1919">
        <v>0.24237757930397288</v>
      </c>
      <c r="K30" s="1919">
        <v>5.4819833692639361E-2</v>
      </c>
      <c r="L30" s="1919">
        <v>6.8678780412688642E-2</v>
      </c>
      <c r="M30" s="1919">
        <v>8.3153680320295666E-3</v>
      </c>
      <c r="N30" s="8"/>
      <c r="O30" s="8"/>
    </row>
    <row r="31" spans="1:15" ht="13.8">
      <c r="A31" s="1928">
        <v>2</v>
      </c>
      <c r="B31" s="1921" t="s">
        <v>1403</v>
      </c>
      <c r="C31" s="1921"/>
      <c r="D31" s="1921"/>
      <c r="E31" s="1923">
        <v>0.4855822081912225</v>
      </c>
      <c r="F31" s="1923">
        <v>0.5144021322108534</v>
      </c>
      <c r="G31" s="1922">
        <v>5.9747629919854175E-2</v>
      </c>
      <c r="H31" s="1922">
        <v>0.15374280049985437</v>
      </c>
      <c r="I31" s="1922">
        <v>0.22235063092520035</v>
      </c>
      <c r="J31" s="1922">
        <v>0.47256595039665761</v>
      </c>
      <c r="K31" s="1922">
        <v>3.4482434629008467E-3</v>
      </c>
      <c r="L31" s="1922">
        <v>7.1811784160629888E-2</v>
      </c>
      <c r="M31" s="1922">
        <v>1.6332960634902739E-2</v>
      </c>
      <c r="N31" s="8"/>
      <c r="O31" s="8"/>
    </row>
    <row r="32" spans="1:15" ht="13.8">
      <c r="A32" s="1928">
        <v>3</v>
      </c>
      <c r="B32" s="1916" t="s">
        <v>913</v>
      </c>
      <c r="C32" s="1916"/>
      <c r="D32" s="1916"/>
      <c r="E32" s="1915">
        <v>0.47037037037037038</v>
      </c>
      <c r="F32" s="1915">
        <v>0.52962962962962967</v>
      </c>
      <c r="G32" s="1917">
        <v>1.3333333333333334E-2</v>
      </c>
      <c r="H32" s="1917">
        <v>4.2592592592592595E-3</v>
      </c>
      <c r="I32" s="1917">
        <v>0.65611111111111109</v>
      </c>
      <c r="J32" s="1917">
        <v>0.23518518518518519</v>
      </c>
      <c r="K32" s="1917">
        <v>3.1666666666666669E-2</v>
      </c>
      <c r="L32" s="1917">
        <v>5.6851851851851855E-2</v>
      </c>
      <c r="M32" s="1917">
        <v>2.5925925925925925E-3</v>
      </c>
      <c r="N32" s="8"/>
      <c r="O32" s="8"/>
    </row>
    <row r="33" spans="1:15" ht="13.8">
      <c r="A33" s="1928">
        <v>4</v>
      </c>
      <c r="B33" s="1916" t="s">
        <v>915</v>
      </c>
      <c r="C33" s="1916"/>
      <c r="D33" s="1916"/>
      <c r="E33" s="1915">
        <v>0.4857945675928817</v>
      </c>
      <c r="F33" s="1915">
        <v>0.51420543240711836</v>
      </c>
      <c r="G33" s="1917">
        <v>6.9726298262045997E-3</v>
      </c>
      <c r="H33" s="1917">
        <v>8.5336663544593617E-3</v>
      </c>
      <c r="I33" s="1917">
        <v>0.55572900405869496</v>
      </c>
      <c r="J33" s="1917">
        <v>0.34009782495577062</v>
      </c>
      <c r="K33" s="1917">
        <v>6.0568217296284733E-2</v>
      </c>
      <c r="L33" s="1917">
        <v>2.4664377146425227E-2</v>
      </c>
      <c r="M33" s="1917">
        <v>3.4342803621604744E-3</v>
      </c>
      <c r="N33" s="8"/>
      <c r="O33" s="8"/>
    </row>
    <row r="34" spans="1:15" ht="13.8">
      <c r="A34" s="1928">
        <v>5</v>
      </c>
      <c r="B34" s="1916" t="s">
        <v>916</v>
      </c>
      <c r="C34" s="1916"/>
      <c r="D34" s="1916"/>
      <c r="E34" s="1915">
        <v>0.5643564356435643</v>
      </c>
      <c r="F34" s="1915">
        <v>0.43564356435643564</v>
      </c>
      <c r="G34" s="1917">
        <v>0</v>
      </c>
      <c r="H34" s="1917">
        <v>9.9009900990099011E-3</v>
      </c>
      <c r="I34" s="1917">
        <v>0.51485148514851486</v>
      </c>
      <c r="J34" s="1917">
        <v>0.35643564356435642</v>
      </c>
      <c r="K34" s="1917">
        <v>5.9405940594059403E-2</v>
      </c>
      <c r="L34" s="1917">
        <v>5.9405940594059403E-2</v>
      </c>
      <c r="M34" s="1917">
        <v>0</v>
      </c>
      <c r="N34" s="8"/>
      <c r="O34" s="8"/>
    </row>
    <row r="35" spans="1:15" ht="13.8">
      <c r="A35" s="1928">
        <v>6</v>
      </c>
      <c r="B35" s="1916" t="s">
        <v>917</v>
      </c>
      <c r="C35" s="1916"/>
      <c r="D35" s="1916"/>
      <c r="E35" s="1915">
        <v>0.47222222222222221</v>
      </c>
      <c r="F35" s="1915">
        <v>0.52777777777777779</v>
      </c>
      <c r="G35" s="1917">
        <v>0</v>
      </c>
      <c r="H35" s="1917">
        <v>0</v>
      </c>
      <c r="I35" s="1917">
        <v>0.77469135802469136</v>
      </c>
      <c r="J35" s="1917">
        <v>0.12962962962962962</v>
      </c>
      <c r="K35" s="1917">
        <v>4.3209876543209874E-2</v>
      </c>
      <c r="L35" s="1917">
        <v>4.9382716049382713E-2</v>
      </c>
      <c r="M35" s="1917">
        <v>3.0864197530864196E-3</v>
      </c>
      <c r="N35" s="8"/>
      <c r="O35" s="8"/>
    </row>
    <row r="36" spans="1:15" ht="13.8">
      <c r="A36" s="1928">
        <v>7</v>
      </c>
      <c r="B36" s="1916" t="s">
        <v>918</v>
      </c>
      <c r="C36" s="1916"/>
      <c r="D36" s="1916"/>
      <c r="E36" s="1915">
        <v>0.49062310949788263</v>
      </c>
      <c r="F36" s="1915">
        <v>0.50937689050211732</v>
      </c>
      <c r="G36" s="1917">
        <v>4.2347247428917122E-3</v>
      </c>
      <c r="H36" s="1917">
        <v>4.8396854204476713E-3</v>
      </c>
      <c r="I36" s="1917">
        <v>0.5483968542044767</v>
      </c>
      <c r="J36" s="1917">
        <v>0.3666061705989111</v>
      </c>
      <c r="K36" s="1917">
        <v>4.3557168784029036E-2</v>
      </c>
      <c r="L36" s="1917">
        <v>3.1760435571687839E-2</v>
      </c>
      <c r="M36" s="1917">
        <v>6.0496067755595891E-4</v>
      </c>
      <c r="N36" s="8"/>
      <c r="O36" s="8"/>
    </row>
    <row r="37" spans="1:15" ht="13.8">
      <c r="A37" s="1928">
        <v>8</v>
      </c>
      <c r="B37" s="1916" t="s">
        <v>919</v>
      </c>
      <c r="C37" s="1916"/>
      <c r="D37" s="1916"/>
      <c r="E37" s="1915">
        <v>0.47517039922103216</v>
      </c>
      <c r="F37" s="1915">
        <v>0.5248296007789679</v>
      </c>
      <c r="G37" s="1917">
        <v>5.8422590068159686E-3</v>
      </c>
      <c r="H37" s="1917">
        <v>2.9211295034079843E-3</v>
      </c>
      <c r="I37" s="1917">
        <v>0.59104186952288218</v>
      </c>
      <c r="J37" s="1917">
        <v>0.33203505355404089</v>
      </c>
      <c r="K37" s="1917">
        <v>3.3106134371957155E-2</v>
      </c>
      <c r="L37" s="1917">
        <v>3.4079844206426485E-2</v>
      </c>
      <c r="M37" s="1917">
        <v>9.7370983446932818E-4</v>
      </c>
      <c r="N37" s="8"/>
      <c r="O37" s="8"/>
    </row>
    <row r="38" spans="1:15" ht="13.8">
      <c r="A38" s="1928">
        <v>9</v>
      </c>
      <c r="B38" s="1916" t="s">
        <v>921</v>
      </c>
      <c r="C38" s="1916"/>
      <c r="D38" s="1916"/>
      <c r="E38" s="1915">
        <v>0.47629796839729122</v>
      </c>
      <c r="F38" s="1915">
        <v>0.52370203160270878</v>
      </c>
      <c r="G38" s="1917">
        <v>4.5146726862302479E-3</v>
      </c>
      <c r="H38" s="1917">
        <v>3.2731376975169299E-2</v>
      </c>
      <c r="I38" s="1917">
        <v>0.80812641083521441</v>
      </c>
      <c r="J38" s="1917">
        <v>0.10609480812641084</v>
      </c>
      <c r="K38" s="1917">
        <v>7.900677200902935E-3</v>
      </c>
      <c r="L38" s="1917">
        <v>2.9345372460496615E-2</v>
      </c>
      <c r="M38" s="1917">
        <v>1.1286681715575621E-2</v>
      </c>
      <c r="N38" s="8"/>
      <c r="O38" s="8"/>
    </row>
    <row r="39" spans="1:15" ht="13.8">
      <c r="A39" s="1928">
        <v>10</v>
      </c>
      <c r="B39" s="1916" t="s">
        <v>923</v>
      </c>
      <c r="C39" s="1916"/>
      <c r="D39" s="1916"/>
      <c r="E39" s="1915">
        <v>0.48214892893573613</v>
      </c>
      <c r="F39" s="1915">
        <v>0.51785107106426387</v>
      </c>
      <c r="G39" s="1917">
        <v>1.0540632437946278E-2</v>
      </c>
      <c r="H39" s="1917">
        <v>8.3871698968604781E-3</v>
      </c>
      <c r="I39" s="1917">
        <v>0.61317012354074574</v>
      </c>
      <c r="J39" s="1917">
        <v>0.26997619857191429</v>
      </c>
      <c r="K39" s="1917">
        <v>3.4908761192338204E-2</v>
      </c>
      <c r="L39" s="1917">
        <v>5.6330046469454831E-2</v>
      </c>
      <c r="M39" s="1917">
        <v>6.6870678907401107E-3</v>
      </c>
      <c r="N39" s="8"/>
      <c r="O39" s="8"/>
    </row>
    <row r="40" spans="1:15" ht="13.8">
      <c r="A40" s="1928">
        <v>11</v>
      </c>
      <c r="B40" s="1916" t="s">
        <v>924</v>
      </c>
      <c r="C40" s="1916"/>
      <c r="D40" s="1916"/>
      <c r="E40" s="1915">
        <v>0.48776223776223776</v>
      </c>
      <c r="F40" s="1915">
        <v>0.51223776223776218</v>
      </c>
      <c r="G40" s="1917">
        <v>5.244755244755245E-3</v>
      </c>
      <c r="H40" s="1917">
        <v>2.097902097902098E-2</v>
      </c>
      <c r="I40" s="1917">
        <v>0.57692307692307687</v>
      </c>
      <c r="J40" s="1917">
        <v>0.19405594405594406</v>
      </c>
      <c r="K40" s="1917">
        <v>0.13286713286713286</v>
      </c>
      <c r="L40" s="1917">
        <v>6.6433566433566432E-2</v>
      </c>
      <c r="M40" s="1917">
        <v>3.4965034965034965E-3</v>
      </c>
      <c r="N40" s="8"/>
      <c r="O40" s="8"/>
    </row>
    <row r="41" spans="1:15" ht="13.8">
      <c r="A41" s="1928">
        <v>12</v>
      </c>
      <c r="B41" s="1916" t="s">
        <v>926</v>
      </c>
      <c r="C41" s="1916"/>
      <c r="D41" s="1916"/>
      <c r="E41" s="1915">
        <v>0.48813496477567669</v>
      </c>
      <c r="F41" s="1915">
        <v>0.51186503522432336</v>
      </c>
      <c r="G41" s="1917">
        <v>1.1494252873563218E-2</v>
      </c>
      <c r="H41" s="1917">
        <v>3.4853540971449756E-2</v>
      </c>
      <c r="I41" s="1917">
        <v>0.5576566555431961</v>
      </c>
      <c r="J41" s="1917">
        <v>0.30682239525398591</v>
      </c>
      <c r="K41" s="1917">
        <v>1.260659992584353E-2</v>
      </c>
      <c r="L41" s="1917">
        <v>6.6184649610678534E-2</v>
      </c>
      <c r="M41" s="1917">
        <v>1.0381905821282907E-2</v>
      </c>
      <c r="N41" s="8"/>
      <c r="O41" s="8"/>
    </row>
    <row r="42" spans="1:15" ht="13.8">
      <c r="A42" s="1928">
        <v>13</v>
      </c>
      <c r="B42" s="1916" t="s">
        <v>899</v>
      </c>
      <c r="C42" s="1916"/>
      <c r="D42" s="1916"/>
      <c r="E42" s="1915">
        <v>0.49310872894333846</v>
      </c>
      <c r="F42" s="1915">
        <v>0.50689127105666154</v>
      </c>
      <c r="G42" s="1917">
        <v>1.761102603369066E-2</v>
      </c>
      <c r="H42" s="1917">
        <v>6.8912710566615618E-3</v>
      </c>
      <c r="I42" s="1917">
        <v>0.46043899948953548</v>
      </c>
      <c r="J42" s="1917">
        <v>0.44244512506380806</v>
      </c>
      <c r="K42" s="1917">
        <v>2.2077590607452784E-2</v>
      </c>
      <c r="L42" s="1917">
        <v>4.7728432873915261E-2</v>
      </c>
      <c r="M42" s="1917">
        <v>2.8075548749361919E-3</v>
      </c>
      <c r="N42" s="8"/>
      <c r="O42" s="8"/>
    </row>
    <row r="43" spans="1:15" ht="13.8">
      <c r="A43" s="1928">
        <v>14</v>
      </c>
      <c r="B43" s="1916" t="s">
        <v>928</v>
      </c>
      <c r="C43" s="1916"/>
      <c r="D43" s="1916"/>
      <c r="E43" s="1915">
        <v>0.47103658536585363</v>
      </c>
      <c r="F43" s="1915">
        <v>0.52896341463414631</v>
      </c>
      <c r="G43" s="1917">
        <v>4.5731707317073168E-3</v>
      </c>
      <c r="H43" s="1917">
        <v>1.3719512195121951E-2</v>
      </c>
      <c r="I43" s="1917">
        <v>0.46646341463414637</v>
      </c>
      <c r="J43" s="1917">
        <v>0.34451219512195119</v>
      </c>
      <c r="K43" s="1917">
        <v>8.3841463414634151E-2</v>
      </c>
      <c r="L43" s="1917">
        <v>8.5365853658536592E-2</v>
      </c>
      <c r="M43" s="1917">
        <v>1.5243902439024391E-3</v>
      </c>
      <c r="N43" s="8"/>
      <c r="O43" s="8"/>
    </row>
    <row r="44" spans="1:15" ht="13.8">
      <c r="A44" s="1928">
        <v>15</v>
      </c>
      <c r="B44" s="1916" t="s">
        <v>931</v>
      </c>
      <c r="C44" s="1916"/>
      <c r="D44" s="1916"/>
      <c r="E44" s="1915">
        <v>0.515625</v>
      </c>
      <c r="F44" s="1915">
        <v>0.484375</v>
      </c>
      <c r="G44" s="1917">
        <v>8.9285714285714281E-3</v>
      </c>
      <c r="H44" s="1917">
        <v>1.1160714285714286E-2</v>
      </c>
      <c r="I44" s="1917">
        <v>0.828125</v>
      </c>
      <c r="J44" s="1917">
        <v>0.10491071428571429</v>
      </c>
      <c r="K44" s="1917">
        <v>4.464285714285714E-3</v>
      </c>
      <c r="L44" s="1917">
        <v>4.0178571428571432E-2</v>
      </c>
      <c r="M44" s="1917">
        <v>2.232142857142857E-3</v>
      </c>
      <c r="N44" s="8"/>
      <c r="O44" s="8"/>
    </row>
    <row r="45" spans="1:15" ht="13.8">
      <c r="A45" s="1928">
        <v>16</v>
      </c>
      <c r="B45" s="1921" t="s">
        <v>1404</v>
      </c>
      <c r="C45" s="1921"/>
      <c r="D45" s="1921"/>
      <c r="E45" s="1923">
        <v>0.48395088323998275</v>
      </c>
      <c r="F45" s="1923">
        <v>0.51604911676001719</v>
      </c>
      <c r="G45" s="1922">
        <v>4.4792884840278206E-2</v>
      </c>
      <c r="H45" s="1922">
        <v>2.5804763956422724E-2</v>
      </c>
      <c r="I45" s="1922">
        <v>0.4239244168154121</v>
      </c>
      <c r="J45" s="1922">
        <v>0.41755400997107156</v>
      </c>
      <c r="K45" s="1922">
        <v>1.2402289653474488E-2</v>
      </c>
      <c r="L45" s="1922">
        <v>6.1811411337477688E-2</v>
      </c>
      <c r="M45" s="1922">
        <v>1.3710223425863236E-2</v>
      </c>
      <c r="N45" s="8"/>
      <c r="O45" s="8"/>
    </row>
    <row r="46" spans="1:15" ht="13.8">
      <c r="A46" s="1928">
        <v>17</v>
      </c>
      <c r="B46" s="1921" t="s">
        <v>922</v>
      </c>
      <c r="C46" s="1921"/>
      <c r="D46" s="1921"/>
      <c r="E46" s="1915">
        <v>0.48778501628664495</v>
      </c>
      <c r="F46" s="1915">
        <v>0.51221498371335505</v>
      </c>
      <c r="G46" s="1917">
        <v>2.4429967426710096E-3</v>
      </c>
      <c r="H46" s="1917">
        <v>1.0586319218241042E-2</v>
      </c>
      <c r="I46" s="1917">
        <v>0.70358306188925079</v>
      </c>
      <c r="J46" s="1917">
        <v>0.18892508143322476</v>
      </c>
      <c r="K46" s="1917">
        <v>3.6644951140065149E-2</v>
      </c>
      <c r="L46" s="1917">
        <v>5.6188925081433222E-2</v>
      </c>
      <c r="M46" s="1917">
        <v>1.6286644951140066E-3</v>
      </c>
      <c r="N46" s="8"/>
      <c r="O46" s="8"/>
    </row>
    <row r="47" spans="1:15">
      <c r="A47" s="8"/>
      <c r="B47" s="8"/>
      <c r="C47" s="8"/>
      <c r="D47" s="8"/>
      <c r="G47" s="8"/>
      <c r="H47" s="8"/>
      <c r="I47" s="8"/>
      <c r="J47" s="8"/>
      <c r="K47" s="8"/>
      <c r="L47" s="8"/>
      <c r="M47" s="8"/>
      <c r="N47" s="8"/>
      <c r="O47" s="8"/>
    </row>
    <row r="48" spans="1:15" ht="13.8">
      <c r="A48" s="8"/>
      <c r="B48" s="1920" t="s">
        <v>1455</v>
      </c>
      <c r="C48" s="8"/>
      <c r="D48" s="8"/>
      <c r="E48" s="1915">
        <v>0.48506313520172467</v>
      </c>
      <c r="F48" s="1915">
        <v>0.51493686479827538</v>
      </c>
      <c r="G48" s="1915">
        <v>5.4817490799021026E-2</v>
      </c>
      <c r="H48" s="1915">
        <v>0.11856368146015581</v>
      </c>
      <c r="I48" s="1915">
        <v>0.29848777209930277</v>
      </c>
      <c r="J48" s="1915">
        <v>0.43531573074575708</v>
      </c>
      <c r="K48" s="1915">
        <v>8.2176917718280503E-3</v>
      </c>
      <c r="L48" s="1915">
        <v>6.9837022972137119E-2</v>
      </c>
      <c r="M48" s="1915">
        <v>1.4760610151798172E-2</v>
      </c>
      <c r="N48" s="8"/>
      <c r="O48" s="8"/>
    </row>
    <row r="49" spans="1:15" ht="13.8">
      <c r="A49" s="8"/>
      <c r="B49" s="1913" t="s">
        <v>1454</v>
      </c>
      <c r="C49" s="1913"/>
      <c r="D49" s="1913"/>
      <c r="E49" s="1915">
        <v>0.50681096518422486</v>
      </c>
      <c r="F49" s="1915">
        <v>0.49318903481577514</v>
      </c>
      <c r="G49" s="1915">
        <v>7.6621009713845514E-2</v>
      </c>
      <c r="H49" s="1915">
        <v>0.11917779907182985</v>
      </c>
      <c r="I49" s="1915">
        <v>0.34667343065967721</v>
      </c>
      <c r="J49" s="1915">
        <v>0.3499990605565263</v>
      </c>
      <c r="K49" s="1915">
        <v>4.246284501061571E-3</v>
      </c>
      <c r="L49" s="1915">
        <v>8.7405820791762956E-2</v>
      </c>
      <c r="M49" s="1915">
        <v>1.5876594705296582E-2</v>
      </c>
      <c r="N49" s="8"/>
      <c r="O49" s="8"/>
    </row>
    <row r="50" spans="1:15">
      <c r="A50" s="8"/>
      <c r="B50" s="8"/>
      <c r="C50" s="8"/>
      <c r="D50" s="8"/>
      <c r="E50" s="8"/>
      <c r="F50" s="8"/>
      <c r="G50" s="8"/>
      <c r="H50" s="8"/>
      <c r="I50" s="8"/>
      <c r="J50" s="8"/>
      <c r="K50" s="8"/>
      <c r="L50" s="8"/>
      <c r="M50" s="8"/>
      <c r="N50" s="8"/>
      <c r="O50" s="8"/>
    </row>
    <row r="51" spans="1:15">
      <c r="A51" s="8"/>
      <c r="B51" s="1913" t="s">
        <v>1410</v>
      </c>
      <c r="C51" s="8"/>
      <c r="D51" s="8"/>
      <c r="E51" s="8"/>
      <c r="F51" s="8"/>
      <c r="G51" s="8"/>
      <c r="H51" s="8"/>
      <c r="I51" s="8"/>
      <c r="J51" s="8"/>
      <c r="K51" s="8"/>
      <c r="L51" s="8"/>
      <c r="M51" s="8"/>
      <c r="N51" s="8"/>
      <c r="O51" s="8"/>
    </row>
    <row r="52" spans="1:15">
      <c r="A52" s="8"/>
      <c r="B52" s="8"/>
      <c r="C52" s="8"/>
      <c r="D52" s="8"/>
      <c r="E52" s="8"/>
      <c r="F52" s="8"/>
      <c r="G52" s="8"/>
      <c r="H52" s="8"/>
      <c r="I52" s="8"/>
      <c r="J52" s="8"/>
      <c r="K52" s="8"/>
      <c r="L52" s="8"/>
      <c r="M52" s="8"/>
      <c r="N52" s="8"/>
      <c r="O52" s="8"/>
    </row>
    <row r="53" spans="1:15">
      <c r="A53" s="8"/>
      <c r="B53" s="8"/>
      <c r="C53" s="8"/>
      <c r="D53" s="8"/>
      <c r="E53" s="8"/>
      <c r="F53" s="8"/>
      <c r="G53" s="8"/>
      <c r="H53" s="8"/>
      <c r="I53" s="8"/>
      <c r="J53" s="8"/>
      <c r="K53" s="8"/>
      <c r="L53" s="8"/>
      <c r="M53" s="8"/>
      <c r="N53" s="8"/>
      <c r="O53" s="8"/>
    </row>
    <row r="54" spans="1:15">
      <c r="A54" s="8"/>
      <c r="B54" s="8"/>
      <c r="C54" s="8"/>
      <c r="D54" s="8"/>
      <c r="E54" s="8"/>
      <c r="F54" s="8"/>
      <c r="G54" s="8"/>
      <c r="H54" s="8"/>
      <c r="I54" s="8"/>
      <c r="J54" s="8"/>
      <c r="K54" s="8"/>
      <c r="L54" s="8"/>
      <c r="M54" s="8"/>
      <c r="N54" s="8"/>
      <c r="O54" s="8"/>
    </row>
    <row r="55" spans="1:15">
      <c r="A55" s="8"/>
      <c r="B55" s="8"/>
      <c r="C55" s="8"/>
      <c r="D55" s="8"/>
      <c r="E55" s="8"/>
      <c r="F55" s="8"/>
      <c r="G55" s="8"/>
      <c r="H55" s="8"/>
      <c r="I55" s="8"/>
      <c r="J55" s="8"/>
      <c r="K55" s="8"/>
      <c r="L55" s="8"/>
      <c r="M55" s="8"/>
      <c r="N55" s="8"/>
      <c r="O55" s="8"/>
    </row>
    <row r="56" spans="1:15">
      <c r="A56" s="8"/>
      <c r="B56" s="8"/>
      <c r="C56" s="8"/>
      <c r="D56" s="8"/>
      <c r="E56" s="8"/>
      <c r="F56" s="8"/>
      <c r="G56" s="8"/>
      <c r="H56" s="8"/>
      <c r="I56" s="8"/>
      <c r="J56" s="8"/>
      <c r="K56" s="8"/>
      <c r="L56" s="8"/>
      <c r="M56" s="8"/>
      <c r="N56" s="8"/>
      <c r="O56" s="8"/>
    </row>
    <row r="57" spans="1:15">
      <c r="A57" s="8"/>
      <c r="B57" s="8"/>
      <c r="C57" s="8"/>
      <c r="D57" s="8"/>
      <c r="E57" s="8"/>
      <c r="F57" s="8"/>
      <c r="G57" s="8"/>
      <c r="H57" s="8"/>
      <c r="I57" s="8"/>
      <c r="J57" s="8"/>
      <c r="K57" s="8"/>
      <c r="L57" s="8"/>
      <c r="M57" s="8"/>
      <c r="N57" s="8"/>
      <c r="O57" s="8"/>
    </row>
    <row r="58" spans="1:15">
      <c r="A58" s="8"/>
      <c r="B58" s="8"/>
      <c r="C58" s="8"/>
      <c r="D58" s="8"/>
      <c r="E58" s="8"/>
      <c r="F58" s="8"/>
      <c r="G58" s="8"/>
      <c r="H58" s="8"/>
      <c r="I58" s="8"/>
      <c r="J58" s="8"/>
      <c r="K58" s="8"/>
      <c r="L58" s="8"/>
      <c r="M58" s="8"/>
      <c r="N58" s="8"/>
      <c r="O58" s="8"/>
    </row>
    <row r="59" spans="1:15">
      <c r="A59" s="8"/>
      <c r="B59" s="8"/>
      <c r="C59" s="8"/>
      <c r="D59" s="8"/>
      <c r="E59" s="8"/>
      <c r="F59" s="8"/>
      <c r="G59" s="8"/>
      <c r="H59" s="8"/>
      <c r="I59" s="8"/>
      <c r="J59" s="8"/>
      <c r="K59" s="8"/>
      <c r="L59" s="8"/>
      <c r="M59" s="8"/>
      <c r="N59" s="8"/>
      <c r="O59" s="8"/>
    </row>
    <row r="60" spans="1:15">
      <c r="A60" s="8"/>
      <c r="B60" s="8"/>
      <c r="C60" s="8"/>
      <c r="D60" s="8"/>
      <c r="E60" s="8"/>
      <c r="F60" s="8"/>
      <c r="G60" s="8"/>
      <c r="H60" s="8"/>
      <c r="I60" s="8"/>
      <c r="J60" s="8"/>
      <c r="K60" s="8"/>
      <c r="L60" s="8"/>
      <c r="M60" s="8"/>
      <c r="N60" s="8"/>
      <c r="O60" s="8"/>
    </row>
    <row r="61" spans="1:15">
      <c r="A61" s="8"/>
      <c r="B61" s="8"/>
      <c r="C61" s="8"/>
      <c r="D61" s="8"/>
      <c r="E61" s="8"/>
      <c r="F61" s="8"/>
      <c r="G61" s="8"/>
      <c r="H61" s="8"/>
      <c r="I61" s="8"/>
      <c r="J61" s="8"/>
      <c r="K61" s="8"/>
      <c r="L61" s="8"/>
      <c r="M61" s="8"/>
      <c r="N61" s="8"/>
      <c r="O61" s="8"/>
    </row>
    <row r="62" spans="1:15">
      <c r="A62" s="8"/>
      <c r="B62" s="8"/>
      <c r="C62" s="8"/>
      <c r="D62" s="8"/>
      <c r="E62" s="8"/>
      <c r="F62" s="8"/>
      <c r="G62" s="8"/>
      <c r="H62" s="8"/>
      <c r="I62" s="8"/>
      <c r="J62" s="8"/>
      <c r="K62" s="8"/>
      <c r="L62" s="8"/>
      <c r="M62" s="8"/>
      <c r="N62" s="8"/>
      <c r="O62" s="8"/>
    </row>
    <row r="63" spans="1:15">
      <c r="A63" s="8"/>
      <c r="B63" s="8"/>
      <c r="C63" s="8"/>
      <c r="D63" s="8"/>
      <c r="E63" s="8"/>
      <c r="F63" s="8"/>
      <c r="G63" s="8"/>
      <c r="H63" s="8"/>
      <c r="I63" s="8"/>
      <c r="J63" s="8"/>
      <c r="K63" s="8"/>
      <c r="L63" s="8"/>
      <c r="M63" s="8"/>
      <c r="N63" s="8"/>
      <c r="O63" s="8"/>
    </row>
    <row r="64" spans="1:15">
      <c r="A64" s="8"/>
      <c r="B64" s="8"/>
      <c r="C64" s="8"/>
      <c r="D64" s="8"/>
      <c r="E64" s="8"/>
      <c r="F64" s="8"/>
      <c r="G64" s="8"/>
      <c r="H64" s="8"/>
      <c r="I64" s="8"/>
      <c r="J64" s="8"/>
      <c r="K64" s="8"/>
      <c r="L64" s="8"/>
      <c r="M64" s="8"/>
      <c r="N64" s="8"/>
      <c r="O64" s="8"/>
    </row>
    <row r="65" spans="1:15">
      <c r="A65" s="8"/>
      <c r="B65" s="8"/>
      <c r="C65" s="8"/>
      <c r="D65" s="8"/>
      <c r="E65" s="8"/>
      <c r="F65" s="8"/>
      <c r="G65" s="8"/>
      <c r="H65" s="8"/>
      <c r="I65" s="8"/>
      <c r="J65" s="8"/>
      <c r="K65" s="8"/>
      <c r="L65" s="8"/>
      <c r="M65" s="8"/>
      <c r="N65" s="8"/>
      <c r="O65" s="8"/>
    </row>
    <row r="66" spans="1:15">
      <c r="A66" s="8"/>
      <c r="B66" s="8"/>
      <c r="C66" s="8"/>
      <c r="D66" s="8"/>
      <c r="E66" s="8"/>
      <c r="F66" s="8"/>
      <c r="G66" s="8"/>
      <c r="H66" s="8"/>
      <c r="I66" s="8"/>
      <c r="J66" s="8"/>
      <c r="K66" s="8"/>
      <c r="L66" s="8"/>
      <c r="M66" s="8"/>
      <c r="N66" s="8"/>
      <c r="O66" s="8"/>
    </row>
    <row r="67" spans="1:15">
      <c r="A67" s="8"/>
      <c r="B67" s="8"/>
      <c r="C67" s="8"/>
      <c r="D67" s="8"/>
      <c r="E67" s="8"/>
      <c r="F67" s="8"/>
      <c r="G67" s="8"/>
      <c r="H67" s="8"/>
      <c r="I67" s="8"/>
      <c r="J67" s="8"/>
      <c r="K67" s="8"/>
      <c r="L67" s="8"/>
      <c r="M67" s="8"/>
      <c r="N67" s="8"/>
      <c r="O67" s="8"/>
    </row>
    <row r="68" spans="1:15">
      <c r="A68" s="8"/>
      <c r="B68" s="8"/>
      <c r="C68" s="8"/>
      <c r="D68" s="8"/>
      <c r="E68" s="8"/>
      <c r="F68" s="8"/>
      <c r="G68" s="8"/>
      <c r="H68" s="8"/>
      <c r="I68" s="8"/>
      <c r="J68" s="8"/>
      <c r="K68" s="8"/>
      <c r="L68" s="8"/>
      <c r="M68" s="8"/>
      <c r="N68" s="8"/>
      <c r="O68" s="8"/>
    </row>
    <row r="69" spans="1:15">
      <c r="A69" s="8"/>
      <c r="B69" s="8"/>
      <c r="C69" s="8"/>
      <c r="D69" s="8"/>
      <c r="E69" s="8"/>
      <c r="F69" s="8"/>
      <c r="G69" s="8"/>
      <c r="H69" s="8"/>
      <c r="I69" s="8"/>
      <c r="J69" s="8"/>
      <c r="K69" s="8"/>
      <c r="L69" s="8"/>
      <c r="M69" s="8"/>
      <c r="N69" s="8"/>
      <c r="O69" s="8"/>
    </row>
    <row r="70" spans="1:15">
      <c r="A70" s="8"/>
      <c r="B70" s="8"/>
      <c r="C70" s="8"/>
      <c r="D70" s="8"/>
      <c r="E70" s="8"/>
      <c r="F70" s="8"/>
      <c r="G70" s="8"/>
      <c r="H70" s="8"/>
      <c r="I70" s="8"/>
      <c r="J70" s="8"/>
      <c r="K70" s="8"/>
      <c r="L70" s="8"/>
      <c r="M70" s="8"/>
      <c r="N70" s="8"/>
      <c r="O70" s="8"/>
    </row>
    <row r="71" spans="1:15">
      <c r="A71" s="8"/>
      <c r="B71" s="8"/>
      <c r="C71" s="8"/>
      <c r="D71" s="8"/>
      <c r="E71" s="8"/>
      <c r="F71" s="8"/>
      <c r="G71" s="8"/>
      <c r="H71" s="8"/>
      <c r="I71" s="8"/>
      <c r="J71" s="8"/>
      <c r="K71" s="8"/>
      <c r="L71" s="8"/>
      <c r="M71" s="8"/>
      <c r="N71" s="8"/>
      <c r="O71" s="8"/>
    </row>
    <row r="72" spans="1:15">
      <c r="A72" s="8"/>
      <c r="B72" s="8"/>
      <c r="C72" s="8"/>
      <c r="D72" s="8"/>
      <c r="E72" s="8"/>
      <c r="F72" s="8"/>
      <c r="G72" s="8"/>
      <c r="H72" s="8"/>
      <c r="I72" s="8"/>
      <c r="J72" s="8"/>
      <c r="K72" s="8"/>
      <c r="L72" s="8"/>
      <c r="M72" s="8"/>
      <c r="N72" s="8"/>
      <c r="O72" s="8"/>
    </row>
    <row r="73" spans="1:15">
      <c r="A73" s="8"/>
      <c r="B73" s="8"/>
      <c r="C73" s="8"/>
      <c r="D73" s="8"/>
      <c r="E73" s="8"/>
      <c r="F73" s="8"/>
      <c r="G73" s="8"/>
      <c r="H73" s="8"/>
      <c r="I73" s="8"/>
      <c r="J73" s="8"/>
      <c r="K73" s="8"/>
      <c r="L73" s="8"/>
      <c r="M73" s="8"/>
      <c r="N73" s="8"/>
      <c r="O73" s="8"/>
    </row>
    <row r="74" spans="1:15">
      <c r="A74" s="8"/>
      <c r="B74" s="8"/>
      <c r="C74" s="8"/>
      <c r="D74" s="8"/>
      <c r="E74" s="8"/>
      <c r="F74" s="8"/>
      <c r="G74" s="8"/>
      <c r="H74" s="8"/>
      <c r="I74" s="8"/>
      <c r="J74" s="8"/>
      <c r="K74" s="8"/>
      <c r="L74" s="8"/>
      <c r="M74" s="8"/>
      <c r="N74" s="8"/>
      <c r="O74" s="8"/>
    </row>
    <row r="75" spans="1:15">
      <c r="A75" s="8"/>
      <c r="B75" s="8"/>
      <c r="C75" s="8"/>
      <c r="D75" s="8"/>
      <c r="E75" s="8"/>
      <c r="F75" s="8"/>
      <c r="G75" s="8"/>
      <c r="H75" s="8"/>
      <c r="I75" s="8"/>
      <c r="J75" s="8"/>
      <c r="K75" s="8"/>
      <c r="L75" s="8"/>
      <c r="M75" s="8"/>
      <c r="N75" s="8"/>
      <c r="O75" s="8"/>
    </row>
    <row r="76" spans="1:15">
      <c r="A76" s="8"/>
      <c r="B76" s="8"/>
      <c r="C76" s="8"/>
      <c r="D76" s="8"/>
      <c r="E76" s="8"/>
      <c r="F76" s="8"/>
      <c r="G76" s="8"/>
      <c r="H76" s="8"/>
      <c r="I76" s="8"/>
      <c r="J76" s="8"/>
      <c r="K76" s="8"/>
      <c r="L76" s="8"/>
      <c r="M76" s="8"/>
      <c r="N76" s="8"/>
      <c r="O76" s="8"/>
    </row>
    <row r="77" spans="1:15">
      <c r="A77" s="8"/>
      <c r="B77" s="8"/>
      <c r="C77" s="8"/>
      <c r="D77" s="8"/>
      <c r="E77" s="8"/>
      <c r="F77" s="8"/>
      <c r="G77" s="8"/>
      <c r="H77" s="8"/>
      <c r="I77" s="8"/>
      <c r="J77" s="8"/>
      <c r="K77" s="8"/>
      <c r="L77" s="8"/>
      <c r="M77" s="8"/>
      <c r="N77" s="8"/>
      <c r="O77" s="8"/>
    </row>
    <row r="78" spans="1:15">
      <c r="A78" s="8"/>
      <c r="B78" s="8"/>
      <c r="C78" s="8"/>
      <c r="D78" s="8"/>
      <c r="E78" s="8"/>
      <c r="F78" s="8"/>
      <c r="G78" s="8"/>
      <c r="H78" s="8"/>
      <c r="I78" s="8"/>
      <c r="J78" s="8"/>
      <c r="K78" s="8"/>
      <c r="L78" s="8"/>
      <c r="M78" s="8"/>
      <c r="N78" s="8"/>
      <c r="O78" s="8"/>
    </row>
    <row r="79" spans="1:15">
      <c r="A79" s="8"/>
      <c r="B79" s="8"/>
      <c r="C79" s="8"/>
      <c r="D79" s="8"/>
      <c r="E79" s="8"/>
      <c r="F79" s="8"/>
      <c r="G79" s="8"/>
      <c r="H79" s="8"/>
      <c r="I79" s="8"/>
      <c r="J79" s="8"/>
      <c r="K79" s="8"/>
      <c r="L79" s="8"/>
      <c r="M79" s="8"/>
      <c r="N79" s="8"/>
      <c r="O79" s="8"/>
    </row>
    <row r="80" spans="1:15">
      <c r="A80" s="8"/>
      <c r="B80" s="8"/>
      <c r="C80" s="8"/>
      <c r="D80" s="8"/>
      <c r="E80" s="8"/>
      <c r="F80" s="8"/>
      <c r="G80" s="8"/>
      <c r="H80" s="8"/>
      <c r="I80" s="8"/>
      <c r="J80" s="8"/>
      <c r="K80" s="8"/>
      <c r="L80" s="8"/>
      <c r="M80" s="8"/>
      <c r="N80" s="8"/>
      <c r="O80" s="8"/>
    </row>
    <row r="81" spans="1:15">
      <c r="A81" s="8"/>
      <c r="B81" s="8"/>
      <c r="C81" s="8"/>
      <c r="D81" s="8"/>
      <c r="E81" s="8"/>
      <c r="F81" s="8"/>
      <c r="G81" s="8"/>
      <c r="H81" s="8"/>
      <c r="I81" s="8"/>
      <c r="J81" s="8"/>
      <c r="K81" s="8"/>
      <c r="L81" s="8"/>
      <c r="M81" s="8"/>
      <c r="N81" s="8"/>
      <c r="O81" s="8"/>
    </row>
    <row r="82" spans="1:15">
      <c r="A82" s="8"/>
      <c r="B82" s="8"/>
      <c r="C82" s="8"/>
      <c r="D82" s="8"/>
      <c r="E82" s="8"/>
      <c r="F82" s="8"/>
      <c r="G82" s="8"/>
      <c r="H82" s="8"/>
      <c r="I82" s="8"/>
      <c r="J82" s="8"/>
      <c r="K82" s="8"/>
      <c r="L82" s="8"/>
      <c r="M82" s="8"/>
      <c r="N82" s="8"/>
      <c r="O82" s="8"/>
    </row>
    <row r="83" spans="1:15">
      <c r="A83" s="8"/>
      <c r="B83" s="8"/>
      <c r="C83" s="8"/>
      <c r="D83" s="8"/>
      <c r="E83" s="8"/>
      <c r="F83" s="8"/>
      <c r="G83" s="8"/>
      <c r="H83" s="8"/>
      <c r="I83" s="8"/>
      <c r="J83" s="8"/>
      <c r="K83" s="8"/>
      <c r="L83" s="8"/>
      <c r="M83" s="8"/>
      <c r="N83" s="8"/>
      <c r="O83" s="8"/>
    </row>
    <row r="84" spans="1:15">
      <c r="A84" s="8"/>
      <c r="B84" s="8"/>
      <c r="C84" s="8"/>
      <c r="D84" s="8"/>
      <c r="E84" s="8"/>
      <c r="F84" s="8"/>
      <c r="G84" s="8"/>
      <c r="H84" s="8"/>
      <c r="I84" s="8"/>
      <c r="J84" s="8"/>
      <c r="K84" s="8"/>
      <c r="L84" s="8"/>
      <c r="M84" s="8"/>
      <c r="N84" s="8"/>
      <c r="O84" s="8"/>
    </row>
    <row r="85" spans="1:15">
      <c r="A85" s="8"/>
      <c r="B85" s="8"/>
      <c r="C85" s="8"/>
      <c r="D85" s="8"/>
      <c r="E85" s="8"/>
      <c r="F85" s="8"/>
      <c r="G85" s="8"/>
      <c r="H85" s="8"/>
      <c r="I85" s="8"/>
      <c r="J85" s="8"/>
      <c r="K85" s="8"/>
      <c r="L85" s="8"/>
      <c r="M85" s="8"/>
      <c r="N85" s="8"/>
      <c r="O85" s="8"/>
    </row>
  </sheetData>
  <sheetProtection algorithmName="SHA-512" hashValue="tdXVmI0jkb1iCh51psNUaC1c1C99Ia1uk3S6RbuWolXj/kLSfhgBHCAqULaq4h4aBL3OwLv2WzmmNNQ8ATE7ig==" saltValue="iAoN1mvB/PLuxuKOq9iyGA==" spinCount="100000" sheet="1" objects="1" scenarios="1"/>
  <mergeCells count="3">
    <mergeCell ref="B7:D7"/>
    <mergeCell ref="B29:D29"/>
    <mergeCell ref="A2:E2"/>
  </mergeCells>
  <conditionalFormatting sqref="B30:D46 G30:M46">
    <cfRule type="expression" dxfId="15" priority="4" stopIfTrue="1">
      <formula>MOD(ROW(),2)=0</formula>
    </cfRule>
  </conditionalFormatting>
  <conditionalFormatting sqref="E30:F46">
    <cfRule type="expression" dxfId="14" priority="10" stopIfTrue="1">
      <formula>MOD(ROW(),2)=0</formula>
    </cfRule>
  </conditionalFormatting>
  <conditionalFormatting sqref="B48:M49">
    <cfRule type="expression" dxfId="13" priority="11" stopIfTrue="1">
      <formula>MOD(ROW(),2)=0</formula>
    </cfRule>
  </conditionalFormatting>
  <conditionalFormatting sqref="B26:D27">
    <cfRule type="expression" dxfId="12" priority="1" stopIfTrue="1">
      <formula>MOD(ROW(),2)=0</formula>
    </cfRule>
  </conditionalFormatting>
  <conditionalFormatting sqref="E27:K27">
    <cfRule type="expression" dxfId="11" priority="12" stopIfTrue="1">
      <formula>MOD(ROW(),2)=0</formula>
    </cfRule>
  </conditionalFormatting>
  <conditionalFormatting sqref="B8:K24">
    <cfRule type="expression" dxfId="10" priority="13" stopIfTrue="1">
      <formula>MOD(ROW(),2)=0</formula>
    </cfRule>
  </conditionalFormatting>
  <pageMargins left="0.25" right="0.25" top="0.5" bottom="0.44999999999999996" header="0.25" footer="0.25"/>
  <pageSetup scale="83" orientation="landscape" r:id="rId1"/>
  <headerFooter alignWithMargins="0">
    <oddHeader xml:space="preserve">&amp;L &amp;C &amp;R </oddHeader>
    <oddFooter>&amp;L&amp;7&amp;D  at &amp;T Mike 702.486.8879&amp;C&amp;7&amp;F  &amp;A&amp;R&amp;7Page &amp;P of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499984740745262"/>
  </sheetPr>
  <dimension ref="A1:AH418"/>
  <sheetViews>
    <sheetView zoomScale="85" zoomScaleNormal="85" workbookViewId="0">
      <selection activeCell="E15" sqref="E15"/>
    </sheetView>
  </sheetViews>
  <sheetFormatPr defaultColWidth="8.77734375" defaultRowHeight="14.4" outlineLevelRow="2" outlineLevelCol="3"/>
  <cols>
    <col min="1" max="1" width="5.5546875" style="5" customWidth="1"/>
    <col min="2" max="2" width="12.77734375" customWidth="1" outlineLevel="1"/>
    <col min="3" max="3" width="12.5546875" customWidth="1" outlineLevel="1"/>
    <col min="4" max="4" width="12.77734375" customWidth="1" outlineLevel="1"/>
    <col min="5" max="5" width="14.44140625" customWidth="1" outlineLevel="1"/>
    <col min="6" max="6" width="14.21875" customWidth="1" outlineLevel="1"/>
    <col min="7" max="8" width="13.21875" customWidth="1" outlineLevel="1"/>
    <col min="9" max="9" width="10" customWidth="1" outlineLevel="1"/>
    <col min="10" max="10" width="13.5546875" customWidth="1" outlineLevel="1"/>
    <col min="11" max="12" width="8.77734375" customWidth="1" outlineLevel="1"/>
    <col min="13" max="13" width="11.21875" customWidth="1"/>
    <col min="14" max="14" width="8.77734375" style="5" customWidth="1"/>
    <col min="15" max="15" width="13.77734375" style="5" customWidth="1" outlineLevel="1"/>
    <col min="16" max="16" width="10.77734375" style="4" customWidth="1" outlineLevel="2"/>
    <col min="17" max="17" width="21.77734375" style="4" customWidth="1" outlineLevel="2"/>
    <col min="18" max="18" width="13" style="4" customWidth="1" outlineLevel="2"/>
    <col min="19" max="19" width="10.5546875" style="4" customWidth="1" outlineLevel="1"/>
    <col min="20" max="20" width="13.21875" style="5" customWidth="1" outlineLevel="1"/>
    <col min="21" max="21" width="13" style="5" customWidth="1" outlineLevel="1"/>
    <col min="22" max="22" width="10.21875" style="5" customWidth="1" outlineLevel="1"/>
    <col min="23" max="23" width="12.21875" style="5" customWidth="1" outlineLevel="1"/>
    <col min="24" max="24" width="11" style="5" customWidth="1" outlineLevel="1"/>
    <col min="25" max="25" width="11.77734375" style="5" customWidth="1" outlineLevel="1"/>
    <col min="26" max="26" width="12" style="5" customWidth="1" outlineLevel="3"/>
    <col min="27" max="28" width="14.21875" style="5" customWidth="1" outlineLevel="3"/>
    <col min="29" max="33" width="8.77734375" style="5" customWidth="1" outlineLevel="1"/>
    <col min="34" max="16384" width="8.77734375" style="5"/>
  </cols>
  <sheetData>
    <row r="1" spans="1:28" ht="15.6">
      <c r="A1" s="24" t="s">
        <v>115</v>
      </c>
      <c r="B1" s="24"/>
      <c r="N1"/>
      <c r="O1"/>
      <c r="Q1" s="558" t="s">
        <v>2</v>
      </c>
      <c r="S1" s="5"/>
      <c r="T1" s="28"/>
      <c r="Y1" s="499"/>
    </row>
    <row r="2" spans="1:28" ht="15.6">
      <c r="A2" s="25" t="str">
        <f>SchoolName</f>
        <v>Southern Nevada Trades High School</v>
      </c>
      <c r="B2" s="25"/>
      <c r="N2"/>
      <c r="O2"/>
      <c r="S2" s="5"/>
    </row>
    <row r="3" spans="1:28">
      <c r="A3" s="22" t="s">
        <v>72</v>
      </c>
      <c r="O3" s="4"/>
      <c r="S3" s="5"/>
    </row>
    <row r="4" spans="1:28">
      <c r="A4" s="23" t="s">
        <v>73</v>
      </c>
      <c r="O4" s="4"/>
      <c r="S4" s="5"/>
    </row>
    <row r="5" spans="1:28">
      <c r="A5" s="1517" t="str">
        <f ca="1">CELL("filename")</f>
        <v>C:\Users\jewel\Documents\SNTHS\CHARTER APP FINAL\FINAL COMPILED\[SNTHS Budget Worksheet.xlsx]Summary</v>
      </c>
      <c r="O5" s="4"/>
      <c r="S5" s="5"/>
    </row>
    <row r="6" spans="1:28">
      <c r="O6" s="1027"/>
      <c r="P6" s="1027"/>
      <c r="Q6" s="1027"/>
      <c r="R6" s="1027"/>
      <c r="S6" s="43"/>
      <c r="T6" s="43"/>
      <c r="U6" s="43"/>
      <c r="V6" s="43"/>
      <c r="W6" s="43"/>
      <c r="X6" s="43"/>
      <c r="Y6" s="43"/>
      <c r="Z6" s="43"/>
      <c r="AA6" s="43"/>
      <c r="AB6" s="43"/>
    </row>
    <row r="7" spans="1:28">
      <c r="O7" s="43" t="s">
        <v>871</v>
      </c>
      <c r="P7" s="441"/>
      <c r="Q7" s="441"/>
      <c r="R7" s="441"/>
      <c r="S7" s="441"/>
      <c r="T7" s="441"/>
      <c r="U7" s="441"/>
      <c r="V7" s="441"/>
      <c r="W7" s="441"/>
      <c r="X7" s="441"/>
      <c r="Y7" s="441"/>
      <c r="AA7" s="441"/>
      <c r="AB7" s="441"/>
    </row>
    <row r="8" spans="1:28" ht="15.6">
      <c r="B8" s="1325" t="s">
        <v>872</v>
      </c>
      <c r="C8" s="1325"/>
      <c r="D8" s="1326"/>
      <c r="E8" s="1326"/>
      <c r="F8" s="1327"/>
      <c r="G8" s="1327"/>
      <c r="H8" s="1327"/>
      <c r="I8" s="1326"/>
      <c r="J8" s="1328"/>
      <c r="O8" s="40" t="s">
        <v>873</v>
      </c>
      <c r="P8" s="32"/>
      <c r="Q8" s="31"/>
      <c r="R8" s="31"/>
      <c r="S8" s="31"/>
      <c r="T8" s="31"/>
      <c r="U8" s="31"/>
      <c r="V8" s="31"/>
      <c r="W8" s="31"/>
      <c r="X8" s="31"/>
      <c r="Y8" s="31"/>
      <c r="Z8" s="504" t="s">
        <v>874</v>
      </c>
      <c r="AA8" s="31"/>
      <c r="AB8" s="31"/>
    </row>
    <row r="9" spans="1:28" ht="15.6">
      <c r="A9" s="505"/>
      <c r="B9" s="505"/>
      <c r="C9" s="505"/>
      <c r="D9" s="505"/>
      <c r="E9" s="505"/>
      <c r="F9" s="509"/>
      <c r="G9" s="509"/>
      <c r="H9" s="509"/>
      <c r="I9" s="505"/>
      <c r="J9" s="5"/>
      <c r="O9" s="505"/>
      <c r="P9" s="506"/>
      <c r="Q9" s="507"/>
      <c r="R9" s="507"/>
      <c r="S9" s="507"/>
      <c r="T9" s="1026"/>
      <c r="U9" s="507"/>
      <c r="V9" s="507"/>
      <c r="W9" s="507"/>
      <c r="X9" s="507"/>
      <c r="Y9" s="507"/>
      <c r="Z9" s="535">
        <v>0</v>
      </c>
      <c r="AA9" s="507"/>
      <c r="AB9" s="507"/>
    </row>
    <row r="10" spans="1:28" ht="15.6">
      <c r="A10" s="505"/>
      <c r="B10" s="1329" t="s">
        <v>875</v>
      </c>
      <c r="C10" s="1329"/>
      <c r="D10" s="1330"/>
      <c r="E10" s="1330"/>
      <c r="F10" s="1331"/>
      <c r="G10" s="1331"/>
      <c r="H10" s="1331"/>
      <c r="I10" s="1330"/>
      <c r="J10" s="1332"/>
      <c r="O10" s="505"/>
      <c r="P10" s="506"/>
      <c r="Q10" s="507"/>
      <c r="R10" s="507"/>
      <c r="S10" s="511" t="s">
        <v>876</v>
      </c>
      <c r="T10" s="507"/>
      <c r="U10" s="507"/>
      <c r="V10" s="507"/>
      <c r="W10" s="507"/>
      <c r="X10" s="507"/>
      <c r="Y10" s="507"/>
      <c r="Z10" s="510">
        <v>0</v>
      </c>
      <c r="AA10" s="507"/>
      <c r="AB10" s="507"/>
    </row>
    <row r="11" spans="1:28" ht="15.6">
      <c r="A11" s="505"/>
      <c r="O11" s="505"/>
      <c r="P11" s="2209" t="s">
        <v>877</v>
      </c>
      <c r="Q11" s="2209"/>
      <c r="R11" s="511" t="s">
        <v>878</v>
      </c>
      <c r="S11" s="511"/>
      <c r="T11" s="511"/>
      <c r="U11" s="511"/>
      <c r="V11" s="2210" t="s">
        <v>879</v>
      </c>
      <c r="W11" s="2210"/>
      <c r="X11" s="505"/>
      <c r="Y11" s="505" t="s">
        <v>880</v>
      </c>
      <c r="Z11" s="536">
        <f>+Z9*(1-Z10)</f>
        <v>0</v>
      </c>
      <c r="AA11" s="1637" t="s">
        <v>874</v>
      </c>
      <c r="AB11" s="1637"/>
    </row>
    <row r="12" spans="1:28" ht="15.6">
      <c r="A12" s="505"/>
      <c r="B12" t="s">
        <v>881</v>
      </c>
      <c r="D12" s="1654">
        <v>1</v>
      </c>
      <c r="E12" t="s">
        <v>882</v>
      </c>
      <c r="O12" s="505"/>
      <c r="P12" s="1692"/>
      <c r="Q12" s="1692"/>
      <c r="R12" s="511"/>
      <c r="S12" s="511"/>
      <c r="T12" s="511"/>
      <c r="U12" s="511"/>
      <c r="V12" s="1693"/>
      <c r="W12" s="1693"/>
      <c r="X12" s="505"/>
      <c r="Y12" s="505"/>
      <c r="Z12" s="536"/>
      <c r="AA12" s="1637"/>
      <c r="AB12" s="1637"/>
    </row>
    <row r="13" spans="1:28" ht="15.6">
      <c r="A13" s="505"/>
      <c r="B13" t="s">
        <v>881</v>
      </c>
      <c r="D13" s="1443">
        <v>0.99309999999999998</v>
      </c>
      <c r="E13" t="s">
        <v>883</v>
      </c>
      <c r="O13" s="505"/>
      <c r="P13" s="1692"/>
      <c r="Q13" s="1692"/>
      <c r="R13" s="511"/>
      <c r="S13" s="511"/>
      <c r="T13" s="511"/>
      <c r="U13" s="511"/>
      <c r="V13" s="1693"/>
      <c r="W13" s="1693"/>
      <c r="X13" s="505"/>
      <c r="Y13" s="505"/>
      <c r="Z13" s="536"/>
      <c r="AA13" s="1637"/>
      <c r="AB13" s="1637"/>
    </row>
    <row r="14" spans="1:28" ht="31.2">
      <c r="A14" s="505"/>
      <c r="D14" s="1318" t="s">
        <v>884</v>
      </c>
      <c r="E14" s="1380" t="s">
        <v>885</v>
      </c>
      <c r="O14" s="1337" t="s">
        <v>886</v>
      </c>
      <c r="P14" s="1338" t="s">
        <v>887</v>
      </c>
      <c r="Q14" s="1339" t="s">
        <v>888</v>
      </c>
      <c r="R14" s="1340">
        <v>1</v>
      </c>
      <c r="S14" s="1341">
        <v>0</v>
      </c>
      <c r="T14" s="1342" t="s">
        <v>889</v>
      </c>
      <c r="U14" s="1343" t="s">
        <v>890</v>
      </c>
      <c r="V14" s="1344" t="s">
        <v>891</v>
      </c>
      <c r="W14" s="1344" t="s">
        <v>892</v>
      </c>
      <c r="X14" s="1345" t="s">
        <v>893</v>
      </c>
      <c r="Y14" s="1345" t="s">
        <v>894</v>
      </c>
      <c r="Z14" s="1346" t="s">
        <v>895</v>
      </c>
      <c r="AA14" s="1346" t="s">
        <v>896</v>
      </c>
      <c r="AB14" s="1347" t="s">
        <v>897</v>
      </c>
    </row>
    <row r="15" spans="1:28" ht="15.6">
      <c r="A15" s="674"/>
      <c r="B15" s="1385" t="s">
        <v>898</v>
      </c>
      <c r="C15" s="1385"/>
      <c r="D15" s="1384">
        <v>6980</v>
      </c>
      <c r="E15" s="1384">
        <v>7074</v>
      </c>
      <c r="O15" s="1348" t="s">
        <v>899</v>
      </c>
      <c r="P15" s="1349">
        <v>7184</v>
      </c>
      <c r="Q15" s="1350">
        <v>1245.3823475451604</v>
      </c>
      <c r="R15" s="1350">
        <f>P15+Q15</f>
        <v>8429.3823475451609</v>
      </c>
      <c r="S15" s="1350">
        <f>+R15*(1-(-1*$S$14))</f>
        <v>8429.3823475451609</v>
      </c>
      <c r="T15" s="1351">
        <v>0</v>
      </c>
      <c r="U15" s="1352">
        <f>IF($Z$11&gt;0,0,IF(T15=0,0,IF(AB15/4&gt;500000,"Mo","Qtrly")))</f>
        <v>0</v>
      </c>
      <c r="V15" s="1353">
        <f t="shared" ref="V15:V43" si="0">IF(U15="Qtrly",AB15/4,0)</f>
        <v>0</v>
      </c>
      <c r="W15" s="1354">
        <f t="shared" ref="W15:W43" si="1">IF(U15="Mo",AB15/12,0)</f>
        <v>0</v>
      </c>
      <c r="X15" s="1355">
        <f t="shared" ref="X15:X43" si="2">+Q15/R15</f>
        <v>0.14774301321233171</v>
      </c>
      <c r="Y15" s="1355">
        <f>+R15/$R$28</f>
        <v>1.1638051335266291</v>
      </c>
      <c r="Z15" s="1356">
        <f>IF(T15=0,0,T15*$Z$11)</f>
        <v>0</v>
      </c>
      <c r="AA15" s="1356">
        <f>IF($Z$11&gt;0,0,T15*R15)</f>
        <v>0</v>
      </c>
      <c r="AB15" s="1356">
        <f>IF($Z$11&gt;0,0,T15*S15)</f>
        <v>0</v>
      </c>
    </row>
    <row r="16" spans="1:28" ht="15.6">
      <c r="A16" s="674"/>
      <c r="B16" s="1385" t="s">
        <v>900</v>
      </c>
      <c r="C16" s="1454"/>
      <c r="D16" s="1455">
        <f>+D15*$D$12</f>
        <v>6980</v>
      </c>
      <c r="E16" s="1455">
        <f>+E15*$D$12</f>
        <v>7074</v>
      </c>
      <c r="O16" s="1348"/>
      <c r="P16" s="1349"/>
      <c r="Q16" s="1350"/>
      <c r="R16" s="1350"/>
      <c r="S16" s="1350"/>
      <c r="T16" s="1351"/>
      <c r="U16" s="1352"/>
      <c r="V16" s="1353"/>
      <c r="W16" s="1354"/>
      <c r="X16" s="1355"/>
      <c r="Y16" s="1355"/>
      <c r="Z16" s="1356"/>
      <c r="AA16" s="1356"/>
      <c r="AB16" s="1356"/>
    </row>
    <row r="17" spans="1:28" ht="15.6">
      <c r="A17" s="674"/>
      <c r="E17" s="1444"/>
      <c r="O17" s="1348" t="s">
        <v>901</v>
      </c>
      <c r="P17" s="1357">
        <v>7006</v>
      </c>
      <c r="Q17" s="1358">
        <v>1320.4897724523435</v>
      </c>
      <c r="R17" s="1358">
        <f t="shared" ref="R17:R43" si="3">P17+Q17</f>
        <v>8326.4897724523435</v>
      </c>
      <c r="S17" s="1358">
        <f>+R17*(1-(-1*$S$14))</f>
        <v>8326.4897724523435</v>
      </c>
      <c r="T17" s="1359"/>
      <c r="U17" s="1352">
        <f>IF($Z$11&gt;0,0,IF(T17=0,0,IF(AB17/4&gt;500000,"Mo","Qtrly")))</f>
        <v>0</v>
      </c>
      <c r="V17" s="1360">
        <f t="shared" si="0"/>
        <v>0</v>
      </c>
      <c r="W17" s="1361">
        <f t="shared" si="1"/>
        <v>0</v>
      </c>
      <c r="X17" s="1355">
        <f t="shared" si="2"/>
        <v>0.15858901031994288</v>
      </c>
      <c r="Y17" s="1355">
        <f>+R17/$R$28</f>
        <v>1.1495992401221535</v>
      </c>
      <c r="Z17" s="1362">
        <f>IF(T17=0,0,T17*$Z$11)</f>
        <v>0</v>
      </c>
      <c r="AA17" s="1362">
        <f>IF($Z$11&gt;0,0,T17*R17)</f>
        <v>0</v>
      </c>
      <c r="AB17" s="1362">
        <f>IF($Z$11&gt;0,0,T17*S17)</f>
        <v>0</v>
      </c>
    </row>
    <row r="18" spans="1:28" ht="15.6">
      <c r="A18" s="674"/>
      <c r="B18" s="1312" t="s">
        <v>902</v>
      </c>
      <c r="C18" s="1312"/>
      <c r="D18" s="5"/>
      <c r="O18" s="1348"/>
      <c r="P18" s="1357"/>
      <c r="Q18" s="1358"/>
      <c r="R18" s="1358"/>
      <c r="S18" s="1358"/>
      <c r="T18" s="1359"/>
      <c r="U18" s="1352"/>
      <c r="V18" s="1360"/>
      <c r="W18" s="1361"/>
      <c r="X18" s="1355"/>
      <c r="Y18" s="1355"/>
      <c r="Z18" s="1362"/>
      <c r="AA18" s="1362"/>
      <c r="AB18" s="1362"/>
    </row>
    <row r="19" spans="1:28" ht="15.6">
      <c r="A19" s="674"/>
      <c r="B19" s="1321" t="s">
        <v>903</v>
      </c>
      <c r="C19" s="1321"/>
      <c r="D19" s="1324"/>
      <c r="O19" s="1348"/>
      <c r="P19" s="1357"/>
      <c r="Q19" s="1358"/>
      <c r="R19" s="1358"/>
      <c r="S19" s="1358"/>
      <c r="T19" s="1359"/>
      <c r="U19" s="1352"/>
      <c r="V19" s="1360"/>
      <c r="W19" s="1361"/>
      <c r="X19" s="1355"/>
      <c r="Y19" s="1355"/>
      <c r="Z19" s="1362"/>
      <c r="AA19" s="1362"/>
      <c r="AB19" s="1362"/>
    </row>
    <row r="20" spans="1:28" ht="15.6">
      <c r="A20" s="674"/>
      <c r="B20" s="1317" t="s">
        <v>904</v>
      </c>
      <c r="C20" s="1317"/>
      <c r="D20" s="1318" t="s">
        <v>884</v>
      </c>
      <c r="E20" s="1380" t="s">
        <v>885</v>
      </c>
      <c r="F20" s="1645" t="s">
        <v>905</v>
      </c>
      <c r="O20" s="1348"/>
      <c r="P20" s="1357"/>
      <c r="Q20" s="1358"/>
      <c r="R20" s="1358"/>
      <c r="S20" s="1358"/>
      <c r="T20" s="1359"/>
      <c r="U20" s="1352"/>
      <c r="V20" s="1360"/>
      <c r="W20" s="1361"/>
      <c r="X20" s="1355"/>
      <c r="Y20" s="1355"/>
      <c r="Z20" s="1362"/>
      <c r="AA20" s="1362"/>
      <c r="AB20" s="1362"/>
    </row>
    <row r="21" spans="1:28" ht="15.6">
      <c r="A21" s="674"/>
      <c r="B21" s="1647" t="s">
        <v>906</v>
      </c>
      <c r="C21" s="1647"/>
      <c r="D21" s="1515">
        <v>7494</v>
      </c>
      <c r="E21" s="1374">
        <v>7594</v>
      </c>
      <c r="F21" s="1644">
        <f t="shared" ref="F21:F26" si="4">E21/D21-1</f>
        <v>1.3344008540165486E-2</v>
      </c>
      <c r="O21" s="1348"/>
      <c r="P21" s="1357"/>
      <c r="Q21" s="1358"/>
      <c r="R21" s="1358"/>
      <c r="S21" s="1358"/>
      <c r="T21" s="1359"/>
      <c r="U21" s="1352"/>
      <c r="V21" s="1360"/>
      <c r="W21" s="1361"/>
      <c r="X21" s="1355"/>
      <c r="Y21" s="1355"/>
      <c r="Z21" s="1362"/>
      <c r="AA21" s="1362"/>
      <c r="AB21" s="1362"/>
    </row>
    <row r="22" spans="1:28" ht="15.6">
      <c r="A22" s="674"/>
      <c r="B22" s="1648" t="s">
        <v>907</v>
      </c>
      <c r="C22" s="1648"/>
      <c r="D22" s="1516">
        <v>8093</v>
      </c>
      <c r="E22" s="1383">
        <v>8197</v>
      </c>
      <c r="F22" s="1644">
        <f t="shared" si="4"/>
        <v>1.2850611639688703E-2</v>
      </c>
      <c r="O22" s="1348"/>
      <c r="P22" s="1357"/>
      <c r="Q22" s="1358"/>
      <c r="R22" s="1358"/>
      <c r="S22" s="1358"/>
      <c r="T22" s="1359"/>
      <c r="U22" s="1352"/>
      <c r="V22" s="1360"/>
      <c r="W22" s="1361"/>
      <c r="X22" s="1355"/>
      <c r="Y22" s="1355"/>
      <c r="Z22" s="1362"/>
      <c r="AA22" s="1362"/>
      <c r="AB22" s="1362"/>
    </row>
    <row r="23" spans="1:28" ht="15.6">
      <c r="A23" s="674"/>
      <c r="B23" s="1648" t="s">
        <v>908</v>
      </c>
      <c r="C23" s="1648"/>
      <c r="D23" s="1516">
        <v>7197</v>
      </c>
      <c r="E23" s="1383">
        <v>7293</v>
      </c>
      <c r="F23" s="1644">
        <f t="shared" si="4"/>
        <v>1.3338891204668579E-2</v>
      </c>
      <c r="O23" s="1348"/>
      <c r="P23" s="1357"/>
      <c r="Q23" s="1358"/>
      <c r="R23" s="1358"/>
      <c r="S23" s="1358"/>
      <c r="T23" s="1359"/>
      <c r="U23" s="1352"/>
      <c r="V23" s="1360"/>
      <c r="W23" s="1361"/>
      <c r="X23" s="1355"/>
      <c r="Y23" s="1355"/>
      <c r="Z23" s="1362"/>
      <c r="AA23" s="1362"/>
      <c r="AB23" s="1362"/>
    </row>
    <row r="24" spans="1:28" ht="15.6">
      <c r="A24" s="674"/>
      <c r="B24" s="1648" t="s">
        <v>909</v>
      </c>
      <c r="C24" s="1648"/>
      <c r="D24" s="1516">
        <v>7715</v>
      </c>
      <c r="E24" s="1383">
        <v>7818</v>
      </c>
      <c r="F24" s="1644">
        <f t="shared" si="4"/>
        <v>1.335061568373308E-2</v>
      </c>
      <c r="O24" s="1348"/>
      <c r="P24" s="1357"/>
      <c r="Q24" s="1358"/>
      <c r="R24" s="1358"/>
      <c r="S24" s="1358"/>
      <c r="T24" s="1359"/>
      <c r="U24" s="1352"/>
      <c r="V24" s="1360"/>
      <c r="W24" s="1361"/>
      <c r="X24" s="1355"/>
      <c r="Y24" s="1355"/>
      <c r="Z24" s="1362"/>
      <c r="AA24" s="1362"/>
      <c r="AB24" s="1362"/>
    </row>
    <row r="25" spans="1:28" ht="15.6">
      <c r="A25" s="674"/>
      <c r="B25" s="1648" t="s">
        <v>910</v>
      </c>
      <c r="C25" s="1648"/>
      <c r="D25" s="1516">
        <v>6980</v>
      </c>
      <c r="E25" s="1383">
        <v>7074</v>
      </c>
      <c r="F25" s="1644">
        <f t="shared" si="4"/>
        <v>1.346704871060167E-2</v>
      </c>
      <c r="O25" s="1348"/>
      <c r="P25" s="1357"/>
      <c r="Q25" s="1358"/>
      <c r="R25" s="1358"/>
      <c r="S25" s="1358"/>
      <c r="T25" s="1359"/>
      <c r="U25" s="1352"/>
      <c r="V25" s="1360"/>
      <c r="W25" s="1361"/>
      <c r="X25" s="1355"/>
      <c r="Y25" s="1355"/>
      <c r="Z25" s="1362"/>
      <c r="AA25" s="1362"/>
      <c r="AB25" s="1362"/>
    </row>
    <row r="26" spans="1:28" ht="15.6">
      <c r="A26" s="674"/>
      <c r="B26" s="1648" t="s">
        <v>911</v>
      </c>
      <c r="C26" s="1648"/>
      <c r="D26" s="1516">
        <v>10367</v>
      </c>
      <c r="E26" s="1383">
        <v>10501</v>
      </c>
      <c r="F26" s="1644">
        <f t="shared" si="4"/>
        <v>1.2925629400983851E-2</v>
      </c>
      <c r="O26" s="1348"/>
      <c r="P26" s="1357"/>
      <c r="Q26" s="1358"/>
      <c r="R26" s="1358"/>
      <c r="S26" s="1358"/>
      <c r="T26" s="1359"/>
      <c r="U26" s="1352"/>
      <c r="V26" s="1360"/>
      <c r="W26" s="1361"/>
      <c r="X26" s="1355"/>
      <c r="Y26" s="1355"/>
      <c r="Z26" s="1362"/>
      <c r="AA26" s="1362"/>
      <c r="AB26" s="1362"/>
    </row>
    <row r="27" spans="1:28" ht="15.6">
      <c r="A27" s="674"/>
      <c r="O27" s="1348"/>
      <c r="P27" s="1357"/>
      <c r="Q27" s="1358"/>
      <c r="R27" s="1358"/>
      <c r="S27" s="1358"/>
      <c r="T27" s="1359"/>
      <c r="U27" s="1352"/>
      <c r="V27" s="1360"/>
      <c r="W27" s="1361"/>
      <c r="X27" s="1355"/>
      <c r="Y27" s="1355"/>
      <c r="Z27" s="1362"/>
      <c r="AA27" s="1362"/>
      <c r="AB27" s="1362"/>
    </row>
    <row r="28" spans="1:28" ht="15.6">
      <c r="A28" s="674"/>
      <c r="B28" s="1312" t="s">
        <v>902</v>
      </c>
      <c r="C28" s="1312"/>
      <c r="D28" s="5"/>
      <c r="O28" s="1363" t="s">
        <v>257</v>
      </c>
      <c r="P28" s="1364">
        <v>6067</v>
      </c>
      <c r="Q28" s="1365">
        <v>1175.9499619081098</v>
      </c>
      <c r="R28" s="1365">
        <f t="shared" si="3"/>
        <v>7242.9499619081098</v>
      </c>
      <c r="S28" s="1365">
        <f t="shared" ref="S28:S43" si="5">+R28*(1-(-1*$S$14))</f>
        <v>7242.9499619081098</v>
      </c>
      <c r="T28" s="1366">
        <v>276</v>
      </c>
      <c r="U28" s="1352" t="str">
        <f t="shared" ref="U28:U43" si="6">IF($Z$11&gt;0,0,IF(T28=0,0,IF(AB28/4&gt;500000,"Mo","Qtrly")))</f>
        <v>Qtrly</v>
      </c>
      <c r="V28" s="1360">
        <f t="shared" si="0"/>
        <v>499763.5473716596</v>
      </c>
      <c r="W28" s="1361">
        <f t="shared" si="1"/>
        <v>0</v>
      </c>
      <c r="X28" s="1367">
        <f t="shared" si="2"/>
        <v>0.1623578746356979</v>
      </c>
      <c r="Y28" s="1367">
        <f t="shared" ref="Y28:Y43" si="7">+R28/$R$28</f>
        <v>1</v>
      </c>
      <c r="Z28" s="1362">
        <f t="shared" ref="Z28:Z43" si="8">IF(T28=0,0,T28*$Z$11)</f>
        <v>0</v>
      </c>
      <c r="AA28" s="1368">
        <f t="shared" ref="AA28:AA43" si="9">IF($Z$11&gt;0,0,T28*R28)</f>
        <v>1999054.1894866384</v>
      </c>
      <c r="AB28" s="1362">
        <f t="shared" ref="AB28:AB43" si="10">IF($Z$11&gt;0,0,T28*S28)</f>
        <v>1999054.1894866384</v>
      </c>
    </row>
    <row r="29" spans="1:28" ht="15.6">
      <c r="A29" s="674"/>
      <c r="B29" s="1321" t="s">
        <v>912</v>
      </c>
      <c r="C29" s="1321"/>
      <c r="D29" s="1324"/>
      <c r="E29" s="1299"/>
      <c r="O29" s="1348" t="s">
        <v>913</v>
      </c>
      <c r="P29" s="1357">
        <v>6086</v>
      </c>
      <c r="Q29" s="1358">
        <v>3253.7290423366917</v>
      </c>
      <c r="R29" s="1358">
        <f t="shared" si="3"/>
        <v>9339.7290423366921</v>
      </c>
      <c r="S29" s="1358">
        <f t="shared" si="5"/>
        <v>9339.7290423366921</v>
      </c>
      <c r="T29" s="1359">
        <v>0</v>
      </c>
      <c r="U29" s="1352">
        <f t="shared" si="6"/>
        <v>0</v>
      </c>
      <c r="V29" s="1360">
        <f t="shared" si="0"/>
        <v>0</v>
      </c>
      <c r="W29" s="1361">
        <f t="shared" si="1"/>
        <v>0</v>
      </c>
      <c r="X29" s="1355">
        <f t="shared" si="2"/>
        <v>0.34837510034687758</v>
      </c>
      <c r="Y29" s="1355">
        <f t="shared" si="7"/>
        <v>1.2894924155842433</v>
      </c>
      <c r="Z29" s="1362">
        <f t="shared" si="8"/>
        <v>0</v>
      </c>
      <c r="AA29" s="1362">
        <f t="shared" si="9"/>
        <v>0</v>
      </c>
      <c r="AB29" s="1362">
        <f t="shared" si="10"/>
        <v>0</v>
      </c>
    </row>
    <row r="30" spans="1:28" ht="15.6">
      <c r="A30" s="674"/>
      <c r="B30" s="1703"/>
      <c r="C30" s="1703"/>
      <c r="D30" s="1704"/>
      <c r="E30" s="1299"/>
      <c r="O30" s="1348"/>
      <c r="P30" s="1357"/>
      <c r="Q30" s="1358"/>
      <c r="R30" s="1358"/>
      <c r="S30" s="1358"/>
      <c r="T30" s="1359"/>
      <c r="U30" s="1352"/>
      <c r="V30" s="1360"/>
      <c r="W30" s="1361"/>
      <c r="X30" s="1355"/>
      <c r="Y30" s="1355"/>
      <c r="Z30" s="1362"/>
      <c r="AA30" s="1362"/>
      <c r="AB30" s="1362"/>
    </row>
    <row r="31" spans="1:28" ht="25.5" customHeight="1">
      <c r="A31" s="674"/>
      <c r="B31" s="1317" t="s">
        <v>904</v>
      </c>
      <c r="C31" s="1317"/>
      <c r="D31" s="1701" t="s">
        <v>1203</v>
      </c>
      <c r="E31" s="1380" t="s">
        <v>885</v>
      </c>
      <c r="F31" s="1645" t="s">
        <v>905</v>
      </c>
      <c r="G31" s="1702" t="s">
        <v>1204</v>
      </c>
      <c r="H31" s="1702" t="s">
        <v>1205</v>
      </c>
      <c r="I31" s="1702" t="s">
        <v>1205</v>
      </c>
      <c r="J31" s="1380" t="s">
        <v>914</v>
      </c>
      <c r="O31" s="1348" t="s">
        <v>915</v>
      </c>
      <c r="P31" s="1357">
        <v>7891</v>
      </c>
      <c r="Q31" s="1358">
        <v>1529.3898852952666</v>
      </c>
      <c r="R31" s="1358">
        <f t="shared" si="3"/>
        <v>9420.3898852952661</v>
      </c>
      <c r="S31" s="1358">
        <f t="shared" si="5"/>
        <v>9420.3898852952661</v>
      </c>
      <c r="T31" s="1359">
        <v>0</v>
      </c>
      <c r="U31" s="1352">
        <f t="shared" si="6"/>
        <v>0</v>
      </c>
      <c r="V31" s="1360">
        <f t="shared" si="0"/>
        <v>0</v>
      </c>
      <c r="W31" s="1361">
        <f t="shared" si="1"/>
        <v>0</v>
      </c>
      <c r="X31" s="1355">
        <f t="shared" si="2"/>
        <v>0.16234889467606473</v>
      </c>
      <c r="Y31" s="1355">
        <f t="shared" si="7"/>
        <v>1.3006288784043349</v>
      </c>
      <c r="Z31" s="1362">
        <f t="shared" si="8"/>
        <v>0</v>
      </c>
      <c r="AA31" s="1362">
        <f t="shared" si="9"/>
        <v>0</v>
      </c>
      <c r="AB31" s="1362">
        <f t="shared" si="10"/>
        <v>0</v>
      </c>
    </row>
    <row r="32" spans="1:28" ht="15.6">
      <c r="A32" s="674"/>
      <c r="B32" s="1705" t="s">
        <v>906</v>
      </c>
      <c r="C32" s="1705"/>
      <c r="D32" s="1706">
        <f t="shared" ref="D32:E37" si="11">+D21*$D$12</f>
        <v>7494</v>
      </c>
      <c r="E32" s="1374">
        <f t="shared" si="11"/>
        <v>7594</v>
      </c>
      <c r="F32" s="1644">
        <f t="shared" ref="F32:F37" si="12">E32/D32-1</f>
        <v>1.3344008540165486E-2</v>
      </c>
      <c r="G32" s="1662">
        <f>+R15</f>
        <v>8429.3823475451609</v>
      </c>
      <c r="H32" s="1656">
        <f>+D32-G32</f>
        <v>-935.38234754516088</v>
      </c>
      <c r="I32" s="1657">
        <f>+H32/D32</f>
        <v>-0.12481750033962649</v>
      </c>
      <c r="J32" s="1655">
        <f t="shared" ref="J32:J37" si="13">+E32-G32</f>
        <v>-835.38234754516088</v>
      </c>
      <c r="O32" s="1348" t="s">
        <v>916</v>
      </c>
      <c r="P32" s="1357">
        <v>20750</v>
      </c>
      <c r="Q32" s="1358">
        <v>9469.2635503703241</v>
      </c>
      <c r="R32" s="1358">
        <f t="shared" si="3"/>
        <v>30219.263550370324</v>
      </c>
      <c r="S32" s="1358">
        <f t="shared" si="5"/>
        <v>30219.263550370324</v>
      </c>
      <c r="T32" s="1359">
        <v>0</v>
      </c>
      <c r="U32" s="1352">
        <f t="shared" si="6"/>
        <v>0</v>
      </c>
      <c r="V32" s="1360">
        <f t="shared" si="0"/>
        <v>0</v>
      </c>
      <c r="W32" s="1361">
        <f t="shared" si="1"/>
        <v>0</v>
      </c>
      <c r="X32" s="1355">
        <f t="shared" si="2"/>
        <v>0.31335189669949065</v>
      </c>
      <c r="Y32" s="1355">
        <f t="shared" si="7"/>
        <v>4.1722314401312319</v>
      </c>
      <c r="Z32" s="1362">
        <f t="shared" si="8"/>
        <v>0</v>
      </c>
      <c r="AA32" s="1362">
        <f t="shared" si="9"/>
        <v>0</v>
      </c>
      <c r="AB32" s="1362">
        <f t="shared" si="10"/>
        <v>0</v>
      </c>
    </row>
    <row r="33" spans="1:28" ht="15.6">
      <c r="A33" s="674"/>
      <c r="B33" s="1707" t="s">
        <v>901</v>
      </c>
      <c r="C33" s="1707"/>
      <c r="D33" s="1708">
        <f t="shared" si="11"/>
        <v>8093</v>
      </c>
      <c r="E33" s="1383">
        <f t="shared" si="11"/>
        <v>8197</v>
      </c>
      <c r="F33" s="1644">
        <f t="shared" si="12"/>
        <v>1.2850611639688703E-2</v>
      </c>
      <c r="G33" s="1663">
        <f>_xlfn.XLOOKUP(B33,Counties,$R$15:$R$43)</f>
        <v>8326.4897724523435</v>
      </c>
      <c r="H33" s="1658">
        <f t="shared" ref="H33:H37" si="14">+D33-G33</f>
        <v>-233.48977245234346</v>
      </c>
      <c r="I33" s="1659">
        <f t="shared" ref="I33:I37" si="15">+H33/D33</f>
        <v>-2.8850830650233961E-2</v>
      </c>
      <c r="J33" s="1653">
        <f t="shared" si="13"/>
        <v>-129.48977245234346</v>
      </c>
      <c r="O33" s="1348" t="s">
        <v>917</v>
      </c>
      <c r="P33" s="1357">
        <v>11032</v>
      </c>
      <c r="Q33" s="1358">
        <v>20035.774574253475</v>
      </c>
      <c r="R33" s="1358">
        <f t="shared" si="3"/>
        <v>31067.774574253475</v>
      </c>
      <c r="S33" s="1358">
        <f t="shared" si="5"/>
        <v>31067.774574253475</v>
      </c>
      <c r="T33" s="1359">
        <v>0</v>
      </c>
      <c r="U33" s="1352">
        <f t="shared" si="6"/>
        <v>0</v>
      </c>
      <c r="V33" s="1360">
        <f t="shared" si="0"/>
        <v>0</v>
      </c>
      <c r="W33" s="1361">
        <f t="shared" si="1"/>
        <v>0</v>
      </c>
      <c r="X33" s="1355">
        <f t="shared" si="2"/>
        <v>0.64490536734026471</v>
      </c>
      <c r="Y33" s="1355">
        <f t="shared" si="7"/>
        <v>4.2893813622410919</v>
      </c>
      <c r="Z33" s="1362">
        <f t="shared" si="8"/>
        <v>0</v>
      </c>
      <c r="AA33" s="1362">
        <f t="shared" si="9"/>
        <v>0</v>
      </c>
      <c r="AB33" s="1362">
        <f t="shared" si="10"/>
        <v>0</v>
      </c>
    </row>
    <row r="34" spans="1:28" ht="15.6">
      <c r="A34" s="674"/>
      <c r="B34" s="1707" t="s">
        <v>257</v>
      </c>
      <c r="C34" s="1707"/>
      <c r="D34" s="1708">
        <f t="shared" si="11"/>
        <v>7197</v>
      </c>
      <c r="E34" s="1383">
        <f t="shared" si="11"/>
        <v>7293</v>
      </c>
      <c r="F34" s="1644">
        <f t="shared" si="12"/>
        <v>1.3338891204668579E-2</v>
      </c>
      <c r="G34" s="1663">
        <f>_xlfn.XLOOKUP(B34,Counties,$R$15:$R$43)</f>
        <v>7242.9499619081098</v>
      </c>
      <c r="H34" s="1658">
        <f t="shared" si="14"/>
        <v>-45.949961908109799</v>
      </c>
      <c r="I34" s="1659">
        <f t="shared" si="15"/>
        <v>-6.3845994036556622E-3</v>
      </c>
      <c r="J34" s="1653">
        <f t="shared" si="13"/>
        <v>50.050038091890201</v>
      </c>
      <c r="O34" s="1348" t="s">
        <v>918</v>
      </c>
      <c r="P34" s="1357">
        <v>7431</v>
      </c>
      <c r="Q34" s="1358">
        <v>2257.9168173623493</v>
      </c>
      <c r="R34" s="1358">
        <f t="shared" si="3"/>
        <v>9688.9168173623493</v>
      </c>
      <c r="S34" s="1358">
        <f t="shared" si="5"/>
        <v>9688.9168173623493</v>
      </c>
      <c r="T34" s="1359">
        <v>0</v>
      </c>
      <c r="U34" s="1352">
        <f t="shared" si="6"/>
        <v>0</v>
      </c>
      <c r="V34" s="1360">
        <f t="shared" si="0"/>
        <v>0</v>
      </c>
      <c r="W34" s="1361">
        <f t="shared" si="1"/>
        <v>0</v>
      </c>
      <c r="X34" s="1355">
        <f t="shared" si="2"/>
        <v>0.2330412016043121</v>
      </c>
      <c r="Y34" s="1355">
        <f t="shared" si="7"/>
        <v>1.3377031276369422</v>
      </c>
      <c r="Z34" s="1362">
        <f t="shared" si="8"/>
        <v>0</v>
      </c>
      <c r="AA34" s="1362">
        <f t="shared" si="9"/>
        <v>0</v>
      </c>
      <c r="AB34" s="1362">
        <f t="shared" si="10"/>
        <v>0</v>
      </c>
    </row>
    <row r="35" spans="1:28" ht="15.6">
      <c r="A35" s="674"/>
      <c r="B35" s="1707" t="s">
        <v>915</v>
      </c>
      <c r="C35" s="1707"/>
      <c r="D35" s="1708">
        <f t="shared" si="11"/>
        <v>7715</v>
      </c>
      <c r="E35" s="1383">
        <f t="shared" si="11"/>
        <v>7818</v>
      </c>
      <c r="F35" s="1644">
        <f t="shared" si="12"/>
        <v>1.335061568373308E-2</v>
      </c>
      <c r="G35" s="1663">
        <f>_xlfn.XLOOKUP(B35,Counties,$R$15:$R$43)</f>
        <v>9420.3898852952661</v>
      </c>
      <c r="H35" s="1658">
        <f t="shared" si="14"/>
        <v>-1705.3898852952661</v>
      </c>
      <c r="I35" s="1659">
        <f t="shared" si="15"/>
        <v>-0.22104859174274349</v>
      </c>
      <c r="J35" s="1653">
        <f t="shared" si="13"/>
        <v>-1602.3898852952661</v>
      </c>
      <c r="O35" s="1348" t="s">
        <v>919</v>
      </c>
      <c r="P35" s="1357">
        <v>3517</v>
      </c>
      <c r="Q35" s="1358">
        <v>8536.338724633586</v>
      </c>
      <c r="R35" s="1358">
        <f t="shared" si="3"/>
        <v>12053.338724633586</v>
      </c>
      <c r="S35" s="1358">
        <f t="shared" si="5"/>
        <v>12053.338724633586</v>
      </c>
      <c r="T35" s="1359">
        <v>0</v>
      </c>
      <c r="U35" s="1352">
        <f t="shared" si="6"/>
        <v>0</v>
      </c>
      <c r="V35" s="1360">
        <f t="shared" si="0"/>
        <v>0</v>
      </c>
      <c r="W35" s="1361">
        <f t="shared" si="1"/>
        <v>0</v>
      </c>
      <c r="X35" s="1355">
        <f t="shared" si="2"/>
        <v>0.70821362608749594</v>
      </c>
      <c r="Y35" s="1355">
        <f t="shared" si="7"/>
        <v>1.6641477282079979</v>
      </c>
      <c r="Z35" s="1362">
        <f t="shared" si="8"/>
        <v>0</v>
      </c>
      <c r="AA35" s="1362">
        <f t="shared" si="9"/>
        <v>0</v>
      </c>
      <c r="AB35" s="1362">
        <f t="shared" si="10"/>
        <v>0</v>
      </c>
    </row>
    <row r="36" spans="1:28" ht="15.6">
      <c r="A36" s="674"/>
      <c r="B36" s="1707" t="s">
        <v>920</v>
      </c>
      <c r="C36" s="1707"/>
      <c r="D36" s="1708">
        <f t="shared" si="11"/>
        <v>6980</v>
      </c>
      <c r="E36" s="1383">
        <f t="shared" si="11"/>
        <v>7074</v>
      </c>
      <c r="F36" s="1644">
        <f t="shared" si="12"/>
        <v>1.346704871060167E-2</v>
      </c>
      <c r="G36" s="1663">
        <f>_xlfn.XLOOKUP(B36,Counties,$R$15:$R$43)</f>
        <v>7451.3102570989922</v>
      </c>
      <c r="H36" s="1658">
        <f t="shared" si="14"/>
        <v>-471.31025709899222</v>
      </c>
      <c r="I36" s="1659">
        <f t="shared" si="15"/>
        <v>-6.7522959469769661E-2</v>
      </c>
      <c r="J36" s="1653">
        <f t="shared" si="13"/>
        <v>-377.31025709899222</v>
      </c>
      <c r="O36" s="1348" t="s">
        <v>921</v>
      </c>
      <c r="P36" s="1357">
        <v>12131</v>
      </c>
      <c r="Q36" s="1358">
        <v>1685.3148174012715</v>
      </c>
      <c r="R36" s="1358">
        <f t="shared" si="3"/>
        <v>13816.314817401271</v>
      </c>
      <c r="S36" s="1358">
        <f t="shared" si="5"/>
        <v>13816.314817401271</v>
      </c>
      <c r="T36" s="1359">
        <v>0</v>
      </c>
      <c r="U36" s="1352">
        <f t="shared" si="6"/>
        <v>0</v>
      </c>
      <c r="V36" s="1360">
        <f t="shared" si="0"/>
        <v>0</v>
      </c>
      <c r="W36" s="1361">
        <f t="shared" si="1"/>
        <v>0</v>
      </c>
      <c r="X36" s="1355">
        <f t="shared" si="2"/>
        <v>0.12198005326852161</v>
      </c>
      <c r="Y36" s="1355">
        <f t="shared" si="7"/>
        <v>1.9075535368963739</v>
      </c>
      <c r="Z36" s="1362">
        <f t="shared" si="8"/>
        <v>0</v>
      </c>
      <c r="AA36" s="1362">
        <f t="shared" si="9"/>
        <v>0</v>
      </c>
      <c r="AB36" s="1362">
        <f t="shared" si="10"/>
        <v>0</v>
      </c>
    </row>
    <row r="37" spans="1:28" ht="15.6">
      <c r="A37" s="674"/>
      <c r="B37" s="1709" t="s">
        <v>922</v>
      </c>
      <c r="C37" s="1709"/>
      <c r="D37" s="1710">
        <f t="shared" si="11"/>
        <v>10367</v>
      </c>
      <c r="E37" s="1711">
        <f t="shared" si="11"/>
        <v>10501</v>
      </c>
      <c r="F37" s="1712">
        <f t="shared" si="12"/>
        <v>1.2925629400983851E-2</v>
      </c>
      <c r="G37" s="1664">
        <f>_xlfn.XLOOKUP(B37,Counties,$R$15:$R$43)</f>
        <v>11115.885152830571</v>
      </c>
      <c r="H37" s="1660">
        <f t="shared" si="14"/>
        <v>-748.88515283057131</v>
      </c>
      <c r="I37" s="1661">
        <f t="shared" si="15"/>
        <v>-7.2237402607366774E-2</v>
      </c>
      <c r="J37" s="1713">
        <f t="shared" si="13"/>
        <v>-614.88515283057131</v>
      </c>
      <c r="O37" s="1348" t="s">
        <v>923</v>
      </c>
      <c r="P37" s="1357">
        <v>7724</v>
      </c>
      <c r="Q37" s="1358">
        <v>1043.382638093434</v>
      </c>
      <c r="R37" s="1358">
        <f t="shared" si="3"/>
        <v>8767.3826380934333</v>
      </c>
      <c r="S37" s="1358">
        <f t="shared" si="5"/>
        <v>8767.3826380934333</v>
      </c>
      <c r="T37" s="1359">
        <v>0</v>
      </c>
      <c r="U37" s="1352">
        <f t="shared" si="6"/>
        <v>0</v>
      </c>
      <c r="V37" s="1360">
        <f t="shared" si="0"/>
        <v>0</v>
      </c>
      <c r="W37" s="1361">
        <f t="shared" si="1"/>
        <v>0</v>
      </c>
      <c r="X37" s="1355">
        <f t="shared" si="2"/>
        <v>0.11900731166449117</v>
      </c>
      <c r="Y37" s="1355">
        <f t="shared" si="7"/>
        <v>1.2104712422704245</v>
      </c>
      <c r="Z37" s="1362">
        <f t="shared" si="8"/>
        <v>0</v>
      </c>
      <c r="AA37" s="1362">
        <f t="shared" si="9"/>
        <v>0</v>
      </c>
      <c r="AB37" s="1362">
        <f t="shared" si="10"/>
        <v>0</v>
      </c>
    </row>
    <row r="38" spans="1:28" ht="15.6">
      <c r="A38" s="674"/>
      <c r="H38" s="633"/>
      <c r="O38" s="1348" t="s">
        <v>924</v>
      </c>
      <c r="P38" s="1357">
        <v>10152</v>
      </c>
      <c r="Q38" s="1358">
        <v>1653.6465092972339</v>
      </c>
      <c r="R38" s="1358">
        <f t="shared" si="3"/>
        <v>11805.646509297234</v>
      </c>
      <c r="S38" s="1358">
        <f t="shared" si="5"/>
        <v>11805.646509297234</v>
      </c>
      <c r="T38" s="1359">
        <v>0</v>
      </c>
      <c r="U38" s="1352">
        <f t="shared" si="6"/>
        <v>0</v>
      </c>
      <c r="V38" s="1360">
        <f t="shared" si="0"/>
        <v>0</v>
      </c>
      <c r="W38" s="1361">
        <f t="shared" si="1"/>
        <v>0</v>
      </c>
      <c r="X38" s="1355">
        <f t="shared" si="2"/>
        <v>0.14007250750689063</v>
      </c>
      <c r="Y38" s="1355">
        <f t="shared" si="7"/>
        <v>1.6299500302204366</v>
      </c>
      <c r="Z38" s="1362">
        <f t="shared" si="8"/>
        <v>0</v>
      </c>
      <c r="AA38" s="1362">
        <f t="shared" si="9"/>
        <v>0</v>
      </c>
      <c r="AB38" s="1362">
        <f t="shared" si="10"/>
        <v>0</v>
      </c>
    </row>
    <row r="39" spans="1:28" ht="15.6">
      <c r="A39" s="674"/>
      <c r="B39" s="1386" t="s">
        <v>925</v>
      </c>
      <c r="C39" s="1386"/>
      <c r="D39" s="1387"/>
      <c r="E39" s="1387"/>
      <c r="G39" s="1380" t="s">
        <v>1206</v>
      </c>
      <c r="O39" s="1348" t="s">
        <v>926</v>
      </c>
      <c r="P39" s="1357">
        <v>7967</v>
      </c>
      <c r="Q39" s="1358">
        <v>1826.7160516863926</v>
      </c>
      <c r="R39" s="1358">
        <f t="shared" si="3"/>
        <v>9793.7160516863933</v>
      </c>
      <c r="S39" s="1358">
        <f t="shared" si="5"/>
        <v>9793.7160516863933</v>
      </c>
      <c r="T39" s="1359">
        <v>0</v>
      </c>
      <c r="U39" s="1352">
        <f t="shared" si="6"/>
        <v>0</v>
      </c>
      <c r="V39" s="1360">
        <f t="shared" si="0"/>
        <v>0</v>
      </c>
      <c r="W39" s="1361">
        <f t="shared" si="1"/>
        <v>0</v>
      </c>
      <c r="X39" s="1355">
        <f t="shared" si="2"/>
        <v>0.18651919680393919</v>
      </c>
      <c r="Y39" s="1355">
        <f t="shared" si="7"/>
        <v>1.3521722645045444</v>
      </c>
      <c r="Z39" s="1362">
        <f t="shared" si="8"/>
        <v>0</v>
      </c>
      <c r="AA39" s="1362">
        <f t="shared" si="9"/>
        <v>0</v>
      </c>
      <c r="AB39" s="1362">
        <f t="shared" si="10"/>
        <v>0</v>
      </c>
    </row>
    <row r="40" spans="1:28" ht="15.6">
      <c r="A40" s="674"/>
      <c r="B40" s="1310" t="s">
        <v>927</v>
      </c>
      <c r="C40" s="1310"/>
      <c r="D40" s="1311"/>
      <c r="E40" s="1381"/>
      <c r="H40">
        <v>7197</v>
      </c>
      <c r="O40" s="1348" t="s">
        <v>928</v>
      </c>
      <c r="P40" s="1357">
        <v>9691</v>
      </c>
      <c r="Q40" s="1358">
        <v>3203.4141560818189</v>
      </c>
      <c r="R40" s="1358">
        <f t="shared" si="3"/>
        <v>12894.414156081819</v>
      </c>
      <c r="S40" s="1358">
        <f t="shared" si="5"/>
        <v>12894.414156081819</v>
      </c>
      <c r="T40" s="1359">
        <v>0</v>
      </c>
      <c r="U40" s="1352">
        <f t="shared" si="6"/>
        <v>0</v>
      </c>
      <c r="V40" s="1360">
        <f t="shared" si="0"/>
        <v>0</v>
      </c>
      <c r="W40" s="1361">
        <f t="shared" si="1"/>
        <v>0</v>
      </c>
      <c r="X40" s="1355">
        <f t="shared" si="2"/>
        <v>0.24843425356947191</v>
      </c>
      <c r="Y40" s="1355">
        <f t="shared" si="7"/>
        <v>1.7802710530786086</v>
      </c>
      <c r="Z40" s="1362">
        <f t="shared" si="8"/>
        <v>0</v>
      </c>
      <c r="AA40" s="1362">
        <f t="shared" si="9"/>
        <v>0</v>
      </c>
      <c r="AB40" s="1362">
        <f t="shared" si="10"/>
        <v>0</v>
      </c>
    </row>
    <row r="41" spans="1:28" ht="15.6">
      <c r="A41" s="674"/>
      <c r="B41" s="1322" t="s">
        <v>929</v>
      </c>
      <c r="C41" s="1322"/>
      <c r="D41" s="1723">
        <v>0.38284007225232736</v>
      </c>
      <c r="E41" s="1536">
        <v>0.33</v>
      </c>
      <c r="F41" s="5" t="s">
        <v>930</v>
      </c>
      <c r="G41" s="1722">
        <f>+$D$34*D41</f>
        <v>2755.3</v>
      </c>
      <c r="H41" s="1724">
        <f>+$H$40+G41</f>
        <v>9952.2999999999993</v>
      </c>
      <c r="O41" s="1348" t="s">
        <v>931</v>
      </c>
      <c r="P41" s="1357">
        <v>6136</v>
      </c>
      <c r="Q41" s="1358">
        <v>10216.403262371867</v>
      </c>
      <c r="R41" s="1358">
        <f t="shared" si="3"/>
        <v>16352.403262371867</v>
      </c>
      <c r="S41" s="1358">
        <f t="shared" si="5"/>
        <v>16352.403262371867</v>
      </c>
      <c r="T41" s="1359">
        <v>0</v>
      </c>
      <c r="U41" s="1352">
        <f t="shared" si="6"/>
        <v>0</v>
      </c>
      <c r="V41" s="1360">
        <f t="shared" si="0"/>
        <v>0</v>
      </c>
      <c r="W41" s="1361">
        <f t="shared" si="1"/>
        <v>0</v>
      </c>
      <c r="X41" s="1355">
        <f t="shared" si="2"/>
        <v>0.62476463541481964</v>
      </c>
      <c r="Y41" s="1355">
        <f t="shared" si="7"/>
        <v>2.257699328087575</v>
      </c>
      <c r="Z41" s="1362">
        <f t="shared" si="8"/>
        <v>0</v>
      </c>
      <c r="AA41" s="1362">
        <f t="shared" si="9"/>
        <v>0</v>
      </c>
      <c r="AB41" s="1362">
        <f t="shared" si="10"/>
        <v>0</v>
      </c>
    </row>
    <row r="42" spans="1:28" ht="15.6">
      <c r="A42" s="674"/>
      <c r="B42" s="1382" t="s">
        <v>932</v>
      </c>
      <c r="C42" s="1382"/>
      <c r="D42" s="1439">
        <v>0.24</v>
      </c>
      <c r="E42" s="1439">
        <v>0.23</v>
      </c>
      <c r="G42" s="673">
        <f>+$D$34*D42</f>
        <v>1727.28</v>
      </c>
      <c r="H42" s="1724">
        <f>+$H$40+G42</f>
        <v>8924.2800000000007</v>
      </c>
      <c r="O42" s="1363" t="s">
        <v>920</v>
      </c>
      <c r="P42" s="1364">
        <v>6034</v>
      </c>
      <c r="Q42" s="1365">
        <v>1417.3102570989925</v>
      </c>
      <c r="R42" s="1365">
        <f t="shared" si="3"/>
        <v>7451.3102570989922</v>
      </c>
      <c r="S42" s="1365">
        <f t="shared" si="5"/>
        <v>7451.3102570989922</v>
      </c>
      <c r="T42" s="1366">
        <v>0</v>
      </c>
      <c r="U42" s="1352">
        <f t="shared" si="6"/>
        <v>0</v>
      </c>
      <c r="V42" s="1360">
        <f t="shared" si="0"/>
        <v>0</v>
      </c>
      <c r="W42" s="1361">
        <f t="shared" si="1"/>
        <v>0</v>
      </c>
      <c r="X42" s="1367">
        <f t="shared" si="2"/>
        <v>0.19020953472561372</v>
      </c>
      <c r="Y42" s="1367">
        <f t="shared" si="7"/>
        <v>1.0287673249555338</v>
      </c>
      <c r="Z42" s="1362">
        <f t="shared" si="8"/>
        <v>0</v>
      </c>
      <c r="AA42" s="1368">
        <f t="shared" si="9"/>
        <v>0</v>
      </c>
      <c r="AB42" s="1368">
        <f t="shared" si="10"/>
        <v>0</v>
      </c>
    </row>
    <row r="43" spans="1:28" ht="15.6">
      <c r="A43" s="674"/>
      <c r="B43" s="1382" t="s">
        <v>933</v>
      </c>
      <c r="C43" s="1382"/>
      <c r="D43" s="1439">
        <v>0.03</v>
      </c>
      <c r="E43" s="1439">
        <v>0.03</v>
      </c>
      <c r="G43" s="673">
        <f>+$D$34*D43</f>
        <v>215.91</v>
      </c>
      <c r="H43" s="1724">
        <f>+$H$40+G43</f>
        <v>7412.91</v>
      </c>
      <c r="I43" s="1725" t="s">
        <v>1207</v>
      </c>
      <c r="O43" s="1348" t="s">
        <v>922</v>
      </c>
      <c r="P43" s="1357">
        <v>8512</v>
      </c>
      <c r="Q43" s="1358">
        <v>2603.8851528305713</v>
      </c>
      <c r="R43" s="1358">
        <f t="shared" si="3"/>
        <v>11115.885152830571</v>
      </c>
      <c r="S43" s="1358">
        <f t="shared" si="5"/>
        <v>11115.885152830571</v>
      </c>
      <c r="T43" s="1369">
        <v>0</v>
      </c>
      <c r="U43" s="1352">
        <f t="shared" si="6"/>
        <v>0</v>
      </c>
      <c r="V43" s="1360">
        <f t="shared" si="0"/>
        <v>0</v>
      </c>
      <c r="W43" s="1361">
        <f t="shared" si="1"/>
        <v>0</v>
      </c>
      <c r="X43" s="1370">
        <f t="shared" si="2"/>
        <v>0.23424901544322926</v>
      </c>
      <c r="Y43" s="1370">
        <f t="shared" si="7"/>
        <v>1.5347179272659452</v>
      </c>
      <c r="Z43" s="1362">
        <f t="shared" si="8"/>
        <v>0</v>
      </c>
      <c r="AA43" s="1362">
        <f t="shared" si="9"/>
        <v>0</v>
      </c>
      <c r="AB43" s="1362">
        <f t="shared" si="10"/>
        <v>0</v>
      </c>
    </row>
    <row r="44" spans="1:28" ht="15.6">
      <c r="A44" s="675"/>
      <c r="B44" s="1382" t="s">
        <v>934</v>
      </c>
      <c r="C44" s="1382"/>
      <c r="D44" s="1439">
        <v>0.12</v>
      </c>
      <c r="E44" s="1439">
        <v>0.12</v>
      </c>
      <c r="G44" s="673">
        <f>+$D$34*D44</f>
        <v>863.64</v>
      </c>
      <c r="H44" s="1724">
        <f>+$H$40+G44</f>
        <v>8060.64</v>
      </c>
      <c r="O44" s="1028" t="s">
        <v>935</v>
      </c>
      <c r="P44" s="537"/>
      <c r="Q44" s="515"/>
      <c r="R44" s="1638">
        <f>IF(OR(AB44=0,T44=0),0,AB44/T44)</f>
        <v>7242.9499619081098</v>
      </c>
      <c r="S44" s="515"/>
      <c r="T44" s="1639">
        <f>SUM(T15:T43)</f>
        <v>276</v>
      </c>
      <c r="U44" s="1640"/>
      <c r="V44" s="1641"/>
      <c r="W44" s="1640"/>
      <c r="X44" s="505"/>
      <c r="Y44" s="505"/>
      <c r="Z44" s="1642">
        <f>SUM(Z15:Z43)</f>
        <v>0</v>
      </c>
      <c r="AA44" s="1642">
        <f>SUM(AA15:AA43)</f>
        <v>1999054.1894866384</v>
      </c>
      <c r="AB44" s="1642">
        <f>SUM(AB15:AB43)</f>
        <v>1999054.1894866384</v>
      </c>
    </row>
    <row r="45" spans="1:28" ht="15.6">
      <c r="A45" s="505"/>
      <c r="B45" s="5"/>
      <c r="C45" s="5"/>
      <c r="D45" s="5"/>
      <c r="E45" s="5"/>
      <c r="H45" s="1459"/>
      <c r="I45" s="1458"/>
      <c r="J45" s="1459"/>
      <c r="K45" s="1464"/>
      <c r="L45" s="1459"/>
      <c r="M45" s="1458"/>
      <c r="O45" s="516"/>
      <c r="P45" s="517"/>
      <c r="Q45" s="518"/>
      <c r="R45" s="518"/>
      <c r="S45" s="518"/>
      <c r="T45" s="519"/>
      <c r="U45" s="519"/>
      <c r="V45" s="519"/>
      <c r="W45" s="519"/>
      <c r="X45" s="505"/>
      <c r="Y45" s="505"/>
      <c r="Z45" s="520">
        <f>IF(Z44=0,0,IF(Z44/4&gt;500000,"Monthly","Qtrly"))</f>
        <v>0</v>
      </c>
      <c r="AA45" s="521"/>
      <c r="AB45" s="521"/>
    </row>
    <row r="46" spans="1:28" ht="15.6" hidden="1" outlineLevel="1">
      <c r="A46" s="505"/>
      <c r="B46" s="1411" t="s">
        <v>936</v>
      </c>
      <c r="C46" s="1411"/>
      <c r="D46" s="1412"/>
      <c r="O46" s="516"/>
      <c r="P46" s="517"/>
      <c r="Q46" s="518"/>
      <c r="R46" s="518"/>
      <c r="S46" s="518"/>
      <c r="T46" s="519"/>
      <c r="U46" s="519"/>
      <c r="V46" s="519"/>
      <c r="W46" s="519"/>
      <c r="X46" s="505"/>
      <c r="Y46" s="505"/>
      <c r="Z46" s="520"/>
      <c r="AA46" s="521"/>
      <c r="AB46" s="521"/>
    </row>
    <row r="47" spans="1:28" ht="15.6" hidden="1" outlineLevel="1">
      <c r="A47" s="505"/>
      <c r="B47" s="1413" t="s">
        <v>937</v>
      </c>
      <c r="C47" s="1413"/>
      <c r="D47" s="1532">
        <f>+J133</f>
        <v>150</v>
      </c>
      <c r="E47" s="1"/>
      <c r="F47" s="1447" t="s">
        <v>938</v>
      </c>
      <c r="V47" s="519"/>
      <c r="W47" s="519"/>
      <c r="X47" s="505"/>
      <c r="Y47" s="505"/>
      <c r="Z47" s="520"/>
      <c r="AA47" s="521"/>
      <c r="AB47" s="521"/>
    </row>
    <row r="48" spans="1:28" ht="15.6" hidden="1" outlineLevel="1">
      <c r="A48" s="505"/>
      <c r="B48" s="1410" t="s">
        <v>939</v>
      </c>
      <c r="C48" s="1410"/>
      <c r="D48" s="1533">
        <f>+J168</f>
        <v>327</v>
      </c>
      <c r="E48" s="5"/>
      <c r="F48" t="s">
        <v>940</v>
      </c>
      <c r="I48" s="518"/>
      <c r="V48" s="519"/>
      <c r="W48" s="519"/>
      <c r="X48" s="505"/>
      <c r="Y48" s="505"/>
      <c r="Z48" s="520"/>
      <c r="AA48" s="521"/>
      <c r="AB48" s="521"/>
    </row>
    <row r="49" spans="1:34" ht="15.6" hidden="1" outlineLevel="1">
      <c r="A49" s="505"/>
      <c r="B49" s="1414"/>
      <c r="C49" s="1414"/>
      <c r="D49" s="1392">
        <f>SUM(D47:D48)</f>
        <v>477</v>
      </c>
      <c r="E49" s="5"/>
      <c r="F49" s="1"/>
      <c r="I49" s="518"/>
      <c r="V49" s="519"/>
      <c r="W49" s="519"/>
      <c r="X49" s="505"/>
      <c r="Y49" s="505"/>
      <c r="Z49" s="520"/>
      <c r="AA49" s="521"/>
      <c r="AB49" s="521"/>
    </row>
    <row r="50" spans="1:34" ht="15.6" hidden="1" outlineLevel="1">
      <c r="A50" s="505"/>
      <c r="B50" s="1418"/>
      <c r="C50" s="1418"/>
      <c r="D50" s="1419"/>
      <c r="E50" s="5"/>
      <c r="F50" s="1"/>
      <c r="I50" s="518"/>
      <c r="V50" s="519"/>
      <c r="W50" s="519"/>
      <c r="X50" s="505"/>
      <c r="Y50" s="505"/>
      <c r="Z50" s="520"/>
      <c r="AA50" s="521"/>
      <c r="AB50" s="521"/>
    </row>
    <row r="51" spans="1:34" ht="15.6" hidden="1" outlineLevel="1">
      <c r="A51" s="505"/>
      <c r="B51" s="1460" t="s">
        <v>941</v>
      </c>
      <c r="C51" s="1460"/>
      <c r="D51" s="1460"/>
      <c r="E51" s="5"/>
      <c r="F51" s="1"/>
      <c r="I51" s="518"/>
      <c r="V51" s="519"/>
      <c r="W51" s="519"/>
      <c r="X51" s="505"/>
      <c r="Y51" s="505"/>
      <c r="Z51" s="520"/>
      <c r="AA51" s="521"/>
      <c r="AB51" s="521"/>
    </row>
    <row r="52" spans="1:34" ht="15.6" hidden="1" outlineLevel="1">
      <c r="A52" s="505"/>
      <c r="B52" s="1456" t="s">
        <v>942</v>
      </c>
      <c r="C52" s="1457"/>
      <c r="D52" s="1457"/>
      <c r="E52" s="5"/>
      <c r="F52" s="1"/>
      <c r="I52" s="518"/>
      <c r="V52" s="519"/>
      <c r="W52" s="519"/>
      <c r="X52" s="505"/>
      <c r="Y52" s="505"/>
      <c r="Z52" s="520"/>
      <c r="AA52" s="521"/>
      <c r="AB52" s="521"/>
    </row>
    <row r="53" spans="1:34" ht="15.6" hidden="1" outlineLevel="1">
      <c r="A53" s="505"/>
      <c r="B53" s="1458"/>
      <c r="C53" s="1459"/>
      <c r="D53" s="1458"/>
      <c r="E53" s="5"/>
      <c r="F53" s="1"/>
      <c r="I53" s="5"/>
      <c r="J53" s="5"/>
      <c r="K53" s="5"/>
      <c r="L53" s="5"/>
      <c r="M53" s="5"/>
      <c r="V53" s="519"/>
      <c r="W53" s="519"/>
      <c r="X53" s="505"/>
      <c r="Y53" s="505"/>
      <c r="Z53" s="520"/>
      <c r="AA53" s="521"/>
      <c r="AB53" s="521"/>
    </row>
    <row r="54" spans="1:34" ht="15.6" hidden="1" outlineLevel="1">
      <c r="A54" s="505"/>
      <c r="B54" s="1472" t="s">
        <v>943</v>
      </c>
      <c r="C54" s="1459"/>
      <c r="D54" s="1473">
        <v>500</v>
      </c>
      <c r="E54" s="5"/>
      <c r="F54" s="1"/>
      <c r="I54" s="5"/>
      <c r="J54" s="5"/>
      <c r="K54" s="5"/>
      <c r="L54" s="5"/>
      <c r="M54" s="5"/>
      <c r="V54" s="519"/>
      <c r="W54" s="519"/>
      <c r="X54" s="505"/>
      <c r="Y54" s="505"/>
      <c r="Z54" s="520"/>
      <c r="AA54" s="521"/>
      <c r="AB54" s="521"/>
    </row>
    <row r="55" spans="1:34" ht="15.6" hidden="1" outlineLevel="1">
      <c r="A55" s="505"/>
      <c r="B55" s="1472" t="s">
        <v>944</v>
      </c>
      <c r="C55" s="1459"/>
      <c r="D55" s="1473">
        <v>250</v>
      </c>
      <c r="E55" s="5"/>
      <c r="F55" s="1"/>
      <c r="I55" s="5"/>
      <c r="J55" s="5"/>
      <c r="K55" s="5"/>
      <c r="L55" s="5"/>
      <c r="M55" s="5"/>
      <c r="V55" s="519"/>
      <c r="W55" s="519"/>
      <c r="X55" s="505"/>
      <c r="Y55" s="505"/>
      <c r="Z55" s="520"/>
      <c r="AA55" s="521"/>
      <c r="AB55" s="521"/>
    </row>
    <row r="56" spans="1:34" ht="15.6" hidden="1" outlineLevel="1">
      <c r="A56" s="505"/>
      <c r="B56" s="1472" t="s">
        <v>945</v>
      </c>
      <c r="C56" s="1459"/>
      <c r="D56" s="1534">
        <f>SUM(B61,B63,B65,B67)</f>
        <v>318</v>
      </c>
      <c r="E56" s="1535"/>
      <c r="F56" s="1"/>
      <c r="I56" s="5"/>
      <c r="J56" s="5"/>
      <c r="K56" s="5"/>
      <c r="L56" s="5"/>
      <c r="M56" s="5"/>
      <c r="V56" s="519"/>
      <c r="W56" s="519"/>
      <c r="X56" s="505"/>
      <c r="Y56" s="505"/>
      <c r="Z56" s="520"/>
      <c r="AA56" s="521"/>
      <c r="AB56" s="521"/>
    </row>
    <row r="57" spans="1:34" ht="15.6" hidden="1" outlineLevel="1">
      <c r="A57" s="505"/>
      <c r="B57" s="1458"/>
      <c r="C57" s="1459"/>
      <c r="D57" s="1458"/>
      <c r="E57" s="5"/>
      <c r="F57" s="1"/>
      <c r="I57" s="5"/>
      <c r="J57" s="5"/>
      <c r="K57" s="5"/>
      <c r="L57" s="5"/>
      <c r="M57" s="5"/>
      <c r="V57" s="519"/>
      <c r="W57" s="519"/>
      <c r="X57" s="505"/>
      <c r="Y57" s="505"/>
      <c r="Z57" s="520"/>
      <c r="AA57" s="521"/>
      <c r="AB57" s="521"/>
    </row>
    <row r="58" spans="1:34" ht="15.6" hidden="1" outlineLevel="1">
      <c r="A58" s="505"/>
      <c r="B58" s="1499" t="s">
        <v>946</v>
      </c>
      <c r="C58" s="1466"/>
      <c r="D58" s="1465"/>
      <c r="E58" s="1314"/>
      <c r="F58" s="1"/>
      <c r="G58" s="5" t="s">
        <v>481</v>
      </c>
      <c r="J58" s="5"/>
      <c r="K58" s="5">
        <v>500</v>
      </c>
      <c r="L58" s="5"/>
      <c r="M58" s="5"/>
      <c r="N58" s="5" t="s">
        <v>947</v>
      </c>
      <c r="V58" s="519"/>
      <c r="W58" s="519"/>
      <c r="X58" s="505"/>
      <c r="Y58" s="505"/>
      <c r="Z58" s="520"/>
      <c r="AA58" s="521"/>
      <c r="AB58" s="521"/>
    </row>
    <row r="59" spans="1:34" ht="15.6" hidden="1" outlineLevel="1">
      <c r="A59" s="505"/>
      <c r="B59" s="1460" t="s">
        <v>948</v>
      </c>
      <c r="C59" s="1466"/>
      <c r="D59" s="1460" t="s">
        <v>949</v>
      </c>
      <c r="E59" s="1465"/>
      <c r="F59" s="5"/>
      <c r="G59" s="1458"/>
      <c r="I59" s="5" t="s">
        <v>950</v>
      </c>
      <c r="J59" s="5" t="s">
        <v>951</v>
      </c>
      <c r="K59" s="5" t="s">
        <v>952</v>
      </c>
      <c r="L59" s="5"/>
      <c r="M59" s="5"/>
      <c r="N59" s="5" t="s">
        <v>953</v>
      </c>
      <c r="V59" s="519"/>
      <c r="W59" s="519"/>
      <c r="X59" s="505"/>
      <c r="Y59" s="505"/>
      <c r="Z59" s="520"/>
      <c r="AA59" s="521"/>
      <c r="AB59" s="521"/>
    </row>
    <row r="60" spans="1:34" ht="15.6" hidden="1" outlineLevel="1">
      <c r="A60" s="505"/>
      <c r="B60" s="1457" t="s">
        <v>954</v>
      </c>
      <c r="C60" s="1474" t="s">
        <v>955</v>
      </c>
      <c r="D60" s="1474" t="s">
        <v>956</v>
      </c>
      <c r="E60" s="1474" t="s">
        <v>957</v>
      </c>
      <c r="F60" s="5"/>
      <c r="G60" s="1458"/>
      <c r="I60" s="1537" t="s">
        <v>958</v>
      </c>
      <c r="J60" s="1537" t="s">
        <v>959</v>
      </c>
      <c r="K60" s="1537" t="s">
        <v>960</v>
      </c>
      <c r="L60" s="5"/>
      <c r="M60" s="5"/>
      <c r="N60" s="1537" t="s">
        <v>961</v>
      </c>
      <c r="V60" s="519"/>
      <c r="W60" s="519"/>
      <c r="X60" s="505"/>
      <c r="Y60" s="505"/>
      <c r="Z60" s="520"/>
      <c r="AA60" s="521"/>
      <c r="AB60" s="521"/>
    </row>
    <row r="61" spans="1:34" ht="15.6" hidden="1" outlineLevel="1">
      <c r="A61" s="505"/>
      <c r="B61" s="1462">
        <v>45</v>
      </c>
      <c r="C61" s="1462">
        <v>0</v>
      </c>
      <c r="D61" s="1463">
        <v>10</v>
      </c>
      <c r="E61" s="1462">
        <v>15</v>
      </c>
      <c r="F61" s="5"/>
      <c r="G61" s="1456" t="s">
        <v>954</v>
      </c>
      <c r="H61" s="1542">
        <v>0.5</v>
      </c>
      <c r="I61" s="1539">
        <v>0.15</v>
      </c>
      <c r="J61" s="1539">
        <v>0.15</v>
      </c>
      <c r="K61" s="6">
        <f>+J61*$K$58</f>
        <v>75</v>
      </c>
      <c r="L61" s="5"/>
      <c r="M61" s="5">
        <v>15</v>
      </c>
      <c r="V61" s="519"/>
      <c r="W61" s="519"/>
      <c r="X61" s="505"/>
      <c r="Y61" s="505"/>
      <c r="Z61" s="520"/>
      <c r="AA61" s="521"/>
      <c r="AB61" s="521"/>
    </row>
    <row r="62" spans="1:34" ht="15.6" hidden="1" outlineLevel="1">
      <c r="A62" s="505"/>
      <c r="B62" s="1457" t="s">
        <v>962</v>
      </c>
      <c r="C62" s="1474" t="s">
        <v>963</v>
      </c>
      <c r="D62" s="1474" t="s">
        <v>964</v>
      </c>
      <c r="E62" s="1458"/>
      <c r="F62" s="5"/>
      <c r="G62" s="1540" t="s">
        <v>965</v>
      </c>
      <c r="H62" s="1542">
        <v>0.24</v>
      </c>
      <c r="I62" s="1539">
        <v>0.2</v>
      </c>
      <c r="J62" s="1539">
        <v>0.17</v>
      </c>
      <c r="K62" s="6">
        <f>+J62*$K$58</f>
        <v>85</v>
      </c>
      <c r="L62" s="5"/>
      <c r="M62" s="5">
        <v>17</v>
      </c>
      <c r="V62" s="519"/>
      <c r="W62" s="519"/>
      <c r="X62" s="505"/>
      <c r="Y62" s="505"/>
      <c r="Z62" s="520"/>
      <c r="AA62" s="521"/>
      <c r="AB62" s="521"/>
    </row>
    <row r="63" spans="1:34" ht="15.6" hidden="1" outlineLevel="1">
      <c r="A63" s="505"/>
      <c r="B63" s="1462">
        <v>53</v>
      </c>
      <c r="C63" s="1462">
        <v>0</v>
      </c>
      <c r="D63" s="1462">
        <v>0</v>
      </c>
      <c r="E63" s="5"/>
      <c r="F63" s="1458"/>
      <c r="G63" s="1540" t="s">
        <v>962</v>
      </c>
      <c r="H63" s="1542">
        <v>0.12</v>
      </c>
      <c r="I63" s="1539">
        <v>0.01</v>
      </c>
      <c r="J63" s="1539">
        <v>0.01</v>
      </c>
      <c r="K63" s="6">
        <f>+J63*$K$58</f>
        <v>5</v>
      </c>
      <c r="L63" s="5"/>
      <c r="M63" s="5">
        <v>4</v>
      </c>
      <c r="V63" s="519"/>
      <c r="W63" s="519"/>
      <c r="X63" s="505"/>
      <c r="Y63" s="505"/>
      <c r="Z63" s="520"/>
      <c r="AA63" s="521"/>
      <c r="AB63" s="521"/>
    </row>
    <row r="64" spans="1:34" ht="15.6" hidden="1" outlineLevel="1">
      <c r="A64" s="505"/>
      <c r="B64" s="1457" t="s">
        <v>965</v>
      </c>
      <c r="C64" s="1474" t="s">
        <v>966</v>
      </c>
      <c r="D64" s="1458"/>
      <c r="E64" s="5"/>
      <c r="F64" s="1458"/>
      <c r="G64" s="1541" t="s">
        <v>967</v>
      </c>
      <c r="H64" s="1542">
        <v>0.5</v>
      </c>
      <c r="I64" s="1539">
        <v>0.5</v>
      </c>
      <c r="J64" s="1539">
        <v>0.5</v>
      </c>
      <c r="K64" s="6">
        <f>+J64*$K$58</f>
        <v>250</v>
      </c>
      <c r="L64" s="5"/>
      <c r="M64" s="5"/>
      <c r="N64" s="1538">
        <v>0.8</v>
      </c>
      <c r="V64" s="519"/>
      <c r="W64" s="519"/>
      <c r="X64" s="505"/>
      <c r="Y64" s="505"/>
      <c r="Z64" s="520"/>
      <c r="AA64" s="521"/>
      <c r="AB64" s="521"/>
      <c r="AH64" s="5">
        <v>0.64</v>
      </c>
    </row>
    <row r="65" spans="1:28" ht="15.6" hidden="1" outlineLevel="1">
      <c r="A65" s="505"/>
      <c r="B65" s="1462">
        <v>30</v>
      </c>
      <c r="C65" s="1462">
        <v>20</v>
      </c>
      <c r="D65" s="1458"/>
      <c r="E65" s="5"/>
      <c r="F65" s="1458"/>
      <c r="G65" s="5"/>
      <c r="I65" s="5"/>
      <c r="J65" s="5"/>
      <c r="K65" s="6">
        <f>SUM(K61:K64)</f>
        <v>415</v>
      </c>
      <c r="L65" s="5"/>
      <c r="M65" s="5"/>
      <c r="V65" s="519"/>
      <c r="W65" s="519"/>
      <c r="X65" s="505"/>
      <c r="Y65" s="505"/>
      <c r="Z65" s="520"/>
      <c r="AA65" s="521"/>
      <c r="AB65" s="521"/>
    </row>
    <row r="66" spans="1:28" ht="15.6" hidden="1" outlineLevel="1">
      <c r="A66" s="505"/>
      <c r="B66" s="1457" t="s">
        <v>967</v>
      </c>
      <c r="C66" s="1461"/>
      <c r="D66" s="1461"/>
      <c r="E66" s="5"/>
      <c r="F66" s="1461"/>
      <c r="G66" s="5"/>
      <c r="I66" s="1538">
        <v>0.06</v>
      </c>
      <c r="J66" s="5"/>
      <c r="K66" s="5"/>
      <c r="L66" s="5"/>
      <c r="M66" s="5"/>
      <c r="V66" s="519"/>
      <c r="W66" s="519"/>
      <c r="X66" s="505"/>
      <c r="Y66" s="505"/>
      <c r="Z66" s="520"/>
      <c r="AA66" s="521"/>
      <c r="AB66" s="521"/>
    </row>
    <row r="67" spans="1:28" ht="15.6" hidden="1" outlineLevel="1">
      <c r="A67" s="505"/>
      <c r="B67" s="1462">
        <v>190</v>
      </c>
      <c r="C67" s="1458"/>
      <c r="D67" s="1464"/>
      <c r="E67" s="5"/>
      <c r="F67" s="1458"/>
      <c r="G67" s="5" t="s">
        <v>968</v>
      </c>
      <c r="H67" s="5"/>
      <c r="I67" s="5"/>
      <c r="J67" s="5"/>
      <c r="K67" s="5"/>
      <c r="L67" s="5"/>
      <c r="M67" s="5"/>
      <c r="V67" s="519"/>
      <c r="W67" s="519"/>
      <c r="X67" s="505"/>
      <c r="Y67" s="505"/>
      <c r="Z67" s="520"/>
      <c r="AA67" s="521"/>
      <c r="AB67" s="521"/>
    </row>
    <row r="68" spans="1:28" ht="15.6" hidden="1" outlineLevel="1">
      <c r="A68" s="505"/>
      <c r="B68" s="1465"/>
      <c r="C68" s="1465"/>
      <c r="D68" s="1467"/>
      <c r="E68" s="1465"/>
      <c r="G68" s="5"/>
      <c r="H68" s="5"/>
      <c r="I68" s="5"/>
      <c r="J68" s="5"/>
      <c r="K68" s="5"/>
      <c r="L68" s="5"/>
      <c r="M68" s="5"/>
      <c r="V68" s="519"/>
      <c r="W68" s="519"/>
      <c r="X68" s="505"/>
      <c r="Y68" s="505"/>
      <c r="Z68" s="520"/>
      <c r="AA68" s="521"/>
      <c r="AB68" s="521"/>
    </row>
    <row r="69" spans="1:28" ht="15.6" hidden="1" outlineLevel="1">
      <c r="A69" s="505"/>
      <c r="B69" s="1470" t="s">
        <v>969</v>
      </c>
      <c r="C69" s="1470"/>
      <c r="D69" s="1470"/>
      <c r="E69" s="1470"/>
      <c r="G69" s="5"/>
      <c r="H69" s="5"/>
      <c r="I69" s="5"/>
      <c r="J69" s="5"/>
      <c r="K69" s="5"/>
      <c r="L69" s="5"/>
      <c r="M69" s="5"/>
      <c r="V69" s="519"/>
      <c r="W69" s="519"/>
      <c r="X69" s="505"/>
      <c r="Y69" s="505"/>
      <c r="Z69" s="520"/>
      <c r="AA69" s="521"/>
      <c r="AB69" s="521"/>
    </row>
    <row r="70" spans="1:28" ht="15.6" hidden="1" outlineLevel="1">
      <c r="A70" s="505"/>
      <c r="B70" s="1474" t="s">
        <v>970</v>
      </c>
      <c r="C70" s="1474" t="s">
        <v>971</v>
      </c>
      <c r="D70" s="1474" t="s">
        <v>972</v>
      </c>
      <c r="E70" s="1474" t="s">
        <v>973</v>
      </c>
      <c r="G70" s="5"/>
      <c r="H70" s="5"/>
      <c r="I70" s="5"/>
      <c r="J70" s="5"/>
      <c r="K70" s="5"/>
      <c r="L70" s="5"/>
      <c r="M70" s="5"/>
      <c r="V70" s="519"/>
      <c r="W70" s="519"/>
      <c r="X70" s="505"/>
      <c r="Y70" s="505"/>
      <c r="Z70" s="520"/>
      <c r="AA70" s="521"/>
      <c r="AB70" s="521"/>
    </row>
    <row r="71" spans="1:28" ht="15.6" hidden="1" outlineLevel="1">
      <c r="A71" s="505"/>
      <c r="B71" s="1462">
        <v>0</v>
      </c>
      <c r="C71" s="1462">
        <v>1</v>
      </c>
      <c r="D71" s="1463">
        <v>1</v>
      </c>
      <c r="E71" s="1462">
        <v>10</v>
      </c>
      <c r="G71" s="5"/>
      <c r="H71" s="5"/>
      <c r="I71" s="5"/>
      <c r="J71" s="5"/>
      <c r="K71" s="5"/>
      <c r="L71" s="5"/>
      <c r="M71" s="5"/>
      <c r="V71" s="519"/>
      <c r="W71" s="519"/>
      <c r="X71" s="505"/>
      <c r="Y71" s="505"/>
      <c r="Z71" s="520"/>
      <c r="AA71" s="521"/>
      <c r="AB71" s="521"/>
    </row>
    <row r="72" spans="1:28" ht="15.6" hidden="1" outlineLevel="1">
      <c r="A72" s="505"/>
      <c r="B72" s="1474" t="s">
        <v>974</v>
      </c>
      <c r="C72" s="1458"/>
      <c r="D72" s="1458"/>
      <c r="E72" s="5"/>
      <c r="G72" s="5"/>
      <c r="H72" s="5"/>
      <c r="I72" s="5"/>
      <c r="J72" s="5"/>
      <c r="K72" s="5"/>
      <c r="L72" s="5"/>
      <c r="M72" s="5"/>
      <c r="V72" s="519"/>
      <c r="W72" s="519"/>
      <c r="X72" s="505"/>
      <c r="Y72" s="505"/>
      <c r="Z72" s="520"/>
      <c r="AA72" s="521"/>
      <c r="AB72" s="521"/>
    </row>
    <row r="73" spans="1:28" ht="15.6" hidden="1" outlineLevel="1">
      <c r="A73" s="505"/>
      <c r="B73" s="1462">
        <v>0</v>
      </c>
      <c r="C73" s="1459"/>
      <c r="D73" s="1458"/>
      <c r="E73" s="1458"/>
      <c r="F73" s="1458"/>
      <c r="G73" s="1458"/>
      <c r="H73" s="5"/>
      <c r="I73" s="5"/>
      <c r="J73" s="5"/>
      <c r="K73" s="5"/>
      <c r="L73" s="5"/>
      <c r="M73" s="5"/>
      <c r="V73" s="519"/>
      <c r="W73" s="519"/>
      <c r="X73" s="505"/>
      <c r="Y73" s="505"/>
      <c r="Z73" s="520"/>
      <c r="AA73" s="521"/>
      <c r="AB73" s="521"/>
    </row>
    <row r="74" spans="1:28" ht="15.6" hidden="1" outlineLevel="1">
      <c r="A74" s="505"/>
      <c r="B74" s="1465"/>
      <c r="C74" s="1465"/>
      <c r="D74" s="1465"/>
      <c r="E74" s="1465"/>
      <c r="F74" s="1465"/>
      <c r="G74" s="1465"/>
      <c r="H74" s="5"/>
      <c r="I74" s="5"/>
      <c r="J74" s="5"/>
      <c r="K74" s="5"/>
      <c r="L74" s="5"/>
      <c r="M74" s="5"/>
      <c r="V74" s="519"/>
      <c r="W74" s="519"/>
      <c r="X74" s="505"/>
      <c r="Y74" s="505"/>
      <c r="Z74" s="520"/>
      <c r="AA74" s="521"/>
      <c r="AB74" s="521"/>
    </row>
    <row r="75" spans="1:28" ht="15.6" hidden="1" outlineLevel="1">
      <c r="A75" s="505"/>
      <c r="B75" s="1456" t="s">
        <v>975</v>
      </c>
      <c r="C75" s="1458"/>
      <c r="D75" s="1458"/>
      <c r="E75" s="1458"/>
      <c r="F75" s="1458"/>
      <c r="G75" s="1458"/>
      <c r="H75" s="5"/>
      <c r="I75" s="5"/>
      <c r="J75" s="5"/>
      <c r="K75" s="5"/>
      <c r="L75" s="5"/>
      <c r="M75" s="5"/>
      <c r="V75" s="519"/>
      <c r="W75" s="519"/>
      <c r="X75" s="505"/>
      <c r="Y75" s="505"/>
      <c r="Z75" s="520"/>
      <c r="AA75" s="521"/>
      <c r="AB75" s="521"/>
    </row>
    <row r="76" spans="1:28" ht="15.6" hidden="1" outlineLevel="1">
      <c r="A76" s="505"/>
      <c r="B76" s="1456" t="s">
        <v>976</v>
      </c>
      <c r="C76" s="1458"/>
      <c r="D76" s="1458"/>
      <c r="E76" s="1458"/>
      <c r="F76" s="1459"/>
      <c r="G76" s="1458"/>
      <c r="H76" s="5"/>
      <c r="I76" s="5"/>
      <c r="J76" s="5"/>
      <c r="K76" s="5"/>
      <c r="L76" s="5"/>
      <c r="M76" s="5"/>
      <c r="V76" s="519"/>
      <c r="W76" s="519"/>
      <c r="X76" s="505"/>
      <c r="Y76" s="505"/>
      <c r="Z76" s="520"/>
      <c r="AA76" s="521"/>
      <c r="AB76" s="521"/>
    </row>
    <row r="77" spans="1:28" ht="15.6" hidden="1" outlineLevel="1">
      <c r="A77" s="505"/>
      <c r="B77" s="1456"/>
      <c r="C77" s="1458"/>
      <c r="D77" s="1458"/>
      <c r="E77" s="1458"/>
      <c r="F77" s="1459"/>
      <c r="G77" s="1458"/>
      <c r="H77" s="5"/>
      <c r="I77" s="5"/>
      <c r="J77" s="5"/>
      <c r="K77" s="5"/>
      <c r="L77" s="5"/>
      <c r="M77" s="5"/>
      <c r="V77" s="519"/>
      <c r="W77" s="519"/>
      <c r="X77" s="505"/>
      <c r="Y77" s="505"/>
      <c r="Z77" s="520"/>
      <c r="AA77" s="521"/>
      <c r="AB77" s="521"/>
    </row>
    <row r="78" spans="1:28" ht="15.6" hidden="1" outlineLevel="1">
      <c r="A78" s="505"/>
      <c r="E78" s="1471" t="s">
        <v>481</v>
      </c>
      <c r="F78" s="1471" t="s">
        <v>977</v>
      </c>
      <c r="G78" s="1471" t="s">
        <v>978</v>
      </c>
      <c r="H78" s="1471" t="s">
        <v>967</v>
      </c>
      <c r="I78" s="1471" t="s">
        <v>979</v>
      </c>
      <c r="J78" s="1471" t="s">
        <v>123</v>
      </c>
      <c r="K78" s="1471" t="s">
        <v>980</v>
      </c>
      <c r="L78" s="5"/>
      <c r="M78" s="5"/>
      <c r="V78" s="519"/>
      <c r="W78" s="519"/>
      <c r="X78" s="505"/>
      <c r="Y78" s="505"/>
      <c r="Z78" s="520"/>
      <c r="AA78" s="521"/>
      <c r="AB78" s="521"/>
    </row>
    <row r="79" spans="1:28" ht="18" hidden="1" outlineLevel="1">
      <c r="A79" s="505"/>
      <c r="C79" s="1504" t="str">
        <f>+D14</f>
        <v>SYE 22</v>
      </c>
      <c r="E79" s="1468">
        <f>+D55</f>
        <v>250</v>
      </c>
      <c r="F79" s="1468">
        <f>B61</f>
        <v>45</v>
      </c>
      <c r="G79" s="1468">
        <f>B65-D61-C63-B73-E71</f>
        <v>10</v>
      </c>
      <c r="H79" s="1468">
        <f>B67-C65-D63-E61-D71-E71-B73</f>
        <v>144</v>
      </c>
      <c r="I79" s="1468">
        <f>B63-C61-C71-D71</f>
        <v>51</v>
      </c>
      <c r="J79" s="1475">
        <f>SUM(E79:I79)</f>
        <v>500</v>
      </c>
      <c r="K79" s="633">
        <f>+J79-D54</f>
        <v>0</v>
      </c>
      <c r="L79" s="5"/>
      <c r="M79" s="5"/>
      <c r="V79" s="519"/>
      <c r="W79" s="519"/>
      <c r="X79" s="505"/>
      <c r="Y79" s="505"/>
      <c r="Z79" s="520"/>
      <c r="AA79" s="521"/>
      <c r="AB79" s="521"/>
    </row>
    <row r="80" spans="1:28" ht="15.6" hidden="1" outlineLevel="1">
      <c r="A80" s="505"/>
      <c r="D80" s="1500" t="s">
        <v>981</v>
      </c>
      <c r="E80" s="1501">
        <f t="shared" ref="E80:J80" si="16">+E79/$J$79</f>
        <v>0.5</v>
      </c>
      <c r="F80" s="1501">
        <f t="shared" si="16"/>
        <v>0.09</v>
      </c>
      <c r="G80" s="1501">
        <f t="shared" si="16"/>
        <v>0.02</v>
      </c>
      <c r="H80" s="1528">
        <f t="shared" si="16"/>
        <v>0.28799999999999998</v>
      </c>
      <c r="I80" s="1501">
        <f t="shared" si="16"/>
        <v>0.10199999999999999</v>
      </c>
      <c r="J80" s="1501">
        <f t="shared" si="16"/>
        <v>1</v>
      </c>
      <c r="L80" s="5"/>
      <c r="M80" s="5"/>
      <c r="V80" s="519"/>
      <c r="W80" s="519"/>
      <c r="X80" s="505"/>
      <c r="Y80" s="505"/>
      <c r="Z80" s="520"/>
      <c r="AA80" s="521"/>
      <c r="AB80" s="521"/>
    </row>
    <row r="81" spans="1:28" ht="15.6" hidden="1" outlineLevel="1">
      <c r="A81" s="505"/>
      <c r="D81" s="1500" t="s">
        <v>982</v>
      </c>
      <c r="E81" s="1502">
        <v>0</v>
      </c>
      <c r="F81" s="1502">
        <f>+D41</f>
        <v>0.38284007225232736</v>
      </c>
      <c r="G81" s="1502">
        <f>+D42</f>
        <v>0.24</v>
      </c>
      <c r="H81" s="1502">
        <f>+D43</f>
        <v>0.03</v>
      </c>
      <c r="I81" s="1502">
        <f>+D44</f>
        <v>0.12</v>
      </c>
      <c r="J81" s="1461"/>
      <c r="L81" s="5"/>
      <c r="M81" s="5"/>
      <c r="V81" s="519"/>
      <c r="W81" s="519"/>
      <c r="X81" s="505"/>
      <c r="Y81" s="505"/>
      <c r="Z81" s="520"/>
      <c r="AA81" s="521"/>
      <c r="AB81" s="521"/>
    </row>
    <row r="82" spans="1:28" ht="15.6" hidden="1" outlineLevel="1">
      <c r="A82" s="505"/>
      <c r="E82" s="1469"/>
      <c r="F82" s="1469"/>
      <c r="G82" s="1469"/>
      <c r="H82" s="1469"/>
      <c r="I82" s="1469"/>
      <c r="J82" s="1461"/>
      <c r="L82" s="5"/>
      <c r="M82" s="5"/>
      <c r="V82" s="519"/>
      <c r="W82" s="519"/>
      <c r="X82" s="505"/>
      <c r="Y82" s="505"/>
      <c r="Z82" s="520"/>
      <c r="AA82" s="521"/>
      <c r="AB82" s="521"/>
    </row>
    <row r="83" spans="1:28" ht="15.6" hidden="1" outlineLevel="1">
      <c r="A83" s="505"/>
      <c r="B83" s="1" t="s">
        <v>983</v>
      </c>
      <c r="E83" s="1496" t="s">
        <v>984</v>
      </c>
      <c r="F83" s="1469"/>
      <c r="G83" s="1469"/>
      <c r="H83" s="1469"/>
      <c r="I83" s="1469"/>
      <c r="J83" s="1461"/>
      <c r="L83" s="5"/>
      <c r="M83" s="5"/>
      <c r="V83" s="519"/>
      <c r="W83" s="519"/>
      <c r="X83" s="505"/>
      <c r="Y83" s="505"/>
      <c r="Z83" s="520"/>
      <c r="AA83" s="521"/>
      <c r="AB83" s="521"/>
    </row>
    <row r="84" spans="1:28" ht="15.6" hidden="1" outlineLevel="1">
      <c r="A84" s="505"/>
      <c r="C84" s="1492" t="s">
        <v>985</v>
      </c>
      <c r="D84" s="1"/>
      <c r="E84" s="1496" t="s">
        <v>986</v>
      </c>
      <c r="F84" s="1496"/>
      <c r="G84" s="1496"/>
      <c r="H84" s="1496"/>
      <c r="I84" s="1496"/>
      <c r="J84" s="1457" t="s">
        <v>123</v>
      </c>
      <c r="L84" s="5"/>
      <c r="M84" s="5"/>
      <c r="V84" s="519"/>
      <c r="W84" s="519"/>
      <c r="X84" s="505"/>
      <c r="Y84" s="505"/>
      <c r="Z84" s="520"/>
      <c r="AA84" s="521"/>
      <c r="AB84" s="521"/>
    </row>
    <row r="85" spans="1:28" ht="15.6" hidden="1" outlineLevel="1">
      <c r="A85" s="505"/>
      <c r="B85" s="1" t="s">
        <v>987</v>
      </c>
      <c r="C85" s="1492" t="s">
        <v>988</v>
      </c>
      <c r="D85" s="1492" t="s">
        <v>285</v>
      </c>
      <c r="E85" s="1497">
        <f>+J79</f>
        <v>500</v>
      </c>
      <c r="F85" s="1498" t="s">
        <v>989</v>
      </c>
      <c r="G85" s="1496"/>
      <c r="H85" s="1496"/>
      <c r="I85" s="1496"/>
      <c r="J85" s="1457" t="s">
        <v>986</v>
      </c>
      <c r="L85" s="5"/>
      <c r="M85" s="5"/>
      <c r="V85" s="519"/>
      <c r="W85" s="519"/>
      <c r="X85" s="505"/>
      <c r="Y85" s="505"/>
      <c r="Z85" s="520"/>
      <c r="AA85" s="521"/>
      <c r="AB85" s="521"/>
    </row>
    <row r="86" spans="1:28" ht="15.6" hidden="1" outlineLevel="1">
      <c r="A86" s="505">
        <v>1</v>
      </c>
      <c r="B86" s="1553" t="str">
        <f>$B32</f>
        <v xml:space="preserve">Carson City </v>
      </c>
      <c r="C86" s="1477"/>
      <c r="D86" s="673">
        <f t="shared" ref="D86:D91" si="17">+D32</f>
        <v>7494</v>
      </c>
      <c r="E86" s="1518">
        <f>IF($C86="y",$J$79*$D86,0)</f>
        <v>0</v>
      </c>
      <c r="F86" s="1518">
        <f t="shared" ref="F86:I92" si="18">IF($C86="y",F$79*F$81*$D86,0)</f>
        <v>0</v>
      </c>
      <c r="G86" s="1518">
        <f t="shared" si="18"/>
        <v>0</v>
      </c>
      <c r="H86" s="1518">
        <f t="shared" si="18"/>
        <v>0</v>
      </c>
      <c r="I86" s="1519">
        <f t="shared" si="18"/>
        <v>0</v>
      </c>
      <c r="J86" s="1488">
        <f t="shared" ref="J86:J93" si="19">SUM(E86:I86)</f>
        <v>0</v>
      </c>
      <c r="K86" s="5"/>
      <c r="L86" s="5"/>
      <c r="M86" s="5"/>
      <c r="V86" s="519"/>
      <c r="W86" s="519"/>
      <c r="X86" s="505"/>
      <c r="Y86" s="505"/>
      <c r="Z86" s="520"/>
      <c r="AA86" s="521"/>
      <c r="AB86" s="521"/>
    </row>
    <row r="87" spans="1:28" ht="15.6" hidden="1" outlineLevel="1">
      <c r="A87" s="505">
        <f>1+A86</f>
        <v>2</v>
      </c>
      <c r="B87" s="1554" t="str">
        <f t="shared" ref="B87:B90" si="20">$B33</f>
        <v>Churchill</v>
      </c>
      <c r="C87" s="1494"/>
      <c r="D87" s="1495">
        <f t="shared" si="17"/>
        <v>8093</v>
      </c>
      <c r="E87" s="1520">
        <f t="shared" ref="E87:E91" si="21">IF($C87="y",$J$79*$D87,0)</f>
        <v>0</v>
      </c>
      <c r="F87" s="1520">
        <f t="shared" si="18"/>
        <v>0</v>
      </c>
      <c r="G87" s="1520">
        <f t="shared" si="18"/>
        <v>0</v>
      </c>
      <c r="H87" s="1520">
        <f t="shared" si="18"/>
        <v>0</v>
      </c>
      <c r="I87" s="1521">
        <f t="shared" si="18"/>
        <v>0</v>
      </c>
      <c r="J87" s="1488">
        <f t="shared" si="19"/>
        <v>0</v>
      </c>
      <c r="K87" s="5"/>
      <c r="L87" s="5"/>
      <c r="M87" s="5"/>
      <c r="V87" s="519"/>
      <c r="W87" s="519"/>
      <c r="X87" s="505"/>
      <c r="Y87" s="505"/>
      <c r="Z87" s="520"/>
      <c r="AA87" s="521"/>
      <c r="AB87" s="521"/>
    </row>
    <row r="88" spans="1:28" ht="15.6" hidden="1" outlineLevel="1">
      <c r="A88" s="505">
        <f t="shared" ref="A88:A90" si="22">1+A87</f>
        <v>3</v>
      </c>
      <c r="B88" s="1554" t="str">
        <f t="shared" si="20"/>
        <v>Clark</v>
      </c>
      <c r="C88" s="1494" t="s">
        <v>990</v>
      </c>
      <c r="D88" s="1495">
        <f t="shared" si="17"/>
        <v>7197</v>
      </c>
      <c r="E88" s="1520">
        <f t="shared" si="21"/>
        <v>3598500</v>
      </c>
      <c r="F88" s="1520">
        <f t="shared" si="18"/>
        <v>123988.50000000001</v>
      </c>
      <c r="G88" s="1520">
        <f t="shared" si="18"/>
        <v>17272.8</v>
      </c>
      <c r="H88" s="1520">
        <f t="shared" si="18"/>
        <v>31091.040000000001</v>
      </c>
      <c r="I88" s="1521">
        <f t="shared" si="18"/>
        <v>44045.64</v>
      </c>
      <c r="J88" s="1488">
        <f t="shared" si="19"/>
        <v>3814897.98</v>
      </c>
      <c r="K88" s="5"/>
      <c r="L88" s="5"/>
      <c r="M88" s="5"/>
      <c r="V88" s="519"/>
      <c r="W88" s="519"/>
      <c r="X88" s="505"/>
      <c r="Y88" s="505"/>
      <c r="Z88" s="520"/>
      <c r="AA88" s="521"/>
      <c r="AB88" s="521"/>
    </row>
    <row r="89" spans="1:28" ht="15.6" hidden="1" outlineLevel="1">
      <c r="A89" s="505">
        <f t="shared" si="22"/>
        <v>4</v>
      </c>
      <c r="B89" s="1554" t="str">
        <f t="shared" si="20"/>
        <v>Elko</v>
      </c>
      <c r="C89" s="1494"/>
      <c r="D89" s="1495">
        <f t="shared" si="17"/>
        <v>7715</v>
      </c>
      <c r="E89" s="1522">
        <f t="shared" si="21"/>
        <v>0</v>
      </c>
      <c r="F89" s="1522">
        <f t="shared" si="18"/>
        <v>0</v>
      </c>
      <c r="G89" s="1522">
        <f t="shared" si="18"/>
        <v>0</v>
      </c>
      <c r="H89" s="1522">
        <f t="shared" si="18"/>
        <v>0</v>
      </c>
      <c r="I89" s="1523">
        <f t="shared" si="18"/>
        <v>0</v>
      </c>
      <c r="J89" s="1488">
        <f t="shared" si="19"/>
        <v>0</v>
      </c>
      <c r="K89" s="5"/>
      <c r="L89" s="5"/>
      <c r="M89" s="5"/>
      <c r="V89" s="519"/>
      <c r="W89" s="519"/>
      <c r="X89" s="505"/>
      <c r="Y89" s="505"/>
      <c r="Z89" s="520"/>
      <c r="AA89" s="521"/>
      <c r="AB89" s="521"/>
    </row>
    <row r="90" spans="1:28" ht="15.6" hidden="1" outlineLevel="1">
      <c r="A90" s="505">
        <f t="shared" si="22"/>
        <v>5</v>
      </c>
      <c r="B90" s="1554" t="str">
        <f t="shared" si="20"/>
        <v>Washoe</v>
      </c>
      <c r="C90" s="1494"/>
      <c r="D90" s="1495">
        <f t="shared" si="17"/>
        <v>6980</v>
      </c>
      <c r="E90" s="1522">
        <f t="shared" si="21"/>
        <v>0</v>
      </c>
      <c r="F90" s="1522">
        <f t="shared" si="18"/>
        <v>0</v>
      </c>
      <c r="G90" s="1522">
        <f t="shared" si="18"/>
        <v>0</v>
      </c>
      <c r="H90" s="1522">
        <f t="shared" si="18"/>
        <v>0</v>
      </c>
      <c r="I90" s="1523">
        <f t="shared" si="18"/>
        <v>0</v>
      </c>
      <c r="J90" s="1488">
        <f t="shared" si="19"/>
        <v>0</v>
      </c>
      <c r="K90" s="5"/>
      <c r="L90" s="5"/>
      <c r="M90" s="5"/>
      <c r="V90" s="519"/>
      <c r="W90" s="519"/>
      <c r="X90" s="505"/>
      <c r="Y90" s="505"/>
      <c r="Z90" s="520"/>
      <c r="AA90" s="521"/>
      <c r="AB90" s="521"/>
    </row>
    <row r="91" spans="1:28" ht="15.6" hidden="1" outlineLevel="1">
      <c r="A91" s="505">
        <f>1+A90</f>
        <v>6</v>
      </c>
      <c r="B91" s="1553" t="str">
        <f>$B37</f>
        <v>White Pine</v>
      </c>
      <c r="C91" s="1477"/>
      <c r="D91" s="673">
        <f t="shared" si="17"/>
        <v>10367</v>
      </c>
      <c r="E91" s="1524">
        <f t="shared" si="21"/>
        <v>0</v>
      </c>
      <c r="F91" s="1524">
        <f t="shared" si="18"/>
        <v>0</v>
      </c>
      <c r="G91" s="1524">
        <f t="shared" si="18"/>
        <v>0</v>
      </c>
      <c r="H91" s="1524">
        <f t="shared" si="18"/>
        <v>0</v>
      </c>
      <c r="I91" s="1525">
        <f t="shared" si="18"/>
        <v>0</v>
      </c>
      <c r="J91" s="1489">
        <f t="shared" si="19"/>
        <v>0</v>
      </c>
      <c r="K91" s="5"/>
      <c r="L91" s="5"/>
      <c r="M91" s="5"/>
      <c r="V91" s="519"/>
      <c r="W91" s="519"/>
      <c r="X91" s="505"/>
      <c r="Y91" s="505"/>
      <c r="Z91" s="520"/>
      <c r="AA91" s="521"/>
      <c r="AB91" s="521"/>
    </row>
    <row r="92" spans="1:28" ht="15.6" hidden="1" outlineLevel="1">
      <c r="A92" s="505"/>
      <c r="B92" s="1549" t="s">
        <v>991</v>
      </c>
      <c r="C92" s="1478"/>
      <c r="D92" s="1476">
        <f>+D16</f>
        <v>6980</v>
      </c>
      <c r="E92" s="1481">
        <f>IF($C92="y",$J$79*$D92,0)</f>
        <v>0</v>
      </c>
      <c r="F92" s="1481">
        <f t="shared" si="18"/>
        <v>0</v>
      </c>
      <c r="G92" s="1481">
        <f t="shared" si="18"/>
        <v>0</v>
      </c>
      <c r="H92" s="1481">
        <f t="shared" si="18"/>
        <v>0</v>
      </c>
      <c r="I92" s="1490">
        <f t="shared" si="18"/>
        <v>0</v>
      </c>
      <c r="J92" s="1491">
        <f t="shared" si="19"/>
        <v>0</v>
      </c>
      <c r="K92" s="5" t="s">
        <v>992</v>
      </c>
      <c r="L92" s="5"/>
      <c r="M92" s="5"/>
      <c r="V92" s="519"/>
      <c r="W92" s="519"/>
      <c r="X92" s="505"/>
      <c r="Y92" s="505"/>
      <c r="Z92" s="520"/>
      <c r="AA92" s="521"/>
      <c r="AB92" s="521"/>
    </row>
    <row r="93" spans="1:28" ht="15.6" hidden="1" outlineLevel="1">
      <c r="A93" s="505"/>
      <c r="C93" s="1493" t="str">
        <f>IF(COUNTIF(C86:C92,"y")&gt;1,"Error: Select 1 area","ok")</f>
        <v>ok</v>
      </c>
      <c r="E93" s="1432">
        <f>SUM(E86:E92)</f>
        <v>3598500</v>
      </c>
      <c r="F93" s="1432">
        <f>SUM(F86:F92)</f>
        <v>123988.50000000001</v>
      </c>
      <c r="G93" s="1432">
        <f>SUM(G86:G92)</f>
        <v>17272.8</v>
      </c>
      <c r="H93" s="1432">
        <f>SUM(H86:H92)</f>
        <v>31091.040000000001</v>
      </c>
      <c r="I93" s="1432">
        <f>SUM(I86:I92)</f>
        <v>44045.64</v>
      </c>
      <c r="J93" s="1434">
        <f t="shared" si="19"/>
        <v>3814897.98</v>
      </c>
      <c r="K93" s="5"/>
      <c r="L93" s="5"/>
      <c r="M93" s="5"/>
      <c r="V93" s="519"/>
      <c r="W93" s="519"/>
      <c r="X93" s="505"/>
      <c r="Y93" s="505"/>
      <c r="Z93" s="520"/>
      <c r="AA93" s="521"/>
      <c r="AB93" s="521"/>
    </row>
    <row r="94" spans="1:28" ht="15.6" hidden="1" outlineLevel="1">
      <c r="A94" s="505"/>
      <c r="B94" s="1529"/>
      <c r="C94" s="1529"/>
      <c r="D94" s="1529" t="s">
        <v>285</v>
      </c>
      <c r="E94" s="1530">
        <f>+E93/J79</f>
        <v>7197</v>
      </c>
      <c r="F94" s="1530">
        <f>+F93/F79</f>
        <v>2755.3</v>
      </c>
      <c r="G94" s="1530">
        <f>+G93/G79</f>
        <v>1727.28</v>
      </c>
      <c r="H94" s="1530">
        <f>+H93/H79</f>
        <v>215.91</v>
      </c>
      <c r="I94" s="1530">
        <f>+I93/I79</f>
        <v>863.64</v>
      </c>
      <c r="J94" s="1530">
        <f>+J93/J79</f>
        <v>7629.7959600000004</v>
      </c>
      <c r="K94" s="1527"/>
      <c r="L94" s="5"/>
      <c r="M94" s="5"/>
      <c r="V94" s="519"/>
      <c r="W94" s="519"/>
      <c r="X94" s="505"/>
      <c r="Y94" s="505"/>
      <c r="Z94" s="520"/>
      <c r="AA94" s="521"/>
      <c r="AB94" s="521"/>
    </row>
    <row r="95" spans="1:28" ht="15.6" hidden="1" outlineLevel="1">
      <c r="A95" s="505"/>
      <c r="B95" s="1529"/>
      <c r="C95" s="1529"/>
      <c r="D95" s="1529"/>
      <c r="E95" s="1531">
        <f t="shared" ref="E95:J95" si="23">+E94/$E$94</f>
        <v>1</v>
      </c>
      <c r="F95" s="1531">
        <f t="shared" si="23"/>
        <v>0.38284007225232736</v>
      </c>
      <c r="G95" s="1531">
        <f t="shared" si="23"/>
        <v>0.24</v>
      </c>
      <c r="H95" s="1531">
        <f t="shared" si="23"/>
        <v>0.03</v>
      </c>
      <c r="I95" s="1531">
        <f t="shared" si="23"/>
        <v>0.12</v>
      </c>
      <c r="J95" s="1531">
        <f t="shared" si="23"/>
        <v>1.0601356065027094</v>
      </c>
      <c r="K95" s="1527"/>
      <c r="L95" s="5"/>
      <c r="M95" s="5"/>
      <c r="V95" s="519"/>
      <c r="W95" s="519"/>
      <c r="X95" s="505"/>
      <c r="Y95" s="505"/>
      <c r="Z95" s="520"/>
      <c r="AA95" s="521"/>
      <c r="AB95" s="521"/>
    </row>
    <row r="96" spans="1:28" ht="15.6" hidden="1" outlineLevel="1" collapsed="1">
      <c r="A96" s="505"/>
      <c r="B96" s="1529"/>
      <c r="C96" s="1529"/>
      <c r="D96" s="1529"/>
      <c r="E96" s="1531"/>
      <c r="F96" s="1531"/>
      <c r="G96" s="1531"/>
      <c r="H96" s="1531"/>
      <c r="I96" s="1531"/>
      <c r="J96" s="1531"/>
      <c r="K96" s="1527"/>
      <c r="L96" s="5"/>
      <c r="M96" s="5"/>
      <c r="V96" s="519"/>
      <c r="W96" s="519"/>
      <c r="X96" s="505"/>
      <c r="Y96" s="505"/>
      <c r="Z96" s="520"/>
      <c r="AA96" s="521"/>
      <c r="AB96" s="521"/>
    </row>
    <row r="97" spans="1:28" ht="15.6" hidden="1" outlineLevel="1">
      <c r="A97" s="505"/>
      <c r="E97" s="1471" t="s">
        <v>481</v>
      </c>
      <c r="F97" s="1471" t="s">
        <v>977</v>
      </c>
      <c r="G97" s="1471" t="s">
        <v>978</v>
      </c>
      <c r="H97" s="1471" t="s">
        <v>967</v>
      </c>
      <c r="I97" s="1471" t="s">
        <v>979</v>
      </c>
      <c r="J97" s="1471" t="s">
        <v>123</v>
      </c>
      <c r="L97" s="5"/>
      <c r="M97" s="5"/>
      <c r="V97" s="519"/>
      <c r="W97" s="519"/>
      <c r="X97" s="505"/>
      <c r="Y97" s="505"/>
      <c r="Z97" s="520"/>
      <c r="AA97" s="521"/>
      <c r="AB97" s="521"/>
    </row>
    <row r="98" spans="1:28" ht="15.6" hidden="1" outlineLevel="1">
      <c r="A98" s="505"/>
      <c r="E98" s="1468">
        <f>+E79</f>
        <v>250</v>
      </c>
      <c r="F98" s="1468">
        <f>+F79</f>
        <v>45</v>
      </c>
      <c r="G98" s="1468">
        <f>+G79</f>
        <v>10</v>
      </c>
      <c r="H98" s="1468">
        <f>+H79</f>
        <v>144</v>
      </c>
      <c r="I98" s="1468">
        <f>+I79</f>
        <v>51</v>
      </c>
      <c r="J98" s="1475">
        <f>SUM(E98:I98)</f>
        <v>500</v>
      </c>
      <c r="L98" s="5"/>
      <c r="M98" s="5"/>
      <c r="V98" s="519"/>
      <c r="W98" s="519"/>
      <c r="X98" s="505"/>
      <c r="Y98" s="505"/>
      <c r="Z98" s="520"/>
      <c r="AA98" s="521"/>
      <c r="AB98" s="521"/>
    </row>
    <row r="99" spans="1:28" ht="15.6" hidden="1" outlineLevel="1">
      <c r="A99" s="505"/>
      <c r="D99" s="1500" t="s">
        <v>981</v>
      </c>
      <c r="E99" s="1501">
        <f>+E98/$J98</f>
        <v>0.5</v>
      </c>
      <c r="F99" s="1501">
        <f t="shared" ref="F99:J99" si="24">+F98/$J98</f>
        <v>0.09</v>
      </c>
      <c r="G99" s="1501">
        <f t="shared" si="24"/>
        <v>0.02</v>
      </c>
      <c r="H99" s="1501">
        <f t="shared" si="24"/>
        <v>0.28799999999999998</v>
      </c>
      <c r="I99" s="1501">
        <f t="shared" si="24"/>
        <v>0.10199999999999999</v>
      </c>
      <c r="J99" s="1501">
        <f t="shared" si="24"/>
        <v>1</v>
      </c>
      <c r="L99" s="5"/>
      <c r="M99" s="5"/>
      <c r="V99" s="519"/>
      <c r="W99" s="519"/>
      <c r="X99" s="505"/>
      <c r="Y99" s="505"/>
      <c r="Z99" s="520"/>
      <c r="AA99" s="521"/>
      <c r="AB99" s="521"/>
    </row>
    <row r="100" spans="1:28" ht="15.6" hidden="1" outlineLevel="1">
      <c r="A100" s="505"/>
      <c r="D100" s="1500" t="s">
        <v>982</v>
      </c>
      <c r="E100" s="1502">
        <v>0</v>
      </c>
      <c r="F100" s="1502">
        <f>E41</f>
        <v>0.33</v>
      </c>
      <c r="G100" s="1502">
        <f>E42</f>
        <v>0.23</v>
      </c>
      <c r="H100" s="1502">
        <f>E43</f>
        <v>0.03</v>
      </c>
      <c r="I100" s="1502">
        <f>E44</f>
        <v>0.12</v>
      </c>
      <c r="J100" s="1461"/>
      <c r="L100" s="5"/>
      <c r="M100" s="5"/>
      <c r="V100" s="519"/>
      <c r="W100" s="519"/>
      <c r="X100" s="505"/>
      <c r="Y100" s="505"/>
      <c r="Z100" s="520"/>
      <c r="AA100" s="521"/>
      <c r="AB100" s="521"/>
    </row>
    <row r="101" spans="1:28" ht="15.6" collapsed="1">
      <c r="A101" s="505"/>
      <c r="D101" s="1500"/>
      <c r="E101" s="1646"/>
      <c r="F101" s="1646"/>
      <c r="G101" s="1646"/>
      <c r="H101" s="1646"/>
      <c r="I101" s="1646"/>
      <c r="J101" s="1461"/>
      <c r="L101" s="5"/>
      <c r="M101" s="5"/>
      <c r="V101" s="519"/>
      <c r="W101" s="519"/>
      <c r="X101" s="505"/>
      <c r="Y101" s="505"/>
      <c r="Z101" s="520"/>
      <c r="AA101" s="521"/>
      <c r="AB101" s="521"/>
    </row>
    <row r="102" spans="1:28" ht="18">
      <c r="A102" s="505"/>
      <c r="B102" t="s">
        <v>993</v>
      </c>
      <c r="C102" s="1503" t="str">
        <f>+E14</f>
        <v>SYE 23</v>
      </c>
      <c r="D102" s="1500"/>
      <c r="E102" s="1646"/>
      <c r="F102" s="1646"/>
      <c r="G102" s="1646"/>
      <c r="H102" s="1646"/>
      <c r="I102" s="1646"/>
      <c r="J102" s="1461"/>
      <c r="L102" s="5"/>
      <c r="M102" s="5"/>
      <c r="V102" s="519"/>
      <c r="W102" s="519"/>
      <c r="X102" s="505"/>
      <c r="Y102" s="505"/>
      <c r="Z102" s="520"/>
      <c r="AA102" s="521"/>
      <c r="AB102" s="521"/>
    </row>
    <row r="103" spans="1:28" ht="15.6">
      <c r="A103" s="505"/>
      <c r="D103" s="1500"/>
      <c r="E103" s="1646"/>
      <c r="F103" s="1646"/>
      <c r="G103" s="1646"/>
      <c r="H103" s="1646"/>
      <c r="I103" s="1646"/>
      <c r="J103" s="1461"/>
      <c r="L103" s="5"/>
      <c r="M103" s="5"/>
      <c r="V103" s="519"/>
      <c r="W103" s="519"/>
      <c r="X103" s="505"/>
      <c r="Y103" s="505"/>
      <c r="Z103" s="520"/>
      <c r="AA103" s="521"/>
      <c r="AB103" s="521"/>
    </row>
    <row r="104" spans="1:28" ht="15.6">
      <c r="A104" s="505"/>
      <c r="B104" s="1" t="s">
        <v>983</v>
      </c>
      <c r="E104" s="1469"/>
      <c r="F104" s="1469"/>
      <c r="G104" s="1469"/>
      <c r="H104" s="1469"/>
      <c r="I104" s="1469"/>
      <c r="J104" s="1461"/>
      <c r="L104" s="5"/>
      <c r="M104" s="5"/>
      <c r="V104" s="519"/>
      <c r="W104" s="519"/>
      <c r="X104" s="505"/>
      <c r="Y104" s="505"/>
      <c r="Z104" s="520"/>
      <c r="AA104" s="521"/>
      <c r="AB104" s="521"/>
    </row>
    <row r="105" spans="1:28" ht="15.6">
      <c r="A105" s="505"/>
      <c r="C105" s="1492" t="s">
        <v>985</v>
      </c>
      <c r="D105" s="1"/>
      <c r="E105" s="1496" t="s">
        <v>994</v>
      </c>
      <c r="F105" s="1496"/>
      <c r="G105" s="1496"/>
      <c r="H105" s="1496"/>
      <c r="I105" s="1496"/>
      <c r="J105" s="1457" t="s">
        <v>123</v>
      </c>
      <c r="L105" s="5"/>
      <c r="M105" s="5"/>
      <c r="V105" s="519"/>
      <c r="W105" s="519"/>
      <c r="X105" s="505"/>
      <c r="Y105" s="505"/>
      <c r="Z105" s="520"/>
      <c r="AA105" s="521"/>
      <c r="AB105" s="521"/>
    </row>
    <row r="106" spans="1:28" ht="15.6">
      <c r="A106" s="505"/>
      <c r="B106" s="1319" t="s">
        <v>987</v>
      </c>
      <c r="C106" s="1471" t="s">
        <v>988</v>
      </c>
      <c r="D106" s="1471" t="str">
        <f>+E31</f>
        <v>SYE 23</v>
      </c>
      <c r="E106" s="1497">
        <f>+J98</f>
        <v>500</v>
      </c>
      <c r="F106" s="1498" t="s">
        <v>989</v>
      </c>
      <c r="G106" s="1496"/>
      <c r="H106" s="1496"/>
      <c r="I106" s="1496"/>
      <c r="J106" s="1460" t="s">
        <v>986</v>
      </c>
      <c r="L106" s="5"/>
      <c r="M106" s="5"/>
      <c r="V106" s="519"/>
      <c r="W106" s="519"/>
      <c r="X106" s="505"/>
      <c r="Y106" s="505"/>
      <c r="Z106" s="520"/>
      <c r="AA106" s="521"/>
      <c r="AB106" s="521"/>
    </row>
    <row r="107" spans="1:28" ht="15.6">
      <c r="A107" s="505">
        <v>1</v>
      </c>
      <c r="B107" s="1420" t="str">
        <f t="shared" ref="B107:B112" si="25">$B32</f>
        <v xml:space="preserve">Carson City </v>
      </c>
      <c r="C107" s="1477"/>
      <c r="D107" s="1550">
        <f t="shared" ref="D107:D112" si="26">+E32</f>
        <v>7594</v>
      </c>
      <c r="E107" s="1482">
        <f t="shared" ref="E107:E113" si="27">IF($C107="y",$J$98*$D107,0)</f>
        <v>0</v>
      </c>
      <c r="F107" s="1482">
        <f t="shared" ref="F107:I113" si="28">IF($C107="y",F$98*F$100*$D107,0)</f>
        <v>0</v>
      </c>
      <c r="G107" s="1482">
        <f t="shared" si="28"/>
        <v>0</v>
      </c>
      <c r="H107" s="1482">
        <f t="shared" si="28"/>
        <v>0</v>
      </c>
      <c r="I107" s="1484">
        <f t="shared" si="28"/>
        <v>0</v>
      </c>
      <c r="J107" s="1526">
        <f t="shared" ref="J107:J114" si="29">SUM(E107:I107)</f>
        <v>0</v>
      </c>
      <c r="K107" s="5"/>
      <c r="L107" s="5"/>
      <c r="M107" s="5"/>
      <c r="V107" s="519"/>
      <c r="W107" s="519"/>
      <c r="X107" s="505"/>
      <c r="Y107" s="505"/>
      <c r="Z107" s="520"/>
      <c r="AA107" s="521"/>
      <c r="AB107" s="521"/>
    </row>
    <row r="108" spans="1:28" ht="15.6">
      <c r="A108" s="505">
        <f>1+A107</f>
        <v>2</v>
      </c>
      <c r="B108" s="1548" t="str">
        <f t="shared" si="25"/>
        <v>Churchill</v>
      </c>
      <c r="C108" s="1494"/>
      <c r="D108" s="1551">
        <f t="shared" si="26"/>
        <v>8197</v>
      </c>
      <c r="E108" s="1479">
        <f t="shared" si="27"/>
        <v>0</v>
      </c>
      <c r="F108" s="1479">
        <f t="shared" si="28"/>
        <v>0</v>
      </c>
      <c r="G108" s="1479">
        <f t="shared" si="28"/>
        <v>0</v>
      </c>
      <c r="H108" s="1479">
        <f t="shared" si="28"/>
        <v>0</v>
      </c>
      <c r="I108" s="1485">
        <f t="shared" si="28"/>
        <v>0</v>
      </c>
      <c r="J108" s="1488">
        <f t="shared" si="29"/>
        <v>0</v>
      </c>
      <c r="K108" s="5"/>
      <c r="L108" s="5"/>
      <c r="M108" s="5"/>
      <c r="V108" s="519"/>
      <c r="W108" s="519"/>
      <c r="X108" s="505"/>
      <c r="Y108" s="505"/>
      <c r="Z108" s="520"/>
      <c r="AA108" s="521"/>
      <c r="AB108" s="521"/>
    </row>
    <row r="109" spans="1:28" ht="15.6">
      <c r="A109" s="505">
        <f t="shared" ref="A109:A111" si="30">1+A108</f>
        <v>3</v>
      </c>
      <c r="B109" s="1548" t="str">
        <f t="shared" si="25"/>
        <v>Clark</v>
      </c>
      <c r="C109" s="1494"/>
      <c r="D109" s="1551">
        <f t="shared" si="26"/>
        <v>7293</v>
      </c>
      <c r="E109" s="1479">
        <f t="shared" si="27"/>
        <v>0</v>
      </c>
      <c r="F109" s="1479">
        <f t="shared" si="28"/>
        <v>0</v>
      </c>
      <c r="G109" s="1479">
        <f t="shared" si="28"/>
        <v>0</v>
      </c>
      <c r="H109" s="1479">
        <f t="shared" si="28"/>
        <v>0</v>
      </c>
      <c r="I109" s="1485">
        <f t="shared" si="28"/>
        <v>0</v>
      </c>
      <c r="J109" s="1488">
        <f t="shared" si="29"/>
        <v>0</v>
      </c>
      <c r="K109" s="5"/>
      <c r="L109" s="5"/>
      <c r="M109" s="5"/>
      <c r="V109" s="519"/>
      <c r="W109" s="519"/>
      <c r="X109" s="505"/>
      <c r="Y109" s="505"/>
      <c r="Z109" s="520"/>
      <c r="AA109" s="521"/>
      <c r="AB109" s="521"/>
    </row>
    <row r="110" spans="1:28" ht="15.6">
      <c r="A110" s="505">
        <f t="shared" si="30"/>
        <v>4</v>
      </c>
      <c r="B110" s="1548" t="str">
        <f t="shared" si="25"/>
        <v>Elko</v>
      </c>
      <c r="C110" s="1494"/>
      <c r="D110" s="1551">
        <f t="shared" si="26"/>
        <v>7818</v>
      </c>
      <c r="E110" s="1480">
        <f t="shared" si="27"/>
        <v>0</v>
      </c>
      <c r="F110" s="1480">
        <f t="shared" si="28"/>
        <v>0</v>
      </c>
      <c r="G110" s="1480">
        <f t="shared" si="28"/>
        <v>0</v>
      </c>
      <c r="H110" s="1480">
        <f t="shared" si="28"/>
        <v>0</v>
      </c>
      <c r="I110" s="1486">
        <f t="shared" si="28"/>
        <v>0</v>
      </c>
      <c r="J110" s="1488">
        <f t="shared" si="29"/>
        <v>0</v>
      </c>
      <c r="K110" s="5"/>
      <c r="L110" s="5"/>
      <c r="M110" s="5"/>
      <c r="V110" s="519"/>
      <c r="W110" s="519"/>
      <c r="X110" s="505"/>
      <c r="Y110" s="505"/>
      <c r="Z110" s="520"/>
      <c r="AA110" s="521"/>
      <c r="AB110" s="521"/>
    </row>
    <row r="111" spans="1:28" ht="15.6">
      <c r="A111" s="505">
        <f t="shared" si="30"/>
        <v>5</v>
      </c>
      <c r="B111" s="1548" t="str">
        <f t="shared" si="25"/>
        <v>Washoe</v>
      </c>
      <c r="C111" s="1494"/>
      <c r="D111" s="1551">
        <f t="shared" si="26"/>
        <v>7074</v>
      </c>
      <c r="E111" s="1480">
        <f t="shared" si="27"/>
        <v>0</v>
      </c>
      <c r="F111" s="1480">
        <f t="shared" si="28"/>
        <v>0</v>
      </c>
      <c r="G111" s="1480">
        <f t="shared" si="28"/>
        <v>0</v>
      </c>
      <c r="H111" s="1480">
        <f t="shared" si="28"/>
        <v>0</v>
      </c>
      <c r="I111" s="1486">
        <f t="shared" si="28"/>
        <v>0</v>
      </c>
      <c r="J111" s="1488">
        <f t="shared" si="29"/>
        <v>0</v>
      </c>
      <c r="K111" s="5"/>
      <c r="L111" s="5"/>
      <c r="M111" s="5"/>
      <c r="V111" s="519"/>
      <c r="W111" s="519"/>
      <c r="X111" s="505"/>
      <c r="Y111" s="505"/>
      <c r="Z111" s="520"/>
      <c r="AA111" s="521"/>
      <c r="AB111" s="521"/>
    </row>
    <row r="112" spans="1:28" ht="15.6">
      <c r="A112" s="505">
        <f>1+A111</f>
        <v>6</v>
      </c>
      <c r="B112" s="1420" t="str">
        <f t="shared" si="25"/>
        <v>White Pine</v>
      </c>
      <c r="C112" s="1477"/>
      <c r="D112" s="1550">
        <f t="shared" si="26"/>
        <v>10501</v>
      </c>
      <c r="E112" s="1483">
        <f t="shared" si="27"/>
        <v>0</v>
      </c>
      <c r="F112" s="1483">
        <f t="shared" si="28"/>
        <v>0</v>
      </c>
      <c r="G112" s="1483">
        <f t="shared" si="28"/>
        <v>0</v>
      </c>
      <c r="H112" s="1483">
        <f t="shared" si="28"/>
        <v>0</v>
      </c>
      <c r="I112" s="1487">
        <f t="shared" si="28"/>
        <v>0</v>
      </c>
      <c r="J112" s="1489">
        <f t="shared" si="29"/>
        <v>0</v>
      </c>
      <c r="K112" s="5"/>
      <c r="L112" s="5"/>
      <c r="M112" s="5"/>
      <c r="V112" s="519"/>
      <c r="W112" s="519"/>
      <c r="X112" s="505"/>
      <c r="Y112" s="505"/>
      <c r="Z112" s="520"/>
      <c r="AA112" s="521"/>
      <c r="AB112" s="521"/>
    </row>
    <row r="113" spans="1:28" ht="15.6">
      <c r="A113" s="505"/>
      <c r="B113" s="1549" t="s">
        <v>991</v>
      </c>
      <c r="C113" s="1478" t="s">
        <v>990</v>
      </c>
      <c r="D113" s="1552">
        <f>+E16</f>
        <v>7074</v>
      </c>
      <c r="E113" s="1481">
        <f t="shared" si="27"/>
        <v>3537000</v>
      </c>
      <c r="F113" s="1481">
        <f t="shared" si="28"/>
        <v>105048.90000000001</v>
      </c>
      <c r="G113" s="1481">
        <f t="shared" si="28"/>
        <v>16270.200000000003</v>
      </c>
      <c r="H113" s="1481">
        <f t="shared" si="28"/>
        <v>30559.68</v>
      </c>
      <c r="I113" s="1490">
        <f t="shared" si="28"/>
        <v>43292.88</v>
      </c>
      <c r="J113" s="1491">
        <f t="shared" si="29"/>
        <v>3732171.66</v>
      </c>
      <c r="K113" s="5" t="s">
        <v>992</v>
      </c>
      <c r="L113" s="5"/>
      <c r="M113" s="5"/>
      <c r="V113" s="519"/>
      <c r="W113" s="519"/>
      <c r="X113" s="505"/>
      <c r="Y113" s="505"/>
      <c r="Z113" s="520"/>
      <c r="AA113" s="521"/>
      <c r="AB113" s="521"/>
    </row>
    <row r="114" spans="1:28" ht="15.6">
      <c r="A114" s="505"/>
      <c r="B114" t="s">
        <v>995</v>
      </c>
      <c r="C114" s="1493"/>
      <c r="D114" s="1650">
        <v>7074</v>
      </c>
      <c r="E114" s="1432">
        <f>SUM(E107:E113)</f>
        <v>3537000</v>
      </c>
      <c r="F114" s="1432">
        <f>SUM(F107:F113)</f>
        <v>105048.90000000001</v>
      </c>
      <c r="G114" s="1432">
        <f>SUM(G107:G113)</f>
        <v>16270.200000000003</v>
      </c>
      <c r="H114" s="1432">
        <f>SUM(H107:H113)</f>
        <v>30559.68</v>
      </c>
      <c r="I114" s="1432">
        <f>SUM(I107:I113)</f>
        <v>43292.88</v>
      </c>
      <c r="J114" s="1434">
        <f t="shared" si="29"/>
        <v>3732171.66</v>
      </c>
      <c r="K114" s="5"/>
      <c r="L114" s="5"/>
      <c r="M114" s="5"/>
      <c r="V114" s="519"/>
      <c r="W114" s="519"/>
      <c r="X114" s="505"/>
      <c r="Y114" s="505"/>
      <c r="Z114" s="520"/>
      <c r="AA114" s="521"/>
      <c r="AB114" s="521"/>
    </row>
    <row r="115" spans="1:28" ht="15.6">
      <c r="A115" s="505"/>
      <c r="B115" t="s">
        <v>996</v>
      </c>
      <c r="D115" s="1651">
        <f>+D116</f>
        <v>7074</v>
      </c>
      <c r="E115" s="1461"/>
      <c r="F115" s="1461"/>
      <c r="G115" s="1461"/>
      <c r="H115" s="1461"/>
      <c r="I115" s="5"/>
      <c r="J115" s="5"/>
      <c r="K115" s="5"/>
      <c r="L115" s="5"/>
      <c r="M115" s="5"/>
      <c r="V115" s="519"/>
      <c r="W115" s="519"/>
      <c r="X115" s="505"/>
      <c r="Y115" s="505"/>
      <c r="Z115" s="520"/>
      <c r="AA115" s="521"/>
      <c r="AB115" s="521"/>
    </row>
    <row r="116" spans="1:28" ht="15.6">
      <c r="A116" s="505"/>
      <c r="D116" s="1652">
        <f>+D114*D12</f>
        <v>7074</v>
      </c>
      <c r="E116" s="1461"/>
      <c r="F116" s="1461"/>
      <c r="G116" s="1461"/>
      <c r="H116" s="1461"/>
      <c r="I116" s="5"/>
      <c r="J116" s="5"/>
      <c r="K116" s="5"/>
      <c r="L116" s="5"/>
      <c r="M116" s="5"/>
      <c r="V116" s="519"/>
      <c r="W116" s="519"/>
      <c r="X116" s="505"/>
      <c r="Y116" s="505"/>
      <c r="Z116" s="520"/>
      <c r="AA116" s="521"/>
      <c r="AB116" s="521"/>
    </row>
    <row r="117" spans="1:28" ht="15.6">
      <c r="A117" s="505"/>
      <c r="D117" s="1652"/>
      <c r="E117" s="1461"/>
      <c r="F117" s="1461"/>
      <c r="G117" s="1461"/>
      <c r="H117" s="1461"/>
      <c r="I117" s="5"/>
      <c r="J117" s="5"/>
      <c r="K117" s="5"/>
      <c r="L117" s="5"/>
      <c r="M117" s="5"/>
      <c r="V117" s="519"/>
      <c r="W117" s="519"/>
      <c r="X117" s="505"/>
      <c r="Y117" s="505"/>
      <c r="Z117" s="520"/>
      <c r="AA117" s="521"/>
      <c r="AB117" s="521"/>
    </row>
    <row r="118" spans="1:28" ht="30">
      <c r="A118" s="505"/>
      <c r="E118" s="1828" t="s">
        <v>1300</v>
      </c>
      <c r="F118" s="1828" t="s">
        <v>1301</v>
      </c>
      <c r="G118" s="1828" t="s">
        <v>1302</v>
      </c>
      <c r="H118" s="1461"/>
      <c r="I118" s="5"/>
      <c r="V118" s="519"/>
      <c r="W118" s="519"/>
      <c r="X118" s="505"/>
      <c r="Y118" s="505"/>
      <c r="Z118" s="520"/>
      <c r="AA118" s="521"/>
      <c r="AB118" s="521"/>
    </row>
    <row r="119" spans="1:28" ht="30">
      <c r="A119" s="505"/>
      <c r="D119" s="1459"/>
      <c r="E119" s="1828" t="s">
        <v>272</v>
      </c>
      <c r="F119" s="1828" t="s">
        <v>1303</v>
      </c>
      <c r="G119" s="1828" t="s">
        <v>1304</v>
      </c>
      <c r="H119" s="1458"/>
      <c r="V119" s="519"/>
      <c r="W119" s="519"/>
      <c r="X119" s="505"/>
      <c r="Y119" s="505"/>
      <c r="Z119" s="520"/>
      <c r="AA119" s="521"/>
      <c r="AB119" s="521"/>
    </row>
    <row r="120" spans="1:28" ht="60">
      <c r="A120" s="505"/>
      <c r="B120" s="1418"/>
      <c r="D120" s="1418"/>
      <c r="E120" s="1828" t="s">
        <v>128</v>
      </c>
      <c r="F120" s="1828" t="s">
        <v>1305</v>
      </c>
      <c r="G120" s="1828" t="s">
        <v>1306</v>
      </c>
      <c r="H120" s="5"/>
      <c r="I120" s="5"/>
      <c r="V120" s="519"/>
      <c r="W120" s="519"/>
      <c r="X120" s="505"/>
      <c r="Y120" s="505"/>
      <c r="Z120" s="520"/>
      <c r="AA120" s="521"/>
      <c r="AB120" s="521"/>
    </row>
    <row r="121" spans="1:28" ht="30">
      <c r="A121" s="505"/>
      <c r="B121" s="1418"/>
      <c r="D121" s="1418"/>
      <c r="E121" s="1828" t="s">
        <v>1307</v>
      </c>
      <c r="F121" s="1828" t="s">
        <v>1308</v>
      </c>
      <c r="G121" s="1828" t="s">
        <v>1306</v>
      </c>
      <c r="H121" s="5"/>
      <c r="I121" s="5"/>
      <c r="V121" s="519"/>
      <c r="W121" s="519"/>
      <c r="X121" s="505"/>
      <c r="Y121" s="505"/>
      <c r="Z121" s="520"/>
      <c r="AA121" s="521"/>
      <c r="AB121" s="521"/>
    </row>
    <row r="122" spans="1:28" ht="45">
      <c r="A122" s="505"/>
      <c r="B122" s="1418"/>
      <c r="D122" s="1418"/>
      <c r="E122" s="1828" t="s">
        <v>1309</v>
      </c>
      <c r="F122" s="1828" t="s">
        <v>1310</v>
      </c>
      <c r="G122" s="1828" t="s">
        <v>1311</v>
      </c>
      <c r="J122" s="518"/>
      <c r="V122" s="519"/>
      <c r="W122" s="519"/>
      <c r="X122" s="505"/>
      <c r="Y122" s="505"/>
      <c r="Z122" s="520"/>
      <c r="AA122" s="521"/>
      <c r="AB122" s="521"/>
    </row>
    <row r="123" spans="1:28" ht="15.6" hidden="1" outlineLevel="1">
      <c r="A123" s="505"/>
      <c r="B123" s="1421" t="s">
        <v>997</v>
      </c>
      <c r="C123" s="1421"/>
      <c r="D123" s="1421"/>
      <c r="E123" s="1422"/>
      <c r="F123" s="1336"/>
      <c r="G123" s="1421"/>
      <c r="H123" s="1423"/>
      <c r="I123" s="1423"/>
      <c r="J123" s="1424"/>
      <c r="V123" s="519"/>
      <c r="W123" s="519"/>
      <c r="X123" s="505"/>
      <c r="Y123" s="505"/>
      <c r="Z123" s="520"/>
      <c r="AA123" s="521"/>
      <c r="AB123" s="521"/>
    </row>
    <row r="124" spans="1:28" ht="15.6" hidden="1" outlineLevel="1">
      <c r="A124" s="505"/>
      <c r="B124" s="1415" t="s">
        <v>987</v>
      </c>
      <c r="C124" s="1415"/>
      <c r="D124" s="1415"/>
      <c r="E124" s="1416"/>
      <c r="F124" s="1332"/>
      <c r="G124" s="1415"/>
      <c r="H124" s="1416"/>
      <c r="I124" s="1416"/>
      <c r="J124" s="1417"/>
      <c r="V124" s="519"/>
      <c r="W124" s="519"/>
      <c r="X124" s="505"/>
      <c r="Y124" s="505"/>
      <c r="Z124" s="520"/>
      <c r="AA124" s="521"/>
      <c r="AB124" s="521"/>
    </row>
    <row r="125" spans="1:28" ht="15.6" hidden="1" outlineLevel="1">
      <c r="A125" s="505"/>
      <c r="B125" s="1319"/>
      <c r="C125" s="1319"/>
      <c r="D125" s="1319"/>
      <c r="E125" s="1319" t="s">
        <v>998</v>
      </c>
      <c r="F125" s="1314"/>
      <c r="G125" s="1319"/>
      <c r="H125" s="554"/>
      <c r="I125" s="554"/>
      <c r="J125" s="1409"/>
      <c r="V125" s="519"/>
      <c r="W125" s="519"/>
      <c r="X125" s="505"/>
      <c r="Y125" s="505"/>
      <c r="Z125" s="520"/>
      <c r="AA125" s="521"/>
      <c r="AB125" s="521"/>
    </row>
    <row r="126" spans="1:28" ht="15.6" hidden="1" outlineLevel="1">
      <c r="A126" s="505"/>
      <c r="B126" s="1380"/>
      <c r="C126" s="1380"/>
      <c r="D126" s="1380"/>
      <c r="E126" s="1380" t="s">
        <v>481</v>
      </c>
      <c r="F126" s="1380" t="s">
        <v>977</v>
      </c>
      <c r="G126" s="1380" t="s">
        <v>978</v>
      </c>
      <c r="H126" s="1380" t="s">
        <v>967</v>
      </c>
      <c r="I126" s="1380" t="s">
        <v>979</v>
      </c>
      <c r="J126" s="1380" t="s">
        <v>123</v>
      </c>
      <c r="V126" s="519"/>
      <c r="W126" s="519"/>
      <c r="X126" s="505"/>
      <c r="Y126" s="505"/>
      <c r="Z126" s="520"/>
      <c r="AA126" s="521"/>
      <c r="AB126" s="521"/>
    </row>
    <row r="127" spans="1:28" ht="15.6" hidden="1" outlineLevel="1">
      <c r="A127" s="505">
        <v>1</v>
      </c>
      <c r="B127" t="str">
        <f>+B$32</f>
        <v xml:space="preserve">Carson City </v>
      </c>
      <c r="E127" s="1445">
        <v>10</v>
      </c>
      <c r="F127" s="1445">
        <v>4</v>
      </c>
      <c r="G127" s="1445">
        <v>5</v>
      </c>
      <c r="H127" s="1445">
        <v>5</v>
      </c>
      <c r="I127" s="1445">
        <v>1</v>
      </c>
      <c r="J127" s="1430">
        <f t="shared" ref="J127:J133" si="31">SUM(E127:I127)</f>
        <v>25</v>
      </c>
      <c r="V127" s="519"/>
      <c r="W127" s="519"/>
      <c r="X127" s="505"/>
      <c r="Y127" s="505"/>
      <c r="Z127" s="520"/>
      <c r="AA127" s="521"/>
      <c r="AB127" s="521"/>
    </row>
    <row r="128" spans="1:28" ht="15.6" hidden="1" outlineLevel="1">
      <c r="A128" s="505">
        <f>1+A127</f>
        <v>2</v>
      </c>
      <c r="B128" t="str">
        <f>+$B$33</f>
        <v>Churchill</v>
      </c>
      <c r="E128" s="1445">
        <v>10</v>
      </c>
      <c r="F128" s="1445">
        <v>4</v>
      </c>
      <c r="G128" s="1445">
        <v>5</v>
      </c>
      <c r="H128" s="1445">
        <v>5</v>
      </c>
      <c r="I128" s="1445">
        <v>1</v>
      </c>
      <c r="J128" s="1390">
        <f t="shared" si="31"/>
        <v>25</v>
      </c>
      <c r="V128" s="519"/>
      <c r="W128" s="519"/>
      <c r="X128" s="505"/>
      <c r="Y128" s="505"/>
      <c r="Z128" s="520"/>
      <c r="AA128" s="521"/>
      <c r="AB128" s="521"/>
    </row>
    <row r="129" spans="1:28" ht="15.6" hidden="1" outlineLevel="1">
      <c r="A129" s="505">
        <f t="shared" ref="A129:A132" si="32">1+A128</f>
        <v>3</v>
      </c>
      <c r="B129" t="str">
        <f>+$B$34</f>
        <v>Clark</v>
      </c>
      <c r="E129" s="1445">
        <v>10</v>
      </c>
      <c r="F129" s="1445">
        <v>4</v>
      </c>
      <c r="G129" s="1445">
        <v>5</v>
      </c>
      <c r="H129" s="1445">
        <v>5</v>
      </c>
      <c r="I129" s="1445">
        <v>1</v>
      </c>
      <c r="J129" s="1390">
        <f t="shared" si="31"/>
        <v>25</v>
      </c>
      <c r="V129" s="519"/>
      <c r="W129" s="519"/>
      <c r="X129" s="505"/>
      <c r="Y129" s="505"/>
      <c r="Z129" s="520"/>
      <c r="AA129" s="521"/>
      <c r="AB129" s="521"/>
    </row>
    <row r="130" spans="1:28" ht="15.6" hidden="1" outlineLevel="1">
      <c r="A130" s="505">
        <f t="shared" si="32"/>
        <v>4</v>
      </c>
      <c r="B130" t="str">
        <f>+$B$35</f>
        <v>Elko</v>
      </c>
      <c r="E130" s="1445">
        <v>10</v>
      </c>
      <c r="F130" s="1445">
        <v>4</v>
      </c>
      <c r="G130" s="1445">
        <v>5</v>
      </c>
      <c r="H130" s="1445">
        <v>5</v>
      </c>
      <c r="I130" s="1445">
        <v>1</v>
      </c>
      <c r="J130" s="1390">
        <f t="shared" si="31"/>
        <v>25</v>
      </c>
      <c r="V130" s="519"/>
      <c r="W130" s="519"/>
      <c r="X130" s="505"/>
      <c r="Y130" s="505"/>
      <c r="Z130" s="520"/>
      <c r="AA130" s="521"/>
      <c r="AB130" s="521"/>
    </row>
    <row r="131" spans="1:28" ht="15.6" hidden="1" outlineLevel="1">
      <c r="A131" s="505">
        <f t="shared" si="32"/>
        <v>5</v>
      </c>
      <c r="B131" t="str">
        <f>+$B$36</f>
        <v>Washoe</v>
      </c>
      <c r="E131" s="1446">
        <v>10</v>
      </c>
      <c r="F131" s="1446">
        <v>4</v>
      </c>
      <c r="G131" s="1446">
        <v>5</v>
      </c>
      <c r="H131" s="1446">
        <v>5</v>
      </c>
      <c r="I131" s="1446">
        <v>1</v>
      </c>
      <c r="J131" s="1390">
        <f t="shared" si="31"/>
        <v>25</v>
      </c>
      <c r="V131" s="519"/>
      <c r="W131" s="519"/>
      <c r="X131" s="505"/>
      <c r="Y131" s="505"/>
      <c r="Z131" s="520"/>
      <c r="AA131" s="521"/>
      <c r="AB131" s="521"/>
    </row>
    <row r="132" spans="1:28" ht="15.6" hidden="1" outlineLevel="1">
      <c r="A132" s="505">
        <f t="shared" si="32"/>
        <v>6</v>
      </c>
      <c r="B132" t="str">
        <f>+$B$37</f>
        <v>White Pine</v>
      </c>
      <c r="E132" s="1446">
        <v>10</v>
      </c>
      <c r="F132" s="1446">
        <v>4</v>
      </c>
      <c r="G132" s="1446">
        <v>5</v>
      </c>
      <c r="H132" s="1446">
        <v>5</v>
      </c>
      <c r="I132" s="1446">
        <v>1</v>
      </c>
      <c r="J132" s="1401">
        <f t="shared" si="31"/>
        <v>25</v>
      </c>
      <c r="V132" s="519"/>
      <c r="W132" s="519"/>
      <c r="X132" s="505"/>
      <c r="Y132" s="505"/>
      <c r="Z132" s="520"/>
      <c r="AA132" s="521"/>
      <c r="AB132" s="521"/>
    </row>
    <row r="133" spans="1:28" ht="15.6" hidden="1" outlineLevel="1">
      <c r="A133" s="505"/>
      <c r="B133" s="1402" t="s">
        <v>123</v>
      </c>
      <c r="C133" s="1402"/>
      <c r="D133" s="1402"/>
      <c r="E133" s="1407">
        <f>SUM(E127:E132)</f>
        <v>60</v>
      </c>
      <c r="F133" s="1407">
        <f>SUM(F127:F132)</f>
        <v>24</v>
      </c>
      <c r="G133" s="1407">
        <f t="shared" ref="G133:I133" si="33">SUM(G127:G132)</f>
        <v>30</v>
      </c>
      <c r="H133" s="1407">
        <f t="shared" si="33"/>
        <v>30</v>
      </c>
      <c r="I133" s="1407">
        <f t="shared" si="33"/>
        <v>6</v>
      </c>
      <c r="J133" s="1407">
        <f t="shared" si="31"/>
        <v>150</v>
      </c>
      <c r="P133" s="517"/>
      <c r="Q133" s="518"/>
      <c r="R133" s="518"/>
      <c r="S133" s="518"/>
      <c r="T133" s="519"/>
      <c r="U133" s="519"/>
      <c r="V133" s="519"/>
      <c r="W133" s="519"/>
      <c r="X133" s="505"/>
      <c r="Y133" s="505"/>
      <c r="Z133" s="520"/>
      <c r="AA133" s="521"/>
      <c r="AB133" s="521"/>
    </row>
    <row r="134" spans="1:28" ht="15.6" hidden="1" outlineLevel="1">
      <c r="A134" s="505"/>
      <c r="J134" s="1395"/>
      <c r="O134" s="516"/>
      <c r="P134" s="517"/>
      <c r="Q134" s="518"/>
      <c r="R134" s="518"/>
      <c r="S134" s="518"/>
      <c r="T134" s="519"/>
      <c r="U134" s="519"/>
      <c r="V134" s="519"/>
      <c r="W134" s="519"/>
      <c r="X134" s="505"/>
      <c r="Y134" s="505"/>
      <c r="Z134" s="520"/>
      <c r="AA134" s="521"/>
      <c r="AB134" s="521"/>
    </row>
    <row r="135" spans="1:28" ht="15.6" hidden="1" outlineLevel="1">
      <c r="A135" s="505"/>
      <c r="E135" s="1319" t="s">
        <v>999</v>
      </c>
      <c r="F135" s="1314"/>
      <c r="G135" s="1319"/>
      <c r="H135" s="1319"/>
      <c r="I135" s="1319"/>
      <c r="J135" s="554"/>
      <c r="O135" s="516"/>
      <c r="P135" s="517"/>
      <c r="Q135" s="518"/>
      <c r="R135" s="518"/>
      <c r="S135" s="518"/>
      <c r="T135" s="519"/>
      <c r="U135" s="519"/>
      <c r="V135" s="519"/>
      <c r="W135" s="519"/>
      <c r="X135" s="505"/>
      <c r="Y135" s="505"/>
      <c r="Z135" s="520"/>
      <c r="AA135" s="521"/>
      <c r="AB135" s="521"/>
    </row>
    <row r="136" spans="1:28" ht="15.6" hidden="1" outlineLevel="1">
      <c r="A136" s="505"/>
      <c r="E136" s="1380" t="s">
        <v>481</v>
      </c>
      <c r="F136" s="1380" t="s">
        <v>977</v>
      </c>
      <c r="G136" s="1380" t="s">
        <v>978</v>
      </c>
      <c r="H136" s="1380" t="s">
        <v>967</v>
      </c>
      <c r="I136" s="1380" t="s">
        <v>979</v>
      </c>
      <c r="J136" s="1391"/>
      <c r="O136" s="516"/>
      <c r="P136" s="517"/>
      <c r="Q136" s="518"/>
      <c r="R136" s="518"/>
      <c r="S136" s="518"/>
      <c r="T136" s="519"/>
      <c r="U136" s="519"/>
      <c r="V136" s="519"/>
      <c r="W136" s="519"/>
      <c r="X136" s="505"/>
      <c r="Y136" s="505"/>
      <c r="Z136" s="520"/>
      <c r="AA136" s="521"/>
      <c r="AB136" s="521"/>
    </row>
    <row r="137" spans="1:28" ht="15.6" hidden="1" outlineLevel="1">
      <c r="A137" s="505"/>
      <c r="B137" s="1380" t="s">
        <v>1000</v>
      </c>
      <c r="C137" s="1380"/>
      <c r="D137" s="1380"/>
      <c r="E137" s="1449">
        <v>0</v>
      </c>
      <c r="F137" s="1440">
        <f>+D41</f>
        <v>0.38284007225232736</v>
      </c>
      <c r="G137" s="1440">
        <f>+D42</f>
        <v>0.24</v>
      </c>
      <c r="H137" s="1440">
        <f>+D43</f>
        <v>0.03</v>
      </c>
      <c r="I137" s="1440">
        <f>+D44</f>
        <v>0.12</v>
      </c>
      <c r="J137" s="1380" t="s">
        <v>123</v>
      </c>
      <c r="P137" s="517"/>
      <c r="Q137" s="518"/>
      <c r="R137" s="518"/>
      <c r="S137" s="518"/>
      <c r="T137" s="519"/>
      <c r="U137" s="519"/>
      <c r="V137" s="519"/>
      <c r="W137" s="519"/>
      <c r="X137" s="505"/>
      <c r="Y137" s="505"/>
      <c r="Z137" s="520"/>
      <c r="AA137" s="521"/>
      <c r="AB137" s="521"/>
    </row>
    <row r="138" spans="1:28" ht="15.6" hidden="1" outlineLevel="1">
      <c r="A138" s="505">
        <v>1</v>
      </c>
      <c r="B138" t="str">
        <f>+B$32</f>
        <v xml:space="preserve">Carson City </v>
      </c>
      <c r="E138" s="1393"/>
      <c r="F138" s="1394">
        <v>4</v>
      </c>
      <c r="G138" s="1394">
        <v>2</v>
      </c>
      <c r="H138" s="1394">
        <v>3</v>
      </c>
      <c r="I138" s="1394">
        <v>1</v>
      </c>
      <c r="J138" s="1430">
        <f t="shared" ref="J138:J144" si="34">SUM(E138:I138)</f>
        <v>10</v>
      </c>
      <c r="P138" s="517"/>
      <c r="Q138" s="518"/>
      <c r="R138" s="518"/>
      <c r="S138" s="518"/>
      <c r="T138" s="519"/>
      <c r="U138" s="519"/>
      <c r="V138" s="519"/>
      <c r="W138" s="519"/>
      <c r="X138" s="505"/>
      <c r="Y138" s="505"/>
      <c r="Z138" s="520"/>
      <c r="AA138" s="521"/>
      <c r="AB138" s="521"/>
    </row>
    <row r="139" spans="1:28" ht="15.6" hidden="1" outlineLevel="1">
      <c r="A139" s="505">
        <f>1+A138</f>
        <v>2</v>
      </c>
      <c r="B139" t="str">
        <f>+$B$33</f>
        <v>Churchill</v>
      </c>
      <c r="E139" s="1393"/>
      <c r="F139" s="1396">
        <v>4</v>
      </c>
      <c r="G139" s="1396">
        <v>2</v>
      </c>
      <c r="H139" s="1396">
        <v>3</v>
      </c>
      <c r="I139" s="1396">
        <v>1</v>
      </c>
      <c r="J139" s="1390">
        <f t="shared" si="34"/>
        <v>10</v>
      </c>
      <c r="P139" s="517"/>
      <c r="Q139" s="518"/>
      <c r="R139" s="518"/>
      <c r="S139" s="518"/>
      <c r="T139" s="519"/>
      <c r="U139" s="519"/>
      <c r="V139" s="519"/>
      <c r="W139" s="519"/>
      <c r="X139" s="505"/>
      <c r="Y139" s="505"/>
      <c r="Z139" s="520"/>
      <c r="AA139" s="521"/>
      <c r="AB139" s="521"/>
    </row>
    <row r="140" spans="1:28" ht="15.6" hidden="1" outlineLevel="1">
      <c r="A140" s="505">
        <f t="shared" ref="A140:A143" si="35">1+A139</f>
        <v>3</v>
      </c>
      <c r="B140" t="str">
        <f>+$B$34</f>
        <v>Clark</v>
      </c>
      <c r="E140" s="1393"/>
      <c r="F140" s="1396">
        <v>4</v>
      </c>
      <c r="G140" s="1396">
        <v>2</v>
      </c>
      <c r="H140" s="1396">
        <v>3</v>
      </c>
      <c r="I140" s="1396">
        <v>1</v>
      </c>
      <c r="J140" s="1390">
        <f t="shared" si="34"/>
        <v>10</v>
      </c>
      <c r="P140" s="517"/>
      <c r="Q140" s="518"/>
      <c r="R140" s="518"/>
      <c r="S140" s="518"/>
      <c r="T140" s="519"/>
      <c r="U140" s="519"/>
      <c r="V140" s="519"/>
      <c r="W140" s="519"/>
      <c r="X140" s="505"/>
      <c r="Y140" s="505"/>
      <c r="Z140" s="520"/>
      <c r="AA140" s="521"/>
      <c r="AB140" s="521"/>
    </row>
    <row r="141" spans="1:28" ht="15.6" hidden="1" outlineLevel="1">
      <c r="A141" s="505">
        <f t="shared" si="35"/>
        <v>4</v>
      </c>
      <c r="B141" t="str">
        <f>+$B$35</f>
        <v>Elko</v>
      </c>
      <c r="E141" s="1393"/>
      <c r="F141" s="1396">
        <v>4</v>
      </c>
      <c r="G141" s="1396">
        <v>2</v>
      </c>
      <c r="H141" s="1396">
        <v>3</v>
      </c>
      <c r="I141" s="1396">
        <v>1</v>
      </c>
      <c r="J141" s="1390">
        <f t="shared" si="34"/>
        <v>10</v>
      </c>
      <c r="P141" s="517"/>
      <c r="Q141" s="518"/>
      <c r="R141" s="518"/>
      <c r="S141" s="518"/>
      <c r="T141" s="519"/>
      <c r="U141" s="519"/>
      <c r="V141" s="519"/>
      <c r="W141" s="519"/>
      <c r="X141" s="505"/>
      <c r="Y141" s="505"/>
      <c r="Z141" s="520"/>
      <c r="AA141" s="521"/>
      <c r="AB141" s="521"/>
    </row>
    <row r="142" spans="1:28" ht="15.6" hidden="1" outlineLevel="1">
      <c r="A142" s="505">
        <f t="shared" si="35"/>
        <v>5</v>
      </c>
      <c r="B142" t="str">
        <f>+$B$36</f>
        <v>Washoe</v>
      </c>
      <c r="E142" s="1393"/>
      <c r="F142" s="1396">
        <v>4</v>
      </c>
      <c r="G142" s="1396">
        <v>2</v>
      </c>
      <c r="H142" s="1396">
        <v>3</v>
      </c>
      <c r="I142" s="1396">
        <v>1</v>
      </c>
      <c r="J142" s="1390">
        <f t="shared" si="34"/>
        <v>10</v>
      </c>
      <c r="P142" s="517"/>
      <c r="Q142" s="518"/>
      <c r="R142" s="518"/>
      <c r="S142" s="518"/>
      <c r="T142" s="519"/>
      <c r="U142" s="519"/>
      <c r="V142" s="519"/>
      <c r="W142" s="519"/>
      <c r="X142" s="505"/>
      <c r="Y142" s="505"/>
      <c r="Z142" s="520"/>
      <c r="AA142" s="521"/>
      <c r="AB142" s="521"/>
    </row>
    <row r="143" spans="1:28" ht="15.6" hidden="1" outlineLevel="1">
      <c r="A143" s="505">
        <f t="shared" si="35"/>
        <v>6</v>
      </c>
      <c r="B143" t="str">
        <f>+$B$37</f>
        <v>White Pine</v>
      </c>
      <c r="E143" s="1393"/>
      <c r="F143" s="1397">
        <v>4</v>
      </c>
      <c r="G143" s="1397">
        <v>2</v>
      </c>
      <c r="H143" s="1397">
        <v>3</v>
      </c>
      <c r="I143" s="1397">
        <v>1</v>
      </c>
      <c r="J143" s="1401">
        <f t="shared" si="34"/>
        <v>10</v>
      </c>
      <c r="P143" s="517"/>
      <c r="Q143" s="518"/>
      <c r="R143" s="518"/>
      <c r="S143" s="518"/>
      <c r="T143" s="519"/>
      <c r="U143" s="519"/>
      <c r="V143" s="519"/>
      <c r="W143" s="519"/>
      <c r="X143" s="505"/>
      <c r="Y143" s="505"/>
      <c r="Z143" s="520"/>
      <c r="AA143" s="521"/>
      <c r="AB143" s="521"/>
    </row>
    <row r="144" spans="1:28" ht="15.6" hidden="1" outlineLevel="1">
      <c r="A144" s="505"/>
      <c r="B144" s="1402" t="s">
        <v>123</v>
      </c>
      <c r="C144" s="1402"/>
      <c r="D144" s="1402"/>
      <c r="E144" s="1448"/>
      <c r="F144" s="1399">
        <f t="shared" ref="F144" si="36">SUM(F138:F143)</f>
        <v>24</v>
      </c>
      <c r="G144" s="1399">
        <f t="shared" ref="G144" si="37">SUM(G138:G143)</f>
        <v>12</v>
      </c>
      <c r="H144" s="1399">
        <f t="shared" ref="H144" si="38">SUM(H138:H143)</f>
        <v>18</v>
      </c>
      <c r="I144" s="1399">
        <f t="shared" ref="I144" si="39">SUM(I138:I143)</f>
        <v>6</v>
      </c>
      <c r="J144" s="1407">
        <f t="shared" si="34"/>
        <v>60</v>
      </c>
      <c r="O144" s="516"/>
      <c r="P144" s="517"/>
      <c r="Q144" s="518"/>
      <c r="R144" s="518"/>
      <c r="S144" s="518"/>
      <c r="T144" s="519"/>
      <c r="U144" s="519"/>
      <c r="V144" s="519"/>
      <c r="W144" s="519"/>
      <c r="X144" s="505"/>
      <c r="Y144" s="505"/>
      <c r="Z144" s="520"/>
      <c r="AA144" s="521"/>
      <c r="AB144" s="521"/>
    </row>
    <row r="145" spans="1:28" ht="15.6" hidden="1" outlineLevel="1">
      <c r="A145" s="505"/>
      <c r="O145" s="516"/>
      <c r="P145" s="517"/>
      <c r="Q145" s="518"/>
      <c r="R145" s="518"/>
      <c r="S145" s="518"/>
      <c r="T145" s="519"/>
      <c r="U145" s="519"/>
      <c r="V145" s="519"/>
      <c r="W145" s="519"/>
      <c r="X145" s="505"/>
      <c r="Y145" s="505"/>
      <c r="Z145" s="520"/>
      <c r="AA145" s="521"/>
      <c r="AB145" s="521"/>
    </row>
    <row r="146" spans="1:28" ht="15.6" hidden="1" outlineLevel="1">
      <c r="A146" s="505"/>
      <c r="E146" s="1" t="s">
        <v>1001</v>
      </c>
      <c r="F146" s="1"/>
      <c r="G146" s="554"/>
      <c r="H146" s="554"/>
      <c r="I146" s="554"/>
      <c r="O146" s="516"/>
      <c r="P146" s="517"/>
      <c r="Q146" s="518"/>
      <c r="R146" s="518"/>
      <c r="S146" s="518"/>
      <c r="T146" s="519"/>
      <c r="U146" s="519"/>
      <c r="V146" s="519"/>
      <c r="W146" s="519"/>
      <c r="X146" s="505"/>
      <c r="Y146" s="505"/>
      <c r="Z146" s="520"/>
      <c r="AA146" s="521"/>
      <c r="AB146" s="521"/>
    </row>
    <row r="147" spans="1:28" ht="15.6" hidden="1" outlineLevel="1">
      <c r="A147" s="505"/>
      <c r="E147" s="1403" t="s">
        <v>481</v>
      </c>
      <c r="F147" s="1403" t="s">
        <v>977</v>
      </c>
      <c r="G147" s="1380" t="s">
        <v>978</v>
      </c>
      <c r="H147" s="1380" t="s">
        <v>967</v>
      </c>
      <c r="I147" s="1380" t="s">
        <v>979</v>
      </c>
      <c r="J147" s="1403" t="s">
        <v>123</v>
      </c>
      <c r="K147" s="519"/>
      <c r="O147" s="516"/>
      <c r="P147" s="517"/>
      <c r="Q147" s="518"/>
      <c r="R147" s="518"/>
      <c r="S147" s="518"/>
      <c r="T147" s="519"/>
      <c r="U147" s="519"/>
      <c r="V147" s="519"/>
      <c r="W147" s="519"/>
      <c r="X147" s="505"/>
      <c r="Y147" s="505"/>
      <c r="Z147" s="520"/>
      <c r="AA147" s="521"/>
      <c r="AB147" s="521"/>
    </row>
    <row r="148" spans="1:28" ht="15.6" hidden="1" outlineLevel="1">
      <c r="A148" s="505">
        <v>1</v>
      </c>
      <c r="B148" t="str">
        <f>+B$32</f>
        <v xml:space="preserve">Carson City </v>
      </c>
      <c r="E148" s="1404">
        <f>+E127-E138</f>
        <v>10</v>
      </c>
      <c r="F148" s="1404">
        <f t="shared" ref="F148:I148" si="40">+F127-F138</f>
        <v>0</v>
      </c>
      <c r="G148" s="1404">
        <f t="shared" si="40"/>
        <v>3</v>
      </c>
      <c r="H148" s="1404">
        <f t="shared" si="40"/>
        <v>2</v>
      </c>
      <c r="I148" s="1404">
        <f t="shared" si="40"/>
        <v>0</v>
      </c>
      <c r="J148" s="1395">
        <f t="shared" ref="J148:J154" si="41">SUM(E148:I148)</f>
        <v>15</v>
      </c>
      <c r="K148" s="5"/>
      <c r="O148" s="516"/>
      <c r="P148" s="517"/>
      <c r="Q148" s="518"/>
      <c r="R148" s="518"/>
      <c r="S148" s="518"/>
      <c r="T148" s="519"/>
      <c r="U148" s="519"/>
      <c r="V148" s="519"/>
      <c r="W148" s="519"/>
      <c r="X148" s="505"/>
      <c r="Y148" s="505"/>
      <c r="Z148" s="520"/>
      <c r="AA148" s="521"/>
      <c r="AB148" s="521"/>
    </row>
    <row r="149" spans="1:28" ht="15.6" hidden="1" outlineLevel="1">
      <c r="A149" s="505">
        <f>1+A148</f>
        <v>2</v>
      </c>
      <c r="B149" t="str">
        <f>+$B$33</f>
        <v>Churchill</v>
      </c>
      <c r="E149" s="1405">
        <f t="shared" ref="E149:I149" si="42">+E128-E139</f>
        <v>10</v>
      </c>
      <c r="F149" s="1405">
        <f t="shared" si="42"/>
        <v>0</v>
      </c>
      <c r="G149" s="1405">
        <f t="shared" si="42"/>
        <v>3</v>
      </c>
      <c r="H149" s="1405">
        <f t="shared" si="42"/>
        <v>2</v>
      </c>
      <c r="I149" s="1405">
        <f t="shared" si="42"/>
        <v>0</v>
      </c>
      <c r="J149" s="1395">
        <f t="shared" si="41"/>
        <v>15</v>
      </c>
      <c r="K149" s="5"/>
      <c r="O149" s="516"/>
      <c r="P149" s="517"/>
      <c r="Q149" s="518"/>
      <c r="R149" s="518"/>
      <c r="S149" s="518"/>
      <c r="T149" s="519"/>
      <c r="U149" s="519"/>
      <c r="V149" s="519"/>
      <c r="W149" s="519"/>
      <c r="X149" s="505"/>
      <c r="Y149" s="505"/>
      <c r="Z149" s="520"/>
      <c r="AA149" s="521"/>
      <c r="AB149" s="521"/>
    </row>
    <row r="150" spans="1:28" ht="15.6" hidden="1" outlineLevel="1">
      <c r="A150" s="505">
        <f t="shared" ref="A150:A153" si="43">1+A149</f>
        <v>3</v>
      </c>
      <c r="B150" t="str">
        <f>+$B$34</f>
        <v>Clark</v>
      </c>
      <c r="E150" s="1405">
        <f t="shared" ref="E150:I150" si="44">+E129-E140</f>
        <v>10</v>
      </c>
      <c r="F150" s="1405">
        <f t="shared" si="44"/>
        <v>0</v>
      </c>
      <c r="G150" s="1405">
        <f t="shared" si="44"/>
        <v>3</v>
      </c>
      <c r="H150" s="1405">
        <f t="shared" si="44"/>
        <v>2</v>
      </c>
      <c r="I150" s="1405">
        <f t="shared" si="44"/>
        <v>0</v>
      </c>
      <c r="J150" s="1395">
        <f t="shared" si="41"/>
        <v>15</v>
      </c>
      <c r="K150" s="5"/>
      <c r="O150" s="516"/>
      <c r="P150" s="517"/>
      <c r="Q150" s="518"/>
      <c r="R150" s="518"/>
      <c r="S150" s="518"/>
      <c r="T150" s="519"/>
      <c r="U150" s="519"/>
      <c r="V150" s="519"/>
      <c r="W150" s="519"/>
      <c r="X150" s="505"/>
      <c r="Y150" s="505"/>
      <c r="Z150" s="520"/>
      <c r="AA150" s="521"/>
      <c r="AB150" s="521"/>
    </row>
    <row r="151" spans="1:28" ht="15.6" hidden="1" outlineLevel="1">
      <c r="A151" s="505">
        <f t="shared" si="43"/>
        <v>4</v>
      </c>
      <c r="B151" t="str">
        <f>+$B$35</f>
        <v>Elko</v>
      </c>
      <c r="E151" s="1405">
        <f t="shared" ref="E151:I151" si="45">+E130-E141</f>
        <v>10</v>
      </c>
      <c r="F151" s="1405">
        <f t="shared" si="45"/>
        <v>0</v>
      </c>
      <c r="G151" s="1405">
        <f t="shared" si="45"/>
        <v>3</v>
      </c>
      <c r="H151" s="1405">
        <f t="shared" si="45"/>
        <v>2</v>
      </c>
      <c r="I151" s="1405">
        <f t="shared" si="45"/>
        <v>0</v>
      </c>
      <c r="J151" s="1395">
        <f t="shared" si="41"/>
        <v>15</v>
      </c>
      <c r="K151" s="5"/>
      <c r="O151" s="516"/>
      <c r="P151" s="517"/>
      <c r="Q151" s="518"/>
      <c r="R151" s="518"/>
      <c r="S151" s="518"/>
      <c r="T151" s="519"/>
      <c r="U151" s="519"/>
      <c r="V151" s="519"/>
      <c r="W151" s="519"/>
      <c r="X151" s="505"/>
      <c r="Y151" s="505"/>
      <c r="Z151" s="520"/>
      <c r="AA151" s="521"/>
      <c r="AB151" s="521"/>
    </row>
    <row r="152" spans="1:28" ht="15.6" hidden="1" outlineLevel="1">
      <c r="A152" s="505">
        <f t="shared" si="43"/>
        <v>5</v>
      </c>
      <c r="B152" t="str">
        <f>+$B$36</f>
        <v>Washoe</v>
      </c>
      <c r="E152" s="1405">
        <f t="shared" ref="E152:I152" si="46">+E131-E142</f>
        <v>10</v>
      </c>
      <c r="F152" s="1405">
        <f t="shared" si="46"/>
        <v>0</v>
      </c>
      <c r="G152" s="1405">
        <f t="shared" si="46"/>
        <v>3</v>
      </c>
      <c r="H152" s="1405">
        <f t="shared" si="46"/>
        <v>2</v>
      </c>
      <c r="I152" s="1405">
        <f t="shared" si="46"/>
        <v>0</v>
      </c>
      <c r="J152" s="1395">
        <f t="shared" si="41"/>
        <v>15</v>
      </c>
      <c r="K152" s="5"/>
      <c r="O152" s="516"/>
      <c r="P152" s="517"/>
      <c r="Q152" s="518"/>
      <c r="R152" s="518"/>
      <c r="S152" s="518"/>
      <c r="T152" s="519"/>
      <c r="U152" s="519"/>
      <c r="V152" s="519"/>
      <c r="W152" s="519"/>
      <c r="X152" s="505"/>
      <c r="Y152" s="505"/>
      <c r="Z152" s="520"/>
      <c r="AA152" s="521"/>
      <c r="AB152" s="521"/>
    </row>
    <row r="153" spans="1:28" ht="15.6" hidden="1" outlineLevel="1">
      <c r="A153" s="505">
        <f t="shared" si="43"/>
        <v>6</v>
      </c>
      <c r="B153" t="str">
        <f>+$B$37</f>
        <v>White Pine</v>
      </c>
      <c r="E153" s="1406">
        <f t="shared" ref="E153:I153" si="47">+E132-E143</f>
        <v>10</v>
      </c>
      <c r="F153" s="1406">
        <f t="shared" si="47"/>
        <v>0</v>
      </c>
      <c r="G153" s="1406">
        <f t="shared" si="47"/>
        <v>3</v>
      </c>
      <c r="H153" s="1406">
        <f t="shared" si="47"/>
        <v>2</v>
      </c>
      <c r="I153" s="1406">
        <f t="shared" si="47"/>
        <v>0</v>
      </c>
      <c r="J153" s="1395">
        <f t="shared" si="41"/>
        <v>15</v>
      </c>
      <c r="K153" s="5"/>
      <c r="O153" s="516"/>
      <c r="P153" s="517"/>
      <c r="Q153" s="518"/>
      <c r="R153" s="518"/>
      <c r="S153" s="518"/>
      <c r="T153" s="519"/>
      <c r="U153" s="519"/>
      <c r="V153" s="519"/>
      <c r="W153" s="519"/>
      <c r="X153" s="505"/>
      <c r="Y153" s="505"/>
      <c r="Z153" s="520"/>
      <c r="AA153" s="521"/>
      <c r="AB153" s="521"/>
    </row>
    <row r="154" spans="1:28" ht="15.6" hidden="1" outlineLevel="1">
      <c r="A154" s="505"/>
      <c r="B154" s="1402" t="s">
        <v>123</v>
      </c>
      <c r="C154" s="1402"/>
      <c r="D154" s="1402"/>
      <c r="E154" s="1399">
        <f>SUM(E148:E153)</f>
        <v>60</v>
      </c>
      <c r="F154" s="1399">
        <f t="shared" ref="F154:I154" si="48">SUM(F148:F153)</f>
        <v>0</v>
      </c>
      <c r="G154" s="1399">
        <f t="shared" si="48"/>
        <v>18</v>
      </c>
      <c r="H154" s="1399">
        <f t="shared" si="48"/>
        <v>12</v>
      </c>
      <c r="I154" s="1399">
        <f t="shared" si="48"/>
        <v>0</v>
      </c>
      <c r="J154" s="1399">
        <f t="shared" si="41"/>
        <v>90</v>
      </c>
      <c r="K154" s="5"/>
      <c r="O154" s="516"/>
      <c r="P154" s="517"/>
      <c r="Q154" s="518"/>
      <c r="R154" s="518"/>
      <c r="S154" s="518"/>
      <c r="T154" s="519"/>
      <c r="U154" s="519"/>
      <c r="V154" s="519"/>
      <c r="W154" s="519"/>
      <c r="X154" s="505"/>
      <c r="Y154" s="505"/>
      <c r="Z154" s="520"/>
      <c r="AA154" s="521"/>
      <c r="AB154" s="521"/>
    </row>
    <row r="155" spans="1:28" ht="15.6" hidden="1" outlineLevel="1">
      <c r="A155" s="505"/>
      <c r="O155" s="516"/>
      <c r="P155" s="517"/>
      <c r="Q155" s="518"/>
      <c r="R155" s="518"/>
      <c r="S155" s="518"/>
      <c r="T155" s="519"/>
      <c r="U155" s="519"/>
      <c r="V155" s="519"/>
      <c r="W155" s="519"/>
      <c r="X155" s="505"/>
      <c r="Y155" s="505"/>
      <c r="Z155" s="520"/>
      <c r="AA155" s="521"/>
      <c r="AB155" s="521"/>
    </row>
    <row r="156" spans="1:28" ht="15.6" hidden="1" outlineLevel="1">
      <c r="A156" s="505"/>
      <c r="B156" s="1402" t="s">
        <v>1002</v>
      </c>
      <c r="C156" s="1402"/>
      <c r="D156" s="1402"/>
      <c r="E156" s="1399">
        <f>+E144+E154</f>
        <v>60</v>
      </c>
      <c r="F156" s="1399">
        <f t="shared" ref="F156:I156" si="49">+F144+F154</f>
        <v>24</v>
      </c>
      <c r="G156" s="1399">
        <f t="shared" si="49"/>
        <v>30</v>
      </c>
      <c r="H156" s="1399">
        <f t="shared" si="49"/>
        <v>30</v>
      </c>
      <c r="I156" s="1399">
        <f t="shared" si="49"/>
        <v>6</v>
      </c>
      <c r="J156" s="1399">
        <f>SUM(E156:I156)</f>
        <v>150</v>
      </c>
      <c r="O156" s="516"/>
      <c r="P156" s="517"/>
      <c r="Q156" s="518"/>
      <c r="R156" s="518"/>
      <c r="S156" s="518"/>
      <c r="T156" s="519"/>
      <c r="U156" s="519"/>
      <c r="V156" s="519"/>
      <c r="W156" s="519"/>
      <c r="X156" s="505"/>
      <c r="Y156" s="505"/>
      <c r="Z156" s="520"/>
      <c r="AA156" s="521"/>
      <c r="AB156" s="521"/>
    </row>
    <row r="157" spans="1:28" ht="15.6" hidden="1" outlineLevel="1">
      <c r="A157" s="505"/>
      <c r="O157" s="516"/>
      <c r="P157" s="517"/>
      <c r="Q157" s="518"/>
      <c r="R157" s="518"/>
      <c r="S157" s="518"/>
      <c r="T157" s="519"/>
      <c r="U157" s="519"/>
      <c r="V157" s="519"/>
      <c r="W157" s="519"/>
      <c r="X157" s="505"/>
      <c r="Y157" s="505"/>
      <c r="Z157" s="520"/>
      <c r="AA157" s="521"/>
      <c r="AB157" s="521"/>
    </row>
    <row r="158" spans="1:28" ht="15.6" hidden="1" outlineLevel="1">
      <c r="A158" s="505"/>
      <c r="B158" s="1421" t="s">
        <v>997</v>
      </c>
      <c r="C158" s="1421"/>
      <c r="D158" s="1421"/>
      <c r="E158" s="1422"/>
      <c r="F158" s="1336"/>
      <c r="G158" s="1421"/>
      <c r="H158" s="1423"/>
      <c r="I158" s="1423"/>
      <c r="J158" s="1424"/>
      <c r="O158" s="516"/>
      <c r="P158" s="517"/>
      <c r="Q158" s="518"/>
      <c r="R158" s="518"/>
      <c r="S158" s="518"/>
      <c r="T158" s="519"/>
      <c r="U158" s="519"/>
      <c r="V158" s="519"/>
      <c r="W158" s="519"/>
      <c r="X158" s="505"/>
      <c r="Y158" s="505"/>
      <c r="Z158" s="520"/>
      <c r="AA158" s="521"/>
      <c r="AB158" s="521"/>
    </row>
    <row r="159" spans="1:28" ht="15.6" hidden="1" outlineLevel="1">
      <c r="A159" s="505"/>
      <c r="B159" s="1415" t="s">
        <v>1003</v>
      </c>
      <c r="C159" s="1415"/>
      <c r="D159" s="1415"/>
      <c r="E159" s="1415"/>
      <c r="F159" s="1332"/>
      <c r="G159" s="1415"/>
      <c r="H159" s="1416"/>
      <c r="I159" s="1416"/>
      <c r="J159" s="1417"/>
      <c r="O159" s="516"/>
      <c r="P159" s="517"/>
      <c r="Q159" s="518"/>
      <c r="R159" s="518"/>
      <c r="S159" s="518"/>
      <c r="T159" s="519"/>
      <c r="U159" s="519"/>
      <c r="V159" s="519"/>
      <c r="W159" s="519"/>
      <c r="X159" s="505"/>
      <c r="Y159" s="505"/>
      <c r="Z159" s="520"/>
      <c r="AA159" s="521"/>
      <c r="AB159" s="521"/>
    </row>
    <row r="160" spans="1:28" ht="15.6" hidden="1" outlineLevel="2">
      <c r="A160" s="505"/>
      <c r="B160" s="1319"/>
      <c r="C160" s="1319"/>
      <c r="D160" s="1319"/>
      <c r="E160" s="1319" t="s">
        <v>998</v>
      </c>
      <c r="F160" s="1314"/>
      <c r="G160" s="1319"/>
      <c r="H160" s="554"/>
      <c r="I160" s="554"/>
      <c r="J160" s="1409"/>
      <c r="O160" s="516"/>
      <c r="P160" s="517"/>
      <c r="Q160" s="518"/>
      <c r="R160" s="518"/>
      <c r="S160" s="518"/>
      <c r="T160" s="519"/>
      <c r="U160" s="519"/>
      <c r="V160" s="519"/>
      <c r="W160" s="519"/>
      <c r="X160" s="505"/>
      <c r="Y160" s="505"/>
      <c r="Z160" s="520"/>
      <c r="AA160" s="521"/>
      <c r="AB160" s="521"/>
    </row>
    <row r="161" spans="1:28" ht="15.6" hidden="1" outlineLevel="2">
      <c r="A161" s="505"/>
      <c r="B161" s="1380"/>
      <c r="C161" s="1380"/>
      <c r="D161" s="1380"/>
      <c r="E161" s="1380" t="s">
        <v>481</v>
      </c>
      <c r="F161" s="1380" t="s">
        <v>977</v>
      </c>
      <c r="G161" s="1380" t="s">
        <v>978</v>
      </c>
      <c r="H161" s="1380" t="s">
        <v>967</v>
      </c>
      <c r="I161" s="1380" t="s">
        <v>979</v>
      </c>
      <c r="J161" s="1380" t="s">
        <v>123</v>
      </c>
      <c r="O161" s="516"/>
      <c r="P161" s="517"/>
      <c r="Q161" s="518"/>
      <c r="R161" s="518"/>
      <c r="S161" s="518"/>
      <c r="T161" s="519"/>
      <c r="U161" s="519"/>
      <c r="V161" s="519"/>
      <c r="W161" s="519"/>
      <c r="X161" s="505"/>
      <c r="Y161" s="505"/>
      <c r="Z161" s="520"/>
      <c r="AA161" s="521"/>
      <c r="AB161" s="521"/>
    </row>
    <row r="162" spans="1:28" ht="15.6" hidden="1" outlineLevel="2">
      <c r="A162" s="505">
        <v>1</v>
      </c>
      <c r="B162" t="str">
        <f>+B$32</f>
        <v xml:space="preserve">Carson City </v>
      </c>
      <c r="E162" s="1389">
        <v>100</v>
      </c>
      <c r="F162" s="1389">
        <v>40</v>
      </c>
      <c r="G162" s="1389">
        <v>50</v>
      </c>
      <c r="H162" s="1389">
        <v>50</v>
      </c>
      <c r="I162" s="1389">
        <v>2</v>
      </c>
      <c r="J162" s="1408">
        <f t="shared" ref="J162:J168" si="50">SUM(E162:I162)</f>
        <v>242</v>
      </c>
      <c r="O162" s="516"/>
      <c r="P162" s="517"/>
      <c r="Q162" s="518"/>
      <c r="R162" s="518"/>
      <c r="S162" s="518"/>
      <c r="T162" s="519"/>
      <c r="U162" s="519"/>
      <c r="V162" s="519"/>
      <c r="W162" s="519"/>
      <c r="X162" s="505"/>
      <c r="Y162" s="505"/>
      <c r="Z162" s="520"/>
      <c r="AA162" s="521"/>
      <c r="AB162" s="521"/>
    </row>
    <row r="163" spans="1:28" ht="15.6" hidden="1" outlineLevel="2">
      <c r="A163" s="505">
        <f>1+A162</f>
        <v>2</v>
      </c>
      <c r="B163" t="str">
        <f>+$B$33</f>
        <v>Churchill</v>
      </c>
      <c r="E163" s="1389"/>
      <c r="F163" s="1389">
        <v>30</v>
      </c>
      <c r="G163" s="1389">
        <v>0</v>
      </c>
      <c r="H163" s="1389">
        <v>0</v>
      </c>
      <c r="I163" s="1389">
        <v>0</v>
      </c>
      <c r="J163" s="1390">
        <f t="shared" si="50"/>
        <v>30</v>
      </c>
      <c r="O163" s="516"/>
      <c r="P163" s="517"/>
      <c r="Q163" s="518"/>
      <c r="R163" s="518"/>
      <c r="S163" s="518"/>
      <c r="T163" s="519"/>
      <c r="U163" s="519"/>
      <c r="V163" s="519"/>
      <c r="W163" s="519"/>
      <c r="X163" s="505"/>
      <c r="Y163" s="505"/>
      <c r="Z163" s="520"/>
      <c r="AA163" s="521"/>
      <c r="AB163" s="521"/>
    </row>
    <row r="164" spans="1:28" ht="15.6" hidden="1" outlineLevel="2">
      <c r="A164" s="505">
        <f t="shared" ref="A164:A167" si="51">1+A163</f>
        <v>3</v>
      </c>
      <c r="B164" t="str">
        <f>+$B$34</f>
        <v>Clark</v>
      </c>
      <c r="E164" s="1389"/>
      <c r="F164" s="1389">
        <v>30</v>
      </c>
      <c r="G164" s="1389">
        <v>0</v>
      </c>
      <c r="H164" s="1389">
        <v>0</v>
      </c>
      <c r="I164" s="1389">
        <v>0</v>
      </c>
      <c r="J164" s="1390">
        <f t="shared" si="50"/>
        <v>30</v>
      </c>
      <c r="O164" s="516"/>
      <c r="P164" s="517"/>
      <c r="Q164" s="518"/>
      <c r="R164" s="518"/>
      <c r="S164" s="518"/>
      <c r="T164" s="519"/>
      <c r="U164" s="519"/>
      <c r="V164" s="519"/>
      <c r="W164" s="519"/>
      <c r="X164" s="505"/>
      <c r="Y164" s="505"/>
      <c r="Z164" s="520"/>
      <c r="AA164" s="521"/>
      <c r="AB164" s="521"/>
    </row>
    <row r="165" spans="1:28" ht="15.6" hidden="1" outlineLevel="2">
      <c r="A165" s="505">
        <f t="shared" si="51"/>
        <v>4</v>
      </c>
      <c r="B165" t="str">
        <f>+$B$35</f>
        <v>Elko</v>
      </c>
      <c r="E165" s="1389"/>
      <c r="F165" s="1389">
        <v>5</v>
      </c>
      <c r="G165" s="1389">
        <v>0</v>
      </c>
      <c r="H165" s="1389">
        <v>0</v>
      </c>
      <c r="I165" s="1389">
        <v>0</v>
      </c>
      <c r="J165" s="1390">
        <f t="shared" si="50"/>
        <v>5</v>
      </c>
      <c r="O165" s="516"/>
      <c r="P165" s="517"/>
      <c r="Q165" s="518"/>
      <c r="R165" s="518"/>
      <c r="S165" s="518"/>
      <c r="T165" s="519"/>
      <c r="U165" s="519"/>
      <c r="V165" s="519"/>
      <c r="W165" s="519"/>
      <c r="X165" s="505"/>
      <c r="Y165" s="505"/>
      <c r="Z165" s="520"/>
      <c r="AA165" s="521"/>
      <c r="AB165" s="521"/>
    </row>
    <row r="166" spans="1:28" ht="15.6" hidden="1" outlineLevel="2">
      <c r="A166" s="505">
        <f t="shared" si="51"/>
        <v>5</v>
      </c>
      <c r="B166" t="str">
        <f>+$B$36</f>
        <v>Washoe</v>
      </c>
      <c r="E166" s="1400"/>
      <c r="F166" s="1400">
        <v>10</v>
      </c>
      <c r="G166" s="1400">
        <v>0</v>
      </c>
      <c r="H166" s="1400">
        <v>0</v>
      </c>
      <c r="I166" s="1400">
        <v>0</v>
      </c>
      <c r="J166" s="1390">
        <f t="shared" si="50"/>
        <v>10</v>
      </c>
      <c r="O166" s="516"/>
      <c r="P166" s="517"/>
      <c r="Q166" s="518"/>
      <c r="R166" s="518"/>
      <c r="S166" s="518"/>
      <c r="T166" s="519"/>
      <c r="U166" s="519"/>
      <c r="V166" s="519"/>
      <c r="W166" s="519"/>
      <c r="X166" s="505"/>
      <c r="Y166" s="505"/>
      <c r="Z166" s="520"/>
      <c r="AA166" s="521"/>
      <c r="AB166" s="521"/>
    </row>
    <row r="167" spans="1:28" ht="15.6" hidden="1" outlineLevel="2">
      <c r="A167" s="505">
        <f t="shared" si="51"/>
        <v>6</v>
      </c>
      <c r="B167" t="str">
        <f>+$B$37</f>
        <v>White Pine</v>
      </c>
      <c r="E167" s="1400"/>
      <c r="F167" s="1400">
        <v>10</v>
      </c>
      <c r="G167" s="1400">
        <v>0</v>
      </c>
      <c r="H167" s="1400">
        <v>0</v>
      </c>
      <c r="I167" s="1400">
        <v>0</v>
      </c>
      <c r="J167" s="1401">
        <f t="shared" si="50"/>
        <v>10</v>
      </c>
      <c r="O167" s="516"/>
      <c r="P167" s="517"/>
      <c r="Q167" s="518"/>
      <c r="R167" s="518"/>
      <c r="S167" s="518"/>
      <c r="T167" s="519"/>
      <c r="U167" s="519"/>
      <c r="V167" s="519"/>
      <c r="W167" s="519"/>
      <c r="X167" s="505"/>
      <c r="Y167" s="505"/>
      <c r="Z167" s="520"/>
      <c r="AA167" s="521"/>
      <c r="AB167" s="521"/>
    </row>
    <row r="168" spans="1:28" ht="15.6" hidden="1" outlineLevel="2">
      <c r="A168" s="505"/>
      <c r="B168" s="1402" t="s">
        <v>123</v>
      </c>
      <c r="C168" s="1402"/>
      <c r="D168" s="1402"/>
      <c r="E168" s="1407">
        <f>SUM(E162:E167)</f>
        <v>100</v>
      </c>
      <c r="F168" s="1407">
        <f>SUM(F162:F167)</f>
        <v>125</v>
      </c>
      <c r="G168" s="1407">
        <f t="shared" ref="G168" si="52">SUM(G162:G167)</f>
        <v>50</v>
      </c>
      <c r="H168" s="1407">
        <f t="shared" ref="H168" si="53">SUM(H162:H167)</f>
        <v>50</v>
      </c>
      <c r="I168" s="1407">
        <f t="shared" ref="I168" si="54">SUM(I162:I167)</f>
        <v>2</v>
      </c>
      <c r="J168" s="1407">
        <f t="shared" si="50"/>
        <v>327</v>
      </c>
      <c r="O168" s="516"/>
      <c r="P168" s="517"/>
      <c r="Q168" s="518"/>
      <c r="R168" s="518"/>
      <c r="S168" s="518"/>
      <c r="T168" s="519"/>
      <c r="U168" s="519"/>
      <c r="V168" s="519"/>
      <c r="W168" s="519"/>
      <c r="X168" s="505"/>
      <c r="Y168" s="505"/>
      <c r="Z168" s="520"/>
      <c r="AA168" s="521"/>
      <c r="AB168" s="521"/>
    </row>
    <row r="169" spans="1:28" ht="15.6" hidden="1" outlineLevel="2">
      <c r="A169" s="505"/>
      <c r="J169" s="1395"/>
      <c r="O169" s="516"/>
      <c r="P169" s="517"/>
      <c r="Q169" s="518"/>
      <c r="R169" s="518"/>
      <c r="S169" s="518"/>
      <c r="T169" s="519"/>
      <c r="U169" s="519"/>
      <c r="V169" s="519"/>
      <c r="W169" s="519"/>
      <c r="X169" s="505"/>
      <c r="Y169" s="505"/>
      <c r="Z169" s="520"/>
      <c r="AA169" s="521"/>
      <c r="AB169" s="521"/>
    </row>
    <row r="170" spans="1:28" ht="15.6" hidden="1" outlineLevel="2">
      <c r="A170" s="505"/>
      <c r="E170" s="1319" t="s">
        <v>1004</v>
      </c>
      <c r="F170" s="1314"/>
      <c r="G170" s="1319"/>
      <c r="H170" s="1319"/>
      <c r="I170" s="1319"/>
      <c r="J170" s="554"/>
      <c r="O170" s="516"/>
      <c r="P170" s="517"/>
      <c r="Q170" s="518"/>
      <c r="R170" s="518"/>
      <c r="S170" s="518"/>
      <c r="T170" s="519"/>
      <c r="U170" s="519"/>
      <c r="V170" s="519"/>
      <c r="W170" s="519"/>
      <c r="X170" s="505"/>
      <c r="Y170" s="505"/>
      <c r="Z170" s="520"/>
      <c r="AA170" s="521"/>
      <c r="AB170" s="521"/>
    </row>
    <row r="171" spans="1:28" ht="15.6" hidden="1" outlineLevel="2">
      <c r="A171" s="505"/>
      <c r="E171" s="1380" t="s">
        <v>481</v>
      </c>
      <c r="F171" s="1380" t="s">
        <v>977</v>
      </c>
      <c r="G171" s="1380" t="s">
        <v>978</v>
      </c>
      <c r="H171" s="1380" t="s">
        <v>967</v>
      </c>
      <c r="I171" s="1380" t="s">
        <v>979</v>
      </c>
      <c r="J171" s="1391"/>
      <c r="O171" s="516"/>
      <c r="P171" s="517"/>
      <c r="Q171" s="518"/>
      <c r="R171" s="518"/>
      <c r="S171" s="518"/>
      <c r="T171" s="519"/>
      <c r="U171" s="519"/>
      <c r="V171" s="519"/>
      <c r="W171" s="519"/>
      <c r="X171" s="505"/>
      <c r="Y171" s="505"/>
      <c r="Z171" s="520"/>
      <c r="AA171" s="521"/>
      <c r="AB171" s="521"/>
    </row>
    <row r="172" spans="1:28" ht="15.6" hidden="1" outlineLevel="2">
      <c r="A172" s="505"/>
      <c r="E172" s="1391"/>
      <c r="F172" s="1388">
        <f>+E148</f>
        <v>10</v>
      </c>
      <c r="G172" s="1388">
        <f>+E149</f>
        <v>10</v>
      </c>
      <c r="H172" s="1388">
        <f>+E150</f>
        <v>10</v>
      </c>
      <c r="I172" s="1388">
        <f>+E151</f>
        <v>10</v>
      </c>
      <c r="J172" s="1380" t="s">
        <v>123</v>
      </c>
      <c r="O172" s="516"/>
      <c r="P172" s="517"/>
      <c r="Q172" s="518"/>
      <c r="R172" s="518"/>
      <c r="S172" s="518"/>
      <c r="T172" s="519"/>
      <c r="U172" s="519"/>
      <c r="V172" s="519"/>
      <c r="W172" s="519"/>
      <c r="X172" s="505"/>
      <c r="Y172" s="505"/>
      <c r="Z172" s="520"/>
      <c r="AA172" s="521"/>
      <c r="AB172" s="521"/>
    </row>
    <row r="173" spans="1:28" ht="15.6" hidden="1" outlineLevel="2">
      <c r="A173" s="505">
        <v>1</v>
      </c>
      <c r="B173" t="str">
        <f>+B$32</f>
        <v xml:space="preserve">Carson City </v>
      </c>
      <c r="E173" s="1393"/>
      <c r="F173" s="1394">
        <v>20</v>
      </c>
      <c r="G173" s="1394">
        <v>20</v>
      </c>
      <c r="H173" s="1394">
        <v>30</v>
      </c>
      <c r="I173" s="1394">
        <v>1</v>
      </c>
      <c r="J173" s="1408">
        <f t="shared" ref="J173:J179" si="55">SUM(E173:I173)</f>
        <v>71</v>
      </c>
      <c r="O173" s="516"/>
      <c r="P173" s="517"/>
      <c r="Q173" s="518"/>
      <c r="R173" s="518"/>
      <c r="S173" s="518"/>
      <c r="T173" s="519"/>
      <c r="U173" s="519"/>
      <c r="V173" s="519"/>
      <c r="W173" s="519"/>
      <c r="X173" s="505"/>
      <c r="Y173" s="505"/>
      <c r="Z173" s="520"/>
      <c r="AA173" s="521"/>
      <c r="AB173" s="521"/>
    </row>
    <row r="174" spans="1:28" ht="15.6" hidden="1" outlineLevel="2">
      <c r="A174" s="505">
        <f>1+A173</f>
        <v>2</v>
      </c>
      <c r="B174" t="str">
        <f>+$B$33</f>
        <v>Churchill</v>
      </c>
      <c r="E174" s="1393"/>
      <c r="F174" s="1396">
        <v>0</v>
      </c>
      <c r="G174" s="1396"/>
      <c r="H174" s="1396"/>
      <c r="I174" s="1396"/>
      <c r="J174" s="1390">
        <f t="shared" si="55"/>
        <v>0</v>
      </c>
      <c r="O174" s="516"/>
      <c r="P174" s="517"/>
      <c r="Q174" s="518"/>
      <c r="R174" s="518"/>
      <c r="S174" s="518"/>
      <c r="T174" s="519"/>
      <c r="U174" s="519"/>
      <c r="V174" s="519"/>
      <c r="W174" s="519"/>
      <c r="X174" s="505"/>
      <c r="Y174" s="505"/>
      <c r="Z174" s="520"/>
      <c r="AA174" s="521"/>
      <c r="AB174" s="521"/>
    </row>
    <row r="175" spans="1:28" ht="15.6" hidden="1" outlineLevel="2">
      <c r="A175" s="505">
        <f t="shared" ref="A175:A178" si="56">1+A174</f>
        <v>3</v>
      </c>
      <c r="B175" t="str">
        <f>+$B$34</f>
        <v>Clark</v>
      </c>
      <c r="E175" s="1393"/>
      <c r="F175" s="1396">
        <v>30</v>
      </c>
      <c r="G175" s="1396"/>
      <c r="H175" s="1396"/>
      <c r="I175" s="1396"/>
      <c r="J175" s="1390">
        <f t="shared" si="55"/>
        <v>30</v>
      </c>
      <c r="O175" s="516"/>
      <c r="P175" s="517"/>
      <c r="Q175" s="518"/>
      <c r="R175" s="518"/>
      <c r="S175" s="518"/>
      <c r="T175" s="519"/>
      <c r="U175" s="519"/>
      <c r="V175" s="519"/>
      <c r="W175" s="519"/>
      <c r="X175" s="505"/>
      <c r="Y175" s="505"/>
      <c r="Z175" s="520"/>
      <c r="AA175" s="521"/>
      <c r="AB175" s="521"/>
    </row>
    <row r="176" spans="1:28" ht="15.6" hidden="1" outlineLevel="2">
      <c r="A176" s="505">
        <f t="shared" si="56"/>
        <v>4</v>
      </c>
      <c r="B176" t="str">
        <f>+$B$35</f>
        <v>Elko</v>
      </c>
      <c r="E176" s="1393"/>
      <c r="F176" s="1396">
        <v>5</v>
      </c>
      <c r="G176" s="1396"/>
      <c r="H176" s="1396"/>
      <c r="I176" s="1396"/>
      <c r="J176" s="1390">
        <f t="shared" si="55"/>
        <v>5</v>
      </c>
      <c r="O176" s="516"/>
      <c r="P176" s="517"/>
      <c r="Q176" s="518"/>
      <c r="R176" s="518"/>
      <c r="S176" s="518"/>
      <c r="T176" s="519"/>
      <c r="U176" s="519"/>
      <c r="V176" s="519"/>
      <c r="W176" s="519"/>
      <c r="X176" s="505"/>
      <c r="Y176" s="505"/>
      <c r="Z176" s="520"/>
      <c r="AA176" s="521"/>
      <c r="AB176" s="521"/>
    </row>
    <row r="177" spans="1:28" ht="15.6" hidden="1" outlineLevel="2">
      <c r="A177" s="505">
        <f t="shared" si="56"/>
        <v>5</v>
      </c>
      <c r="B177" t="str">
        <f>+$B$36</f>
        <v>Washoe</v>
      </c>
      <c r="E177" s="1393"/>
      <c r="F177" s="1396">
        <v>10</v>
      </c>
      <c r="G177" s="1396"/>
      <c r="H177" s="1396"/>
      <c r="I177" s="1396"/>
      <c r="J177" s="1390">
        <f t="shared" si="55"/>
        <v>10</v>
      </c>
      <c r="O177" s="516"/>
      <c r="P177" s="517"/>
      <c r="Q177" s="518"/>
      <c r="R177" s="518"/>
      <c r="S177" s="518"/>
      <c r="T177" s="519"/>
      <c r="U177" s="519"/>
      <c r="V177" s="519"/>
      <c r="W177" s="519"/>
      <c r="X177" s="505"/>
      <c r="Y177" s="505"/>
      <c r="Z177" s="520"/>
      <c r="AA177" s="521"/>
      <c r="AB177" s="521"/>
    </row>
    <row r="178" spans="1:28" ht="15.6" hidden="1" outlineLevel="2">
      <c r="A178" s="505">
        <f t="shared" si="56"/>
        <v>6</v>
      </c>
      <c r="B178" t="str">
        <f>+$B$37</f>
        <v>White Pine</v>
      </c>
      <c r="E178" s="1393"/>
      <c r="F178" s="1397">
        <v>0</v>
      </c>
      <c r="G178" s="1397"/>
      <c r="H178" s="1397"/>
      <c r="I178" s="1397"/>
      <c r="J178" s="1401">
        <f t="shared" si="55"/>
        <v>0</v>
      </c>
      <c r="O178" s="516"/>
      <c r="P178" s="517"/>
      <c r="Q178" s="518"/>
      <c r="R178" s="518"/>
      <c r="S178" s="518"/>
      <c r="T178" s="519"/>
      <c r="U178" s="519"/>
      <c r="V178" s="519"/>
      <c r="W178" s="519"/>
      <c r="X178" s="505"/>
      <c r="Y178" s="505"/>
      <c r="Z178" s="520"/>
      <c r="AA178" s="521"/>
      <c r="AB178" s="521"/>
    </row>
    <row r="179" spans="1:28" ht="15.6" hidden="1" outlineLevel="2">
      <c r="A179" s="505"/>
      <c r="B179" s="1402" t="s">
        <v>123</v>
      </c>
      <c r="C179" s="1402"/>
      <c r="D179" s="1402"/>
      <c r="E179" s="1398"/>
      <c r="F179" s="1399">
        <f t="shared" ref="F179" si="57">SUM(F173:F178)</f>
        <v>65</v>
      </c>
      <c r="G179" s="1399">
        <f t="shared" ref="G179" si="58">SUM(G173:G178)</f>
        <v>20</v>
      </c>
      <c r="H179" s="1399">
        <f t="shared" ref="H179" si="59">SUM(H173:H178)</f>
        <v>30</v>
      </c>
      <c r="I179" s="1399">
        <f t="shared" ref="I179" si="60">SUM(I173:I178)</f>
        <v>1</v>
      </c>
      <c r="J179" s="1407">
        <f t="shared" si="55"/>
        <v>116</v>
      </c>
      <c r="O179" s="516"/>
      <c r="P179" s="517"/>
      <c r="Q179" s="518"/>
      <c r="R179" s="518"/>
      <c r="S179" s="518"/>
      <c r="T179" s="519"/>
      <c r="U179" s="519"/>
      <c r="V179" s="519"/>
      <c r="W179" s="519"/>
      <c r="X179" s="505"/>
      <c r="Y179" s="505"/>
      <c r="Z179" s="520"/>
      <c r="AA179" s="521"/>
      <c r="AB179" s="521"/>
    </row>
    <row r="180" spans="1:28" ht="15.6" hidden="1" outlineLevel="2">
      <c r="A180" s="505"/>
      <c r="O180" s="516"/>
      <c r="P180" s="517"/>
      <c r="Q180" s="518"/>
      <c r="R180" s="518"/>
      <c r="S180" s="518"/>
      <c r="T180" s="519"/>
      <c r="U180" s="519"/>
      <c r="V180" s="519"/>
      <c r="W180" s="519"/>
      <c r="X180" s="505"/>
      <c r="Y180" s="505"/>
      <c r="Z180" s="520"/>
      <c r="AA180" s="521"/>
      <c r="AB180" s="521"/>
    </row>
    <row r="181" spans="1:28" ht="15.6" hidden="1" outlineLevel="2">
      <c r="A181" s="505"/>
      <c r="E181" s="1319"/>
      <c r="F181" s="1" t="s">
        <v>1001</v>
      </c>
      <c r="G181" s="554"/>
      <c r="H181" s="554"/>
      <c r="I181" s="554"/>
      <c r="O181" s="516"/>
      <c r="P181" s="517"/>
      <c r="Q181" s="518"/>
      <c r="R181" s="518"/>
      <c r="S181" s="518"/>
      <c r="T181" s="519"/>
      <c r="U181" s="519"/>
      <c r="V181" s="519"/>
      <c r="W181" s="519"/>
      <c r="X181" s="505"/>
      <c r="Y181" s="505"/>
      <c r="Z181" s="520"/>
      <c r="AA181" s="521"/>
      <c r="AB181" s="521"/>
    </row>
    <row r="182" spans="1:28" ht="15.6" hidden="1" outlineLevel="2">
      <c r="A182" s="505"/>
      <c r="E182" s="1380" t="s">
        <v>481</v>
      </c>
      <c r="F182" s="1403" t="s">
        <v>977</v>
      </c>
      <c r="G182" s="1380" t="s">
        <v>978</v>
      </c>
      <c r="H182" s="1380" t="s">
        <v>967</v>
      </c>
      <c r="I182" s="1380" t="s">
        <v>979</v>
      </c>
      <c r="O182" s="516"/>
      <c r="P182" s="517"/>
      <c r="Q182" s="518"/>
      <c r="R182" s="518"/>
      <c r="S182" s="518"/>
      <c r="T182" s="519"/>
      <c r="U182" s="519"/>
      <c r="V182" s="519"/>
      <c r="W182" s="519"/>
      <c r="X182" s="505"/>
      <c r="Y182" s="505"/>
      <c r="Z182" s="520"/>
      <c r="AA182" s="521"/>
      <c r="AB182" s="521"/>
    </row>
    <row r="183" spans="1:28" ht="15.6" hidden="1" outlineLevel="2">
      <c r="A183" s="505">
        <v>1</v>
      </c>
      <c r="B183" t="str">
        <f>+B$32</f>
        <v xml:space="preserve">Carson City </v>
      </c>
      <c r="E183" s="1404">
        <f>+E162-E173</f>
        <v>100</v>
      </c>
      <c r="F183" s="1404">
        <f t="shared" ref="F183:I183" si="61">+F162-F173</f>
        <v>20</v>
      </c>
      <c r="G183" s="1404">
        <f t="shared" si="61"/>
        <v>30</v>
      </c>
      <c r="H183" s="1404">
        <f t="shared" si="61"/>
        <v>20</v>
      </c>
      <c r="I183" s="1404">
        <f t="shared" si="61"/>
        <v>1</v>
      </c>
      <c r="J183" s="1395">
        <f t="shared" ref="J183:J189" si="62">SUM(E183:I183)</f>
        <v>171</v>
      </c>
      <c r="O183" s="516"/>
      <c r="P183" s="517"/>
      <c r="Q183" s="518"/>
      <c r="R183" s="518"/>
      <c r="S183" s="518"/>
      <c r="T183" s="519"/>
      <c r="U183" s="519"/>
      <c r="V183" s="519"/>
      <c r="W183" s="519"/>
      <c r="X183" s="505"/>
      <c r="Y183" s="505"/>
      <c r="Z183" s="520"/>
      <c r="AA183" s="521"/>
      <c r="AB183" s="521"/>
    </row>
    <row r="184" spans="1:28" ht="15.6" hidden="1" outlineLevel="2">
      <c r="A184" s="505">
        <f>1+A183</f>
        <v>2</v>
      </c>
      <c r="B184" t="str">
        <f>+$B$33</f>
        <v>Churchill</v>
      </c>
      <c r="E184" s="1405">
        <f t="shared" ref="E184:I184" si="63">+E163-E174</f>
        <v>0</v>
      </c>
      <c r="F184" s="1405">
        <f t="shared" si="63"/>
        <v>30</v>
      </c>
      <c r="G184" s="1405">
        <f t="shared" si="63"/>
        <v>0</v>
      </c>
      <c r="H184" s="1405">
        <f t="shared" si="63"/>
        <v>0</v>
      </c>
      <c r="I184" s="1405">
        <f t="shared" si="63"/>
        <v>0</v>
      </c>
      <c r="J184" s="1395">
        <f t="shared" si="62"/>
        <v>30</v>
      </c>
      <c r="O184" s="516"/>
      <c r="P184" s="517"/>
      <c r="Q184" s="518"/>
      <c r="R184" s="518"/>
      <c r="S184" s="518"/>
      <c r="T184" s="519"/>
      <c r="U184" s="519"/>
      <c r="V184" s="519"/>
      <c r="W184" s="519"/>
      <c r="X184" s="505"/>
      <c r="Y184" s="505"/>
      <c r="Z184" s="520"/>
      <c r="AA184" s="521"/>
      <c r="AB184" s="521"/>
    </row>
    <row r="185" spans="1:28" ht="15.6" hidden="1" outlineLevel="2">
      <c r="A185" s="505">
        <f t="shared" ref="A185:A188" si="64">1+A184</f>
        <v>3</v>
      </c>
      <c r="B185" t="str">
        <f>+$B$34</f>
        <v>Clark</v>
      </c>
      <c r="E185" s="1405">
        <f t="shared" ref="E185:I185" si="65">+E164-E175</f>
        <v>0</v>
      </c>
      <c r="F185" s="1405">
        <f t="shared" si="65"/>
        <v>0</v>
      </c>
      <c r="G185" s="1405">
        <f t="shared" si="65"/>
        <v>0</v>
      </c>
      <c r="H185" s="1405">
        <f t="shared" si="65"/>
        <v>0</v>
      </c>
      <c r="I185" s="1405">
        <f t="shared" si="65"/>
        <v>0</v>
      </c>
      <c r="J185" s="1395">
        <f t="shared" si="62"/>
        <v>0</v>
      </c>
      <c r="O185" s="516"/>
      <c r="P185" s="517"/>
      <c r="Q185" s="518"/>
      <c r="R185" s="518"/>
      <c r="S185" s="518"/>
      <c r="T185" s="519"/>
      <c r="U185" s="519"/>
      <c r="V185" s="519"/>
      <c r="W185" s="519"/>
      <c r="X185" s="505"/>
      <c r="Y185" s="505"/>
      <c r="Z185" s="520"/>
      <c r="AA185" s="521"/>
      <c r="AB185" s="521"/>
    </row>
    <row r="186" spans="1:28" ht="15.6" hidden="1" outlineLevel="2">
      <c r="A186" s="505">
        <f t="shared" si="64"/>
        <v>4</v>
      </c>
      <c r="B186" t="str">
        <f>+$B$35</f>
        <v>Elko</v>
      </c>
      <c r="E186" s="1405">
        <f t="shared" ref="E186:I186" si="66">+E165-E176</f>
        <v>0</v>
      </c>
      <c r="F186" s="1405">
        <f t="shared" si="66"/>
        <v>0</v>
      </c>
      <c r="G186" s="1405">
        <f t="shared" si="66"/>
        <v>0</v>
      </c>
      <c r="H186" s="1405">
        <f t="shared" si="66"/>
        <v>0</v>
      </c>
      <c r="I186" s="1405">
        <f t="shared" si="66"/>
        <v>0</v>
      </c>
      <c r="J186" s="1395">
        <f t="shared" si="62"/>
        <v>0</v>
      </c>
      <c r="O186" s="516"/>
      <c r="P186" s="517"/>
      <c r="Q186" s="518"/>
      <c r="R186" s="518"/>
      <c r="S186" s="518"/>
      <c r="T186" s="519"/>
      <c r="U186" s="519"/>
      <c r="V186" s="519"/>
      <c r="W186" s="519"/>
      <c r="X186" s="505"/>
      <c r="Y186" s="505"/>
      <c r="Z186" s="520"/>
      <c r="AA186" s="521"/>
      <c r="AB186" s="521"/>
    </row>
    <row r="187" spans="1:28" ht="15.6" hidden="1" outlineLevel="2">
      <c r="A187" s="505">
        <f t="shared" si="64"/>
        <v>5</v>
      </c>
      <c r="B187" t="str">
        <f>+$B$36</f>
        <v>Washoe</v>
      </c>
      <c r="E187" s="1405">
        <f t="shared" ref="E187:I187" si="67">+E166-E177</f>
        <v>0</v>
      </c>
      <c r="F187" s="1405">
        <f t="shared" si="67"/>
        <v>0</v>
      </c>
      <c r="G187" s="1405">
        <f t="shared" si="67"/>
        <v>0</v>
      </c>
      <c r="H187" s="1405">
        <f t="shared" si="67"/>
        <v>0</v>
      </c>
      <c r="I187" s="1405">
        <f t="shared" si="67"/>
        <v>0</v>
      </c>
      <c r="J187" s="1395">
        <f t="shared" si="62"/>
        <v>0</v>
      </c>
      <c r="O187" s="516"/>
      <c r="P187" s="517"/>
      <c r="Q187" s="518"/>
      <c r="R187" s="518"/>
      <c r="S187" s="518"/>
      <c r="T187" s="519"/>
      <c r="U187" s="519"/>
      <c r="V187" s="519"/>
      <c r="W187" s="519"/>
      <c r="X187" s="505"/>
      <c r="Y187" s="505"/>
      <c r="Z187" s="520"/>
      <c r="AA187" s="521"/>
      <c r="AB187" s="521"/>
    </row>
    <row r="188" spans="1:28" ht="15.6" hidden="1" outlineLevel="2">
      <c r="A188" s="505">
        <f t="shared" si="64"/>
        <v>6</v>
      </c>
      <c r="B188" t="str">
        <f>+$B$37</f>
        <v>White Pine</v>
      </c>
      <c r="E188" s="1406">
        <f t="shared" ref="E188:I188" si="68">+E167-E178</f>
        <v>0</v>
      </c>
      <c r="F188" s="1406">
        <f t="shared" si="68"/>
        <v>10</v>
      </c>
      <c r="G188" s="1406">
        <f t="shared" si="68"/>
        <v>0</v>
      </c>
      <c r="H188" s="1406">
        <f t="shared" si="68"/>
        <v>0</v>
      </c>
      <c r="I188" s="1406">
        <f t="shared" si="68"/>
        <v>0</v>
      </c>
      <c r="J188" s="1395">
        <f t="shared" si="62"/>
        <v>10</v>
      </c>
      <c r="O188" s="516"/>
      <c r="P188" s="517"/>
      <c r="Q188" s="518"/>
      <c r="R188" s="518"/>
      <c r="S188" s="518"/>
      <c r="T188" s="519"/>
      <c r="U188" s="519"/>
      <c r="V188" s="519"/>
      <c r="W188" s="519"/>
      <c r="X188" s="505"/>
      <c r="Y188" s="505"/>
      <c r="Z188" s="520"/>
      <c r="AA188" s="521"/>
      <c r="AB188" s="521"/>
    </row>
    <row r="189" spans="1:28" ht="15.6" hidden="1" outlineLevel="2">
      <c r="A189" s="505"/>
      <c r="B189" s="1402" t="s">
        <v>123</v>
      </c>
      <c r="C189" s="1402"/>
      <c r="D189" s="1402"/>
      <c r="E189" s="1399">
        <f>SUM(E183:E188)</f>
        <v>100</v>
      </c>
      <c r="F189" s="1399">
        <f t="shared" ref="F189" si="69">SUM(F183:F188)</f>
        <v>60</v>
      </c>
      <c r="G189" s="1399">
        <f t="shared" ref="G189" si="70">SUM(G183:G188)</f>
        <v>30</v>
      </c>
      <c r="H189" s="1399">
        <f t="shared" ref="H189" si="71">SUM(H183:H188)</f>
        <v>20</v>
      </c>
      <c r="I189" s="1399">
        <f t="shared" ref="I189" si="72">SUM(I183:I188)</f>
        <v>1</v>
      </c>
      <c r="J189" s="1399">
        <f t="shared" si="62"/>
        <v>211</v>
      </c>
      <c r="O189" s="516"/>
      <c r="P189" s="517"/>
      <c r="Q189" s="518"/>
      <c r="R189" s="518"/>
      <c r="S189" s="518"/>
      <c r="T189" s="519"/>
      <c r="U189" s="519"/>
      <c r="V189" s="519"/>
      <c r="W189" s="519"/>
      <c r="X189" s="505"/>
      <c r="Y189" s="505"/>
      <c r="Z189" s="520"/>
      <c r="AA189" s="521"/>
      <c r="AB189" s="521"/>
    </row>
    <row r="190" spans="1:28" ht="15.6" hidden="1" outlineLevel="2">
      <c r="A190" s="505"/>
      <c r="O190" s="516"/>
      <c r="P190" s="517"/>
      <c r="Q190" s="518"/>
      <c r="R190" s="518"/>
      <c r="S190" s="518"/>
      <c r="T190" s="519"/>
      <c r="U190" s="519"/>
      <c r="V190" s="519"/>
      <c r="W190" s="519"/>
      <c r="X190" s="505"/>
      <c r="Y190" s="505"/>
      <c r="Z190" s="520"/>
      <c r="AA190" s="521"/>
      <c r="AB190" s="521"/>
    </row>
    <row r="191" spans="1:28" ht="15.6" hidden="1" outlineLevel="2">
      <c r="A191" s="505"/>
      <c r="B191" s="1402" t="s">
        <v>1002</v>
      </c>
      <c r="C191" s="1402"/>
      <c r="D191" s="1402"/>
      <c r="E191" s="1399">
        <f>+E179+E189</f>
        <v>100</v>
      </c>
      <c r="F191" s="1399">
        <f t="shared" ref="F191:I191" si="73">+F179+F189</f>
        <v>125</v>
      </c>
      <c r="G191" s="1399">
        <f t="shared" si="73"/>
        <v>50</v>
      </c>
      <c r="H191" s="1399">
        <f t="shared" si="73"/>
        <v>50</v>
      </c>
      <c r="I191" s="1399">
        <f t="shared" si="73"/>
        <v>2</v>
      </c>
      <c r="J191" s="1399">
        <f>SUM(E191:I191)</f>
        <v>327</v>
      </c>
      <c r="O191" s="516"/>
      <c r="P191" s="517"/>
      <c r="Q191" s="518"/>
      <c r="R191" s="518"/>
      <c r="S191" s="518"/>
      <c r="T191" s="519"/>
      <c r="U191" s="519"/>
      <c r="V191" s="519"/>
      <c r="W191" s="519"/>
      <c r="X191" s="505"/>
      <c r="Y191" s="505"/>
      <c r="Z191" s="520"/>
      <c r="AA191" s="521"/>
      <c r="AB191" s="521"/>
    </row>
    <row r="192" spans="1:28" ht="15.6" hidden="1" outlineLevel="1" collapsed="1">
      <c r="A192" s="505"/>
      <c r="O192" s="516"/>
      <c r="P192" s="517"/>
      <c r="Q192" s="518"/>
      <c r="R192" s="518"/>
      <c r="S192" s="518"/>
      <c r="T192" s="519"/>
      <c r="U192" s="519"/>
      <c r="V192" s="519"/>
      <c r="W192" s="519"/>
      <c r="X192" s="505"/>
      <c r="Y192" s="505"/>
      <c r="Z192" s="520"/>
      <c r="AA192" s="521"/>
      <c r="AB192" s="521"/>
    </row>
    <row r="193" spans="1:28" ht="15.6" hidden="1" outlineLevel="1">
      <c r="A193" s="505"/>
      <c r="B193" s="1425" t="s">
        <v>325</v>
      </c>
      <c r="C193" s="1425"/>
      <c r="D193" s="1425"/>
      <c r="E193" s="1426"/>
      <c r="F193" s="1426"/>
      <c r="G193" s="1426"/>
      <c r="H193" s="1426"/>
      <c r="I193" s="1426"/>
      <c r="J193" s="1426"/>
      <c r="O193" s="516"/>
      <c r="P193" s="517"/>
      <c r="Q193" s="518"/>
      <c r="R193" s="518"/>
      <c r="S193" s="518"/>
      <c r="T193" s="519"/>
      <c r="U193" s="519"/>
      <c r="V193" s="519"/>
      <c r="W193" s="519"/>
      <c r="X193" s="505"/>
      <c r="Y193" s="505"/>
      <c r="Z193" s="520"/>
      <c r="AA193" s="521"/>
      <c r="AB193" s="521"/>
    </row>
    <row r="194" spans="1:28" ht="15.6" hidden="1" outlineLevel="1">
      <c r="A194" s="505"/>
      <c r="B194" s="1415" t="s">
        <v>987</v>
      </c>
      <c r="C194" s="1415"/>
      <c r="D194" s="1415"/>
      <c r="E194" s="1416"/>
      <c r="F194" s="1332"/>
      <c r="G194" s="1415"/>
      <c r="H194" s="1416"/>
      <c r="I194" s="1416"/>
      <c r="J194" s="1417"/>
      <c r="O194" s="516"/>
      <c r="P194" s="517"/>
      <c r="Q194" s="518"/>
      <c r="R194" s="518"/>
      <c r="S194" s="518"/>
      <c r="T194" s="519"/>
      <c r="U194" s="519"/>
      <c r="V194" s="519"/>
      <c r="W194" s="519"/>
      <c r="X194" s="505"/>
      <c r="Y194" s="505"/>
      <c r="Z194" s="520"/>
      <c r="AA194" s="521"/>
      <c r="AB194" s="521"/>
    </row>
    <row r="195" spans="1:28" ht="15.6" hidden="1" outlineLevel="1">
      <c r="A195" s="505"/>
      <c r="B195" s="1319"/>
      <c r="C195" s="1319"/>
      <c r="D195" s="1319"/>
      <c r="E195" s="1319" t="s">
        <v>998</v>
      </c>
      <c r="F195" s="1314"/>
      <c r="G195" s="1319"/>
      <c r="H195" s="554"/>
      <c r="I195" s="554"/>
      <c r="J195" s="1409"/>
      <c r="O195" s="516"/>
      <c r="P195" s="517"/>
      <c r="Q195" s="518"/>
      <c r="R195" s="518"/>
      <c r="S195" s="518"/>
      <c r="T195" s="519"/>
      <c r="U195" s="519"/>
      <c r="V195" s="519"/>
      <c r="W195" s="519"/>
      <c r="X195" s="505"/>
      <c r="Y195" s="505"/>
      <c r="Z195" s="520"/>
      <c r="AA195" s="521"/>
      <c r="AB195" s="521"/>
    </row>
    <row r="196" spans="1:28" ht="15.6" hidden="1" outlineLevel="1">
      <c r="A196" s="505"/>
      <c r="B196" s="1380"/>
      <c r="C196" s="1380"/>
      <c r="D196" s="1380"/>
      <c r="E196" s="1380" t="s">
        <v>481</v>
      </c>
      <c r="F196" s="1380" t="s">
        <v>977</v>
      </c>
      <c r="G196" s="1380" t="s">
        <v>978</v>
      </c>
      <c r="H196" s="1380" t="s">
        <v>967</v>
      </c>
      <c r="I196" s="1380" t="s">
        <v>979</v>
      </c>
      <c r="J196" s="1380" t="s">
        <v>123</v>
      </c>
      <c r="O196" s="516"/>
      <c r="P196" s="517"/>
      <c r="Q196" s="518"/>
      <c r="R196" s="518"/>
      <c r="S196" s="518"/>
      <c r="T196" s="519"/>
      <c r="U196" s="519"/>
      <c r="V196" s="519"/>
      <c r="W196" s="519"/>
      <c r="X196" s="505"/>
      <c r="Y196" s="505"/>
      <c r="Z196" s="520"/>
      <c r="AA196" s="521"/>
      <c r="AB196" s="521"/>
    </row>
    <row r="197" spans="1:28" ht="15.6" hidden="1" outlineLevel="1">
      <c r="A197" s="505">
        <v>1</v>
      </c>
      <c r="B197" t="str">
        <f>+B$32</f>
        <v xml:space="preserve">Carson City </v>
      </c>
      <c r="C197" s="673"/>
      <c r="D197" s="673">
        <f t="shared" ref="D197:D202" si="74">D32</f>
        <v>7494</v>
      </c>
      <c r="E197" s="1433">
        <f>+E210+E220</f>
        <v>74940</v>
      </c>
      <c r="F197" s="1433">
        <f t="shared" ref="F197:I197" si="75">+F210+F220</f>
        <v>41452.014005835765</v>
      </c>
      <c r="G197" s="1433">
        <f t="shared" si="75"/>
        <v>41067.120000000003</v>
      </c>
      <c r="H197" s="1433">
        <f t="shared" si="75"/>
        <v>38144.46</v>
      </c>
      <c r="I197" s="1433">
        <f t="shared" si="75"/>
        <v>8393.2800000000007</v>
      </c>
      <c r="J197" s="1431">
        <f t="shared" ref="J197:J204" si="76">SUM(E197:I197)</f>
        <v>203996.87400583577</v>
      </c>
      <c r="O197" s="516"/>
      <c r="P197" s="517"/>
      <c r="Q197" s="518"/>
      <c r="R197" s="518"/>
      <c r="S197" s="518"/>
      <c r="T197" s="519"/>
      <c r="U197" s="519"/>
      <c r="V197" s="519"/>
      <c r="W197" s="519"/>
      <c r="X197" s="505"/>
      <c r="Y197" s="505"/>
      <c r="Z197" s="520"/>
      <c r="AA197" s="521"/>
      <c r="AB197" s="521"/>
    </row>
    <row r="198" spans="1:28" ht="15.6" hidden="1" outlineLevel="1">
      <c r="A198" s="505">
        <f>1+A197</f>
        <v>2</v>
      </c>
      <c r="B198" t="str">
        <f>+$B$33</f>
        <v>Churchill</v>
      </c>
      <c r="C198" s="633"/>
      <c r="D198" s="633">
        <f t="shared" si="74"/>
        <v>8093</v>
      </c>
      <c r="E198" s="1390">
        <f t="shared" ref="E198:I198" si="77">+E211+E221</f>
        <v>80930</v>
      </c>
      <c r="F198" s="1390">
        <f t="shared" si="77"/>
        <v>44765.298818952338</v>
      </c>
      <c r="G198" s="1390">
        <f t="shared" si="77"/>
        <v>44349.64</v>
      </c>
      <c r="H198" s="1390">
        <f t="shared" si="77"/>
        <v>41193.370000000003</v>
      </c>
      <c r="I198" s="1390">
        <f t="shared" si="77"/>
        <v>9064.16</v>
      </c>
      <c r="J198" s="1390">
        <f t="shared" si="76"/>
        <v>220302.46881895236</v>
      </c>
      <c r="O198" s="516"/>
      <c r="P198" s="517"/>
      <c r="Q198" s="518"/>
      <c r="R198" s="518"/>
      <c r="S198" s="518"/>
      <c r="T198" s="519"/>
      <c r="U198" s="519"/>
      <c r="V198" s="519"/>
      <c r="W198" s="519"/>
      <c r="X198" s="505"/>
      <c r="Y198" s="505"/>
      <c r="Z198" s="520"/>
      <c r="AA198" s="521"/>
      <c r="AB198" s="521"/>
    </row>
    <row r="199" spans="1:28" ht="15.6" hidden="1" outlineLevel="1">
      <c r="A199" s="505">
        <f t="shared" ref="A199:A202" si="78">1+A198</f>
        <v>3</v>
      </c>
      <c r="B199" t="str">
        <f>+$B$34</f>
        <v>Clark</v>
      </c>
      <c r="C199" s="633"/>
      <c r="D199" s="633">
        <f t="shared" si="74"/>
        <v>7197</v>
      </c>
      <c r="E199" s="1390">
        <f t="shared" ref="E199:I199" si="79">+E212+E222</f>
        <v>71970</v>
      </c>
      <c r="F199" s="1390">
        <f t="shared" si="79"/>
        <v>39809.199999999997</v>
      </c>
      <c r="G199" s="1390">
        <f t="shared" si="79"/>
        <v>39439.56</v>
      </c>
      <c r="H199" s="1390">
        <f t="shared" si="79"/>
        <v>36632.730000000003</v>
      </c>
      <c r="I199" s="1390">
        <f t="shared" si="79"/>
        <v>8060.64</v>
      </c>
      <c r="J199" s="1390">
        <f t="shared" si="76"/>
        <v>195912.13000000003</v>
      </c>
      <c r="O199" s="516"/>
      <c r="P199" s="517"/>
      <c r="Q199" s="518"/>
      <c r="R199" s="518"/>
      <c r="S199" s="518"/>
      <c r="T199" s="519"/>
      <c r="U199" s="519"/>
      <c r="V199" s="519"/>
      <c r="W199" s="519"/>
      <c r="X199" s="505"/>
      <c r="Y199" s="505"/>
      <c r="Z199" s="520"/>
      <c r="AA199" s="521"/>
      <c r="AB199" s="521"/>
    </row>
    <row r="200" spans="1:28" ht="15.6" hidden="1" outlineLevel="1">
      <c r="A200" s="505">
        <f t="shared" si="78"/>
        <v>4</v>
      </c>
      <c r="B200" t="str">
        <f>+$B$35</f>
        <v>Elko</v>
      </c>
      <c r="C200" s="633"/>
      <c r="D200" s="633">
        <f t="shared" si="74"/>
        <v>7715</v>
      </c>
      <c r="E200" s="1390">
        <f>+E213+E223</f>
        <v>77150</v>
      </c>
      <c r="F200" s="1390">
        <f t="shared" ref="F200:I200" si="80">+F213+F223</f>
        <v>42674.444629706821</v>
      </c>
      <c r="G200" s="1390">
        <f t="shared" si="80"/>
        <v>42278.2</v>
      </c>
      <c r="H200" s="1390">
        <f t="shared" si="80"/>
        <v>39269.35</v>
      </c>
      <c r="I200" s="1390">
        <f t="shared" si="80"/>
        <v>8640.7999999999993</v>
      </c>
      <c r="J200" s="1390">
        <f t="shared" si="76"/>
        <v>210012.7946297068</v>
      </c>
      <c r="O200" s="516"/>
      <c r="P200" s="517"/>
      <c r="Q200" s="518"/>
      <c r="R200" s="518"/>
      <c r="S200" s="518"/>
      <c r="T200" s="519"/>
      <c r="U200" s="519"/>
      <c r="V200" s="519"/>
      <c r="W200" s="519"/>
      <c r="X200" s="505"/>
      <c r="Y200" s="505"/>
      <c r="Z200" s="520"/>
      <c r="AA200" s="521"/>
      <c r="AB200" s="521"/>
    </row>
    <row r="201" spans="1:28" ht="15.6" hidden="1" outlineLevel="1">
      <c r="A201" s="505">
        <f t="shared" si="78"/>
        <v>5</v>
      </c>
      <c r="B201" t="str">
        <f>+$B$36</f>
        <v>Washoe</v>
      </c>
      <c r="C201" s="633"/>
      <c r="D201" s="633">
        <f t="shared" si="74"/>
        <v>6980</v>
      </c>
      <c r="E201" s="1401">
        <f t="shared" ref="E201:I201" si="81">+E214+E224</f>
        <v>69800</v>
      </c>
      <c r="F201" s="1401">
        <f t="shared" si="81"/>
        <v>38608.894817284978</v>
      </c>
      <c r="G201" s="1401">
        <f t="shared" si="81"/>
        <v>38250.400000000001</v>
      </c>
      <c r="H201" s="1401">
        <f t="shared" si="81"/>
        <v>35528.199999999997</v>
      </c>
      <c r="I201" s="1401">
        <f t="shared" si="81"/>
        <v>7817.6</v>
      </c>
      <c r="J201" s="1390">
        <f t="shared" si="76"/>
        <v>190005.09481728499</v>
      </c>
      <c r="O201" s="516"/>
      <c r="P201" s="517"/>
      <c r="Q201" s="518"/>
      <c r="R201" s="518"/>
      <c r="S201" s="518"/>
      <c r="T201" s="519"/>
      <c r="U201" s="519"/>
      <c r="V201" s="519"/>
      <c r="W201" s="519"/>
      <c r="X201" s="505"/>
      <c r="Y201" s="505"/>
      <c r="Z201" s="520"/>
      <c r="AA201" s="521"/>
      <c r="AB201" s="521"/>
    </row>
    <row r="202" spans="1:28" ht="15.6" hidden="1" outlineLevel="1">
      <c r="A202" s="505">
        <f t="shared" si="78"/>
        <v>6</v>
      </c>
      <c r="B202" t="str">
        <f>+$B$37</f>
        <v>White Pine</v>
      </c>
      <c r="C202" s="633"/>
      <c r="D202" s="633">
        <f t="shared" si="74"/>
        <v>10367</v>
      </c>
      <c r="E202" s="1401">
        <f t="shared" ref="E202:I202" si="82">+E215+E225</f>
        <v>103670</v>
      </c>
      <c r="F202" s="1401">
        <f t="shared" si="82"/>
        <v>57343.612116159507</v>
      </c>
      <c r="G202" s="1401">
        <f t="shared" si="82"/>
        <v>56811.16</v>
      </c>
      <c r="H202" s="1401">
        <f t="shared" si="82"/>
        <v>52768.03</v>
      </c>
      <c r="I202" s="1401">
        <f t="shared" si="82"/>
        <v>11611.04</v>
      </c>
      <c r="J202" s="1401">
        <f t="shared" si="76"/>
        <v>282203.8421161595</v>
      </c>
      <c r="O202" s="516"/>
      <c r="P202" s="517"/>
      <c r="Q202" s="518"/>
      <c r="R202" s="518"/>
      <c r="S202" s="518"/>
      <c r="T202" s="519"/>
      <c r="U202" s="519"/>
      <c r="V202" s="519"/>
      <c r="W202" s="519"/>
      <c r="X202" s="505"/>
      <c r="Y202" s="505"/>
      <c r="Z202" s="520"/>
      <c r="AA202" s="521"/>
      <c r="AB202" s="521"/>
    </row>
    <row r="203" spans="1:28" ht="15.6" hidden="1" outlineLevel="1">
      <c r="A203" s="505"/>
      <c r="B203" s="1402" t="s">
        <v>406</v>
      </c>
      <c r="C203" s="1402"/>
      <c r="D203" s="1402"/>
      <c r="E203" s="1432">
        <f>SUM(E197:E202)</f>
        <v>478460</v>
      </c>
      <c r="F203" s="1432">
        <f>SUM(F197:F202)</f>
        <v>264653.46438793937</v>
      </c>
      <c r="G203" s="1432">
        <f t="shared" ref="G203" si="83">SUM(G197:G202)</f>
        <v>262196.08</v>
      </c>
      <c r="H203" s="1432">
        <f t="shared" ref="H203" si="84">SUM(H197:H202)</f>
        <v>243536.13999999998</v>
      </c>
      <c r="I203" s="1432">
        <f t="shared" ref="I203" si="85">SUM(I197:I202)</f>
        <v>53587.520000000004</v>
      </c>
      <c r="J203" s="1434">
        <f t="shared" si="76"/>
        <v>1302433.2043879393</v>
      </c>
      <c r="O203" s="516"/>
      <c r="P203" s="517"/>
      <c r="Q203" s="518"/>
      <c r="R203" s="518"/>
      <c r="S203" s="518"/>
      <c r="T203" s="519"/>
      <c r="U203" s="519"/>
      <c r="V203" s="519"/>
      <c r="W203" s="519"/>
      <c r="X203" s="505"/>
      <c r="Y203" s="505"/>
      <c r="Z203" s="520"/>
      <c r="AA203" s="521"/>
      <c r="AB203" s="521"/>
    </row>
    <row r="204" spans="1:28" ht="15.6" hidden="1" outlineLevel="1">
      <c r="A204" s="505"/>
      <c r="B204" s="1" t="s">
        <v>405</v>
      </c>
      <c r="E204" s="1395">
        <f>+E133</f>
        <v>60</v>
      </c>
      <c r="F204" s="1395">
        <f t="shared" ref="F204:I204" si="86">+F133</f>
        <v>24</v>
      </c>
      <c r="G204" s="1395">
        <f t="shared" si="86"/>
        <v>30</v>
      </c>
      <c r="H204" s="1395">
        <f t="shared" si="86"/>
        <v>30</v>
      </c>
      <c r="I204" s="1395">
        <f t="shared" si="86"/>
        <v>6</v>
      </c>
      <c r="J204" s="1395">
        <f t="shared" si="76"/>
        <v>150</v>
      </c>
      <c r="O204" s="516"/>
      <c r="P204" s="517"/>
      <c r="Q204" s="518"/>
      <c r="R204" s="518"/>
      <c r="S204" s="518"/>
      <c r="T204" s="519"/>
      <c r="U204" s="519"/>
      <c r="V204" s="519"/>
      <c r="W204" s="519"/>
      <c r="X204" s="505"/>
      <c r="Y204" s="505"/>
      <c r="Z204" s="520"/>
      <c r="AA204" s="521"/>
      <c r="AB204" s="521"/>
    </row>
    <row r="205" spans="1:28" ht="15.6" hidden="1" outlineLevel="1">
      <c r="A205" s="505"/>
      <c r="B205" s="1402" t="s">
        <v>1005</v>
      </c>
      <c r="C205" s="1414"/>
      <c r="D205" s="1414"/>
      <c r="E205" s="1436">
        <f t="shared" ref="E205:I205" si="87">+E203/E204</f>
        <v>7974.333333333333</v>
      </c>
      <c r="F205" s="1436">
        <f t="shared" si="87"/>
        <v>11027.227682830808</v>
      </c>
      <c r="G205" s="1436">
        <f t="shared" si="87"/>
        <v>8739.869333333334</v>
      </c>
      <c r="H205" s="1436">
        <f t="shared" si="87"/>
        <v>8117.8713333333326</v>
      </c>
      <c r="I205" s="1436">
        <f t="shared" si="87"/>
        <v>8931.253333333334</v>
      </c>
      <c r="J205" s="1436">
        <f>+J203/J204</f>
        <v>8682.8880292529284</v>
      </c>
      <c r="O205" s="516"/>
      <c r="P205" s="517"/>
      <c r="Q205" s="518"/>
      <c r="R205" s="518"/>
      <c r="S205" s="518"/>
      <c r="T205" s="519"/>
      <c r="U205" s="519"/>
      <c r="V205" s="519"/>
      <c r="W205" s="519"/>
      <c r="X205" s="505"/>
      <c r="Y205" s="505"/>
      <c r="Z205" s="520"/>
      <c r="AA205" s="521"/>
      <c r="AB205" s="521"/>
    </row>
    <row r="206" spans="1:28" ht="15.6" hidden="1" outlineLevel="1">
      <c r="A206" s="505"/>
      <c r="B206" s="1"/>
      <c r="J206" s="1395"/>
      <c r="O206" s="516"/>
      <c r="P206" s="517"/>
      <c r="Q206" s="518"/>
      <c r="R206" s="518"/>
      <c r="S206" s="518"/>
      <c r="T206" s="519"/>
      <c r="U206" s="519"/>
      <c r="V206" s="519"/>
      <c r="W206" s="519"/>
      <c r="X206" s="505"/>
      <c r="Y206" s="505"/>
      <c r="Z206" s="520"/>
      <c r="AA206" s="521"/>
      <c r="AB206" s="521"/>
    </row>
    <row r="207" spans="1:28" ht="15.6" hidden="1" outlineLevel="1">
      <c r="A207" s="505"/>
      <c r="E207" s="1319" t="s">
        <v>1006</v>
      </c>
      <c r="F207" s="1314"/>
      <c r="G207" s="1319"/>
      <c r="H207" s="1319"/>
      <c r="I207" s="1319"/>
      <c r="J207" s="554"/>
      <c r="O207" s="516"/>
      <c r="P207" s="517"/>
      <c r="Q207" s="518"/>
      <c r="R207" s="518"/>
      <c r="S207" s="518"/>
      <c r="T207" s="519"/>
      <c r="U207" s="519"/>
      <c r="V207" s="519"/>
      <c r="W207" s="519"/>
      <c r="X207" s="505"/>
      <c r="Y207" s="505"/>
      <c r="Z207" s="520"/>
      <c r="AA207" s="521"/>
      <c r="AB207" s="521"/>
    </row>
    <row r="208" spans="1:28" ht="15.6" hidden="1" outlineLevel="1">
      <c r="A208" s="505"/>
      <c r="E208" s="1380" t="s">
        <v>481</v>
      </c>
      <c r="F208" s="1380" t="s">
        <v>977</v>
      </c>
      <c r="G208" s="1380" t="s">
        <v>978</v>
      </c>
      <c r="H208" s="1380" t="s">
        <v>967</v>
      </c>
      <c r="I208" s="1380" t="s">
        <v>979</v>
      </c>
      <c r="J208" s="1391"/>
      <c r="O208" s="516"/>
      <c r="P208" s="517"/>
      <c r="Q208" s="518"/>
      <c r="R208" s="518"/>
      <c r="S208" s="518"/>
      <c r="T208" s="519"/>
      <c r="U208" s="519"/>
      <c r="V208" s="519"/>
      <c r="W208" s="519"/>
      <c r="X208" s="505"/>
      <c r="Y208" s="505"/>
      <c r="Z208" s="520"/>
      <c r="AA208" s="521"/>
      <c r="AB208" s="521"/>
    </row>
    <row r="209" spans="1:28" ht="15.6" hidden="1" outlineLevel="1">
      <c r="A209" s="505"/>
      <c r="B209" s="1380" t="s">
        <v>1000</v>
      </c>
      <c r="C209" s="1380"/>
      <c r="D209" s="1380"/>
      <c r="E209" s="1442">
        <v>0</v>
      </c>
      <c r="F209" s="1441">
        <f>+F137</f>
        <v>0.38284007225232736</v>
      </c>
      <c r="G209" s="1441">
        <f t="shared" ref="G209:I209" si="88">+G137</f>
        <v>0.24</v>
      </c>
      <c r="H209" s="1441">
        <f t="shared" si="88"/>
        <v>0.03</v>
      </c>
      <c r="I209" s="1441">
        <f t="shared" si="88"/>
        <v>0.12</v>
      </c>
      <c r="J209" s="1380" t="s">
        <v>123</v>
      </c>
      <c r="O209" s="516"/>
      <c r="P209" s="517"/>
      <c r="Q209" s="518"/>
      <c r="R209" s="518"/>
      <c r="S209" s="518"/>
      <c r="T209" s="519"/>
      <c r="U209" s="519"/>
      <c r="V209" s="519"/>
      <c r="W209" s="519"/>
      <c r="X209" s="505"/>
      <c r="Y209" s="505"/>
      <c r="Z209" s="520"/>
      <c r="AA209" s="521"/>
      <c r="AB209" s="521"/>
    </row>
    <row r="210" spans="1:28" ht="15.6" hidden="1" outlineLevel="1">
      <c r="A210" s="505">
        <v>1</v>
      </c>
      <c r="B210" t="str">
        <f>+B$32</f>
        <v xml:space="preserve">Carson City </v>
      </c>
      <c r="C210" s="673"/>
      <c r="D210" s="673">
        <f t="shared" ref="D210:D215" si="89">D32</f>
        <v>7494</v>
      </c>
      <c r="E210" s="1393"/>
      <c r="F210" s="1452">
        <f t="shared" ref="F210:I215" si="90">F$209*F138*$D210</f>
        <v>11476.014005835765</v>
      </c>
      <c r="G210" s="1452">
        <f t="shared" si="90"/>
        <v>3597.12</v>
      </c>
      <c r="H210" s="1452">
        <f t="shared" si="90"/>
        <v>674.45999999999992</v>
      </c>
      <c r="I210" s="1452">
        <f t="shared" si="90"/>
        <v>899.28</v>
      </c>
      <c r="J210" s="1431">
        <f t="shared" ref="J210:J216" si="91">SUM(E210:I210)</f>
        <v>16646.874005835762</v>
      </c>
      <c r="O210" s="516"/>
      <c r="P210" s="517"/>
      <c r="Q210" s="518"/>
      <c r="R210" s="518"/>
      <c r="S210" s="518"/>
      <c r="T210" s="519"/>
      <c r="U210" s="519"/>
      <c r="V210" s="519"/>
      <c r="W210" s="519"/>
      <c r="X210" s="505"/>
      <c r="Y210" s="505"/>
      <c r="Z210" s="520"/>
      <c r="AA210" s="521"/>
      <c r="AB210" s="521"/>
    </row>
    <row r="211" spans="1:28" ht="15.6" hidden="1" outlineLevel="1">
      <c r="A211" s="505">
        <f>1+A210</f>
        <v>2</v>
      </c>
      <c r="B211" t="str">
        <f>+$B$33</f>
        <v>Churchill</v>
      </c>
      <c r="C211" s="633"/>
      <c r="D211" s="633">
        <f t="shared" si="89"/>
        <v>8093</v>
      </c>
      <c r="E211" s="1393"/>
      <c r="F211" s="1428">
        <f t="shared" si="90"/>
        <v>12393.29881895234</v>
      </c>
      <c r="G211" s="1428">
        <f t="shared" si="90"/>
        <v>3884.64</v>
      </c>
      <c r="H211" s="1428">
        <f t="shared" si="90"/>
        <v>728.37</v>
      </c>
      <c r="I211" s="1428">
        <f t="shared" si="90"/>
        <v>971.16</v>
      </c>
      <c r="J211" s="1390">
        <f t="shared" si="91"/>
        <v>17977.46881895234</v>
      </c>
      <c r="O211" s="516"/>
      <c r="P211" s="517"/>
      <c r="Q211" s="518"/>
      <c r="R211" s="518"/>
      <c r="S211" s="518"/>
      <c r="T211" s="519"/>
      <c r="U211" s="519"/>
      <c r="V211" s="519"/>
      <c r="W211" s="519"/>
      <c r="X211" s="505"/>
      <c r="Y211" s="505"/>
      <c r="Z211" s="520"/>
      <c r="AA211" s="521"/>
      <c r="AB211" s="521"/>
    </row>
    <row r="212" spans="1:28" ht="15.6" hidden="1" outlineLevel="1">
      <c r="A212" s="505">
        <f t="shared" ref="A212:A215" si="92">1+A211</f>
        <v>3</v>
      </c>
      <c r="B212" t="str">
        <f>+$B$34</f>
        <v>Clark</v>
      </c>
      <c r="C212" s="633"/>
      <c r="D212" s="633">
        <f t="shared" si="89"/>
        <v>7197</v>
      </c>
      <c r="E212" s="1393"/>
      <c r="F212" s="1428">
        <f t="shared" si="90"/>
        <v>11021.2</v>
      </c>
      <c r="G212" s="1428">
        <f t="shared" si="90"/>
        <v>3454.56</v>
      </c>
      <c r="H212" s="1428">
        <f t="shared" si="90"/>
        <v>647.73</v>
      </c>
      <c r="I212" s="1428">
        <f t="shared" si="90"/>
        <v>863.64</v>
      </c>
      <c r="J212" s="1390">
        <f t="shared" si="91"/>
        <v>15987.13</v>
      </c>
      <c r="O212" s="516"/>
      <c r="P212" s="517"/>
      <c r="Q212" s="518"/>
      <c r="R212" s="518"/>
      <c r="S212" s="518"/>
      <c r="T212" s="519"/>
      <c r="U212" s="519"/>
      <c r="V212" s="519"/>
      <c r="W212" s="519"/>
      <c r="X212" s="505"/>
      <c r="Y212" s="505"/>
      <c r="Z212" s="520"/>
      <c r="AA212" s="521"/>
      <c r="AB212" s="521"/>
    </row>
    <row r="213" spans="1:28" ht="15.6" hidden="1" outlineLevel="1">
      <c r="A213" s="505">
        <f t="shared" si="92"/>
        <v>4</v>
      </c>
      <c r="B213" t="str">
        <f>+$B$35</f>
        <v>Elko</v>
      </c>
      <c r="C213" s="633"/>
      <c r="D213" s="633">
        <f t="shared" si="89"/>
        <v>7715</v>
      </c>
      <c r="E213" s="1393"/>
      <c r="F213" s="1428">
        <f t="shared" si="90"/>
        <v>11814.444629706823</v>
      </c>
      <c r="G213" s="1428">
        <f t="shared" si="90"/>
        <v>3703.2</v>
      </c>
      <c r="H213" s="1428">
        <f t="shared" si="90"/>
        <v>694.35</v>
      </c>
      <c r="I213" s="1428">
        <f t="shared" si="90"/>
        <v>925.8</v>
      </c>
      <c r="J213" s="1390">
        <f t="shared" si="91"/>
        <v>17137.794629706823</v>
      </c>
      <c r="O213" s="516"/>
      <c r="P213" s="517"/>
      <c r="Q213" s="518"/>
      <c r="R213" s="518"/>
      <c r="S213" s="518"/>
      <c r="T213" s="519"/>
      <c r="U213" s="519"/>
      <c r="V213" s="519"/>
      <c r="W213" s="519"/>
      <c r="X213" s="505"/>
      <c r="Y213" s="505"/>
      <c r="Z213" s="520"/>
      <c r="AA213" s="521"/>
      <c r="AB213" s="521"/>
    </row>
    <row r="214" spans="1:28" ht="15.6" hidden="1" outlineLevel="1">
      <c r="A214" s="505">
        <f t="shared" si="92"/>
        <v>5</v>
      </c>
      <c r="B214" t="str">
        <f>+$B$36</f>
        <v>Washoe</v>
      </c>
      <c r="C214" s="633"/>
      <c r="D214" s="633">
        <f t="shared" si="89"/>
        <v>6980</v>
      </c>
      <c r="E214" s="1393"/>
      <c r="F214" s="1428">
        <f t="shared" si="90"/>
        <v>10688.89481728498</v>
      </c>
      <c r="G214" s="1428">
        <f t="shared" si="90"/>
        <v>3350.4</v>
      </c>
      <c r="H214" s="1428">
        <f t="shared" si="90"/>
        <v>628.19999999999993</v>
      </c>
      <c r="I214" s="1428">
        <f t="shared" si="90"/>
        <v>837.6</v>
      </c>
      <c r="J214" s="1390">
        <f t="shared" si="91"/>
        <v>15505.09481728498</v>
      </c>
      <c r="O214" s="516"/>
      <c r="P214" s="517"/>
      <c r="Q214" s="518"/>
      <c r="R214" s="518"/>
      <c r="S214" s="518"/>
      <c r="T214" s="519"/>
      <c r="U214" s="519"/>
      <c r="V214" s="519"/>
      <c r="W214" s="519"/>
      <c r="X214" s="505"/>
      <c r="Y214" s="505"/>
      <c r="Z214" s="520"/>
      <c r="AA214" s="521"/>
      <c r="AB214" s="521"/>
    </row>
    <row r="215" spans="1:28" ht="15.6" hidden="1" outlineLevel="1">
      <c r="A215" s="505">
        <f t="shared" si="92"/>
        <v>6</v>
      </c>
      <c r="B215" t="str">
        <f>+$B$37</f>
        <v>White Pine</v>
      </c>
      <c r="C215" s="633"/>
      <c r="D215" s="633">
        <f t="shared" si="89"/>
        <v>10367</v>
      </c>
      <c r="E215" s="1393"/>
      <c r="F215" s="1429">
        <f t="shared" si="90"/>
        <v>15875.612116159511</v>
      </c>
      <c r="G215" s="1429">
        <f t="shared" si="90"/>
        <v>4976.16</v>
      </c>
      <c r="H215" s="1429">
        <f t="shared" si="90"/>
        <v>933.03</v>
      </c>
      <c r="I215" s="1429">
        <f t="shared" si="90"/>
        <v>1244.04</v>
      </c>
      <c r="J215" s="1401">
        <f t="shared" si="91"/>
        <v>23028.842116159511</v>
      </c>
      <c r="O215" s="516"/>
      <c r="P215" s="517"/>
      <c r="Q215" s="518"/>
      <c r="R215" s="518"/>
      <c r="S215" s="518"/>
      <c r="T215" s="519"/>
      <c r="U215" s="519"/>
      <c r="V215" s="519"/>
      <c r="W215" s="519"/>
      <c r="X215" s="505"/>
      <c r="Y215" s="505"/>
      <c r="Z215" s="520"/>
      <c r="AA215" s="521"/>
      <c r="AB215" s="521"/>
    </row>
    <row r="216" spans="1:28" ht="15.6" hidden="1" outlineLevel="1">
      <c r="A216" s="505"/>
      <c r="B216" s="1402" t="s">
        <v>123</v>
      </c>
      <c r="C216" s="1402"/>
      <c r="D216" s="1402"/>
      <c r="E216" s="1437"/>
      <c r="F216" s="1436">
        <f t="shared" ref="F216" si="93">SUM(F210:F215)</f>
        <v>73269.464387939413</v>
      </c>
      <c r="G216" s="1436">
        <f t="shared" ref="G216" si="94">SUM(G210:G215)</f>
        <v>22966.080000000002</v>
      </c>
      <c r="H216" s="1436">
        <f t="shared" ref="H216" si="95">SUM(H210:H215)</f>
        <v>4306.1399999999994</v>
      </c>
      <c r="I216" s="1436">
        <f t="shared" ref="I216" si="96">SUM(I210:I215)</f>
        <v>5741.52</v>
      </c>
      <c r="J216" s="1432">
        <f t="shared" si="91"/>
        <v>106283.20438793942</v>
      </c>
      <c r="O216" s="516"/>
      <c r="P216" s="517"/>
      <c r="Q216" s="518"/>
      <c r="R216" s="518"/>
      <c r="S216" s="518"/>
      <c r="T216" s="519"/>
      <c r="U216" s="519"/>
      <c r="V216" s="519"/>
      <c r="W216" s="519"/>
      <c r="X216" s="505"/>
      <c r="Y216" s="505"/>
      <c r="Z216" s="520"/>
      <c r="AA216" s="521"/>
      <c r="AB216" s="521"/>
    </row>
    <row r="217" spans="1:28" ht="15.6" hidden="1" outlineLevel="1">
      <c r="A217" s="505"/>
      <c r="O217" s="516"/>
      <c r="P217" s="517"/>
      <c r="Q217" s="518"/>
      <c r="R217" s="518"/>
      <c r="S217" s="518"/>
      <c r="T217" s="519"/>
      <c r="U217" s="519"/>
      <c r="V217" s="519"/>
      <c r="W217" s="519"/>
      <c r="X217" s="505"/>
      <c r="Y217" s="505"/>
      <c r="Z217" s="520"/>
      <c r="AA217" s="521"/>
      <c r="AB217" s="521"/>
    </row>
    <row r="218" spans="1:28" ht="15.6" hidden="1" outlineLevel="1">
      <c r="A218" s="505"/>
      <c r="E218" s="1319" t="s">
        <v>1007</v>
      </c>
      <c r="F218" s="1"/>
      <c r="G218" s="554"/>
      <c r="H218" s="554"/>
      <c r="I218" s="554"/>
      <c r="O218" s="516"/>
      <c r="P218" s="517"/>
      <c r="Q218" s="518"/>
      <c r="R218" s="518"/>
      <c r="S218" s="518"/>
      <c r="T218" s="519"/>
      <c r="U218" s="519"/>
      <c r="V218" s="519"/>
      <c r="W218" s="519"/>
      <c r="X218" s="505"/>
      <c r="Y218" s="505"/>
      <c r="Z218" s="520"/>
      <c r="AA218" s="521"/>
      <c r="AB218" s="521"/>
    </row>
    <row r="219" spans="1:28" ht="15.6" hidden="1" outlineLevel="1">
      <c r="A219" s="505"/>
      <c r="E219" s="1380" t="s">
        <v>481</v>
      </c>
      <c r="F219" s="1403" t="s">
        <v>977</v>
      </c>
      <c r="G219" s="1380" t="s">
        <v>978</v>
      </c>
      <c r="H219" s="1380" t="s">
        <v>967</v>
      </c>
      <c r="I219" s="1380" t="s">
        <v>979</v>
      </c>
      <c r="J219" s="1403" t="s">
        <v>123</v>
      </c>
      <c r="O219" s="516"/>
      <c r="P219" s="517"/>
      <c r="Q219" s="518"/>
      <c r="R219" s="518"/>
      <c r="S219" s="518"/>
      <c r="T219" s="519"/>
      <c r="U219" s="519"/>
      <c r="V219" s="519"/>
      <c r="W219" s="519"/>
      <c r="X219" s="505"/>
      <c r="Y219" s="505"/>
      <c r="Z219" s="520"/>
      <c r="AA219" s="521"/>
      <c r="AB219" s="521"/>
    </row>
    <row r="220" spans="1:28" ht="15.6" hidden="1" outlineLevel="1">
      <c r="A220" s="505">
        <v>1</v>
      </c>
      <c r="B220" t="str">
        <f>+B$32</f>
        <v xml:space="preserve">Carson City </v>
      </c>
      <c r="C220" s="673"/>
      <c r="D220" s="673">
        <f t="shared" ref="D220:D225" si="97">D32</f>
        <v>7494</v>
      </c>
      <c r="E220" s="1453">
        <f t="shared" ref="E220:E225" si="98">+$D32*E127</f>
        <v>74940</v>
      </c>
      <c r="F220" s="1453">
        <f>+$D220*F127</f>
        <v>29976</v>
      </c>
      <c r="G220" s="1453">
        <f t="shared" ref="G220:I225" si="99">+$D32*G127</f>
        <v>37470</v>
      </c>
      <c r="H220" s="1453">
        <f t="shared" si="99"/>
        <v>37470</v>
      </c>
      <c r="I220" s="1453">
        <f t="shared" si="99"/>
        <v>7494</v>
      </c>
      <c r="J220" s="1435">
        <f t="shared" ref="J220:J226" si="100">SUM(E220:I220)</f>
        <v>187350</v>
      </c>
      <c r="O220" s="516"/>
      <c r="P220" s="517"/>
      <c r="Q220" s="518"/>
      <c r="R220" s="518"/>
      <c r="S220" s="518"/>
      <c r="T220" s="519"/>
      <c r="U220" s="519"/>
      <c r="V220" s="519"/>
      <c r="W220" s="519"/>
      <c r="X220" s="505"/>
      <c r="Y220" s="505"/>
      <c r="Z220" s="520"/>
      <c r="AA220" s="521"/>
      <c r="AB220" s="521"/>
    </row>
    <row r="221" spans="1:28" ht="15.6" hidden="1" outlineLevel="1">
      <c r="A221" s="505">
        <f>1+A220</f>
        <v>2</v>
      </c>
      <c r="B221" t="str">
        <f>+$B$33</f>
        <v>Churchill</v>
      </c>
      <c r="C221" s="633"/>
      <c r="D221" s="633">
        <f t="shared" si="97"/>
        <v>8093</v>
      </c>
      <c r="E221" s="1405">
        <f t="shared" si="98"/>
        <v>80930</v>
      </c>
      <c r="F221" s="1405">
        <f>+$D33*F128</f>
        <v>32372</v>
      </c>
      <c r="G221" s="1405">
        <f t="shared" si="99"/>
        <v>40465</v>
      </c>
      <c r="H221" s="1405">
        <f t="shared" si="99"/>
        <v>40465</v>
      </c>
      <c r="I221" s="1405">
        <f t="shared" si="99"/>
        <v>8093</v>
      </c>
      <c r="J221" s="1395">
        <f t="shared" si="100"/>
        <v>202325</v>
      </c>
      <c r="O221" s="516"/>
      <c r="P221" s="517"/>
      <c r="Q221" s="518"/>
      <c r="R221" s="518"/>
      <c r="S221" s="518"/>
      <c r="T221" s="519"/>
      <c r="U221" s="519"/>
      <c r="V221" s="519"/>
      <c r="W221" s="519"/>
      <c r="X221" s="505"/>
      <c r="Y221" s="505"/>
      <c r="Z221" s="520"/>
      <c r="AA221" s="521"/>
      <c r="AB221" s="521"/>
    </row>
    <row r="222" spans="1:28" ht="15.6" hidden="1" outlineLevel="1">
      <c r="A222" s="505">
        <f t="shared" ref="A222:A225" si="101">1+A221</f>
        <v>3</v>
      </c>
      <c r="B222" t="str">
        <f>+$B$34</f>
        <v>Clark</v>
      </c>
      <c r="C222" s="633"/>
      <c r="D222" s="633">
        <f t="shared" si="97"/>
        <v>7197</v>
      </c>
      <c r="E222" s="1405">
        <f t="shared" si="98"/>
        <v>71970</v>
      </c>
      <c r="F222" s="1405">
        <f>+$D34*F129</f>
        <v>28788</v>
      </c>
      <c r="G222" s="1405">
        <f t="shared" si="99"/>
        <v>35985</v>
      </c>
      <c r="H222" s="1405">
        <f t="shared" si="99"/>
        <v>35985</v>
      </c>
      <c r="I222" s="1405">
        <f t="shared" si="99"/>
        <v>7197</v>
      </c>
      <c r="J222" s="1395">
        <f t="shared" si="100"/>
        <v>179925</v>
      </c>
      <c r="O222" s="516"/>
      <c r="P222" s="517"/>
      <c r="Q222" s="518"/>
      <c r="R222" s="518"/>
      <c r="S222" s="518"/>
      <c r="T222" s="519"/>
      <c r="U222" s="519"/>
      <c r="V222" s="519"/>
      <c r="W222" s="519"/>
      <c r="X222" s="505"/>
      <c r="Y222" s="505"/>
      <c r="Z222" s="520"/>
      <c r="AA222" s="521"/>
      <c r="AB222" s="521"/>
    </row>
    <row r="223" spans="1:28" ht="15.6" hidden="1" outlineLevel="1">
      <c r="A223" s="505">
        <f t="shared" si="101"/>
        <v>4</v>
      </c>
      <c r="B223" t="str">
        <f>+$B$35</f>
        <v>Elko</v>
      </c>
      <c r="C223" s="633"/>
      <c r="D223" s="633">
        <f t="shared" si="97"/>
        <v>7715</v>
      </c>
      <c r="E223" s="1405">
        <f t="shared" si="98"/>
        <v>77150</v>
      </c>
      <c r="F223" s="1405">
        <f>+$D35*F130</f>
        <v>30860</v>
      </c>
      <c r="G223" s="1405">
        <f t="shared" si="99"/>
        <v>38575</v>
      </c>
      <c r="H223" s="1405">
        <f t="shared" si="99"/>
        <v>38575</v>
      </c>
      <c r="I223" s="1405">
        <f t="shared" si="99"/>
        <v>7715</v>
      </c>
      <c r="J223" s="1395">
        <f t="shared" si="100"/>
        <v>192875</v>
      </c>
      <c r="O223" s="516"/>
      <c r="P223" s="517"/>
      <c r="Q223" s="518"/>
      <c r="R223" s="518"/>
      <c r="S223" s="518"/>
      <c r="T223" s="519"/>
      <c r="U223" s="519"/>
      <c r="V223" s="519"/>
      <c r="W223" s="519"/>
      <c r="X223" s="505"/>
      <c r="Y223" s="505"/>
      <c r="Z223" s="520"/>
      <c r="AA223" s="521"/>
      <c r="AB223" s="521"/>
    </row>
    <row r="224" spans="1:28" ht="15.6" hidden="1" outlineLevel="1">
      <c r="A224" s="505">
        <f t="shared" si="101"/>
        <v>5</v>
      </c>
      <c r="B224" t="str">
        <f>+$B$36</f>
        <v>Washoe</v>
      </c>
      <c r="C224" s="633"/>
      <c r="D224" s="633">
        <f t="shared" si="97"/>
        <v>6980</v>
      </c>
      <c r="E224" s="1405">
        <f t="shared" si="98"/>
        <v>69800</v>
      </c>
      <c r="F224" s="1405">
        <f>+$D36*F131</f>
        <v>27920</v>
      </c>
      <c r="G224" s="1405">
        <f t="shared" si="99"/>
        <v>34900</v>
      </c>
      <c r="H224" s="1405">
        <f t="shared" si="99"/>
        <v>34900</v>
      </c>
      <c r="I224" s="1405">
        <f t="shared" si="99"/>
        <v>6980</v>
      </c>
      <c r="J224" s="1395">
        <f t="shared" si="100"/>
        <v>174500</v>
      </c>
      <c r="O224" s="516"/>
      <c r="P224" s="517"/>
      <c r="Q224" s="518"/>
      <c r="R224" s="518"/>
      <c r="S224" s="518"/>
      <c r="T224" s="519"/>
      <c r="U224" s="519"/>
      <c r="V224" s="519"/>
      <c r="W224" s="519"/>
      <c r="X224" s="505"/>
      <c r="Y224" s="505"/>
      <c r="Z224" s="520"/>
      <c r="AA224" s="521"/>
      <c r="AB224" s="521"/>
    </row>
    <row r="225" spans="1:28" ht="15.6" hidden="1" outlineLevel="1">
      <c r="A225" s="505">
        <f t="shared" si="101"/>
        <v>6</v>
      </c>
      <c r="B225" t="str">
        <f>+$B$37</f>
        <v>White Pine</v>
      </c>
      <c r="C225" s="633"/>
      <c r="D225" s="633">
        <f t="shared" si="97"/>
        <v>10367</v>
      </c>
      <c r="E225" s="1406">
        <f t="shared" si="98"/>
        <v>103670</v>
      </c>
      <c r="F225" s="1406">
        <f>+$D37*F132</f>
        <v>41468</v>
      </c>
      <c r="G225" s="1406">
        <f t="shared" si="99"/>
        <v>51835</v>
      </c>
      <c r="H225" s="1406">
        <f t="shared" si="99"/>
        <v>51835</v>
      </c>
      <c r="I225" s="1406">
        <f t="shared" si="99"/>
        <v>10367</v>
      </c>
      <c r="J225" s="1395">
        <f t="shared" si="100"/>
        <v>259175</v>
      </c>
      <c r="O225" s="516"/>
      <c r="P225" s="517"/>
      <c r="Q225" s="518"/>
      <c r="R225" s="518"/>
      <c r="S225" s="518"/>
      <c r="T225" s="519"/>
      <c r="U225" s="519"/>
      <c r="V225" s="519"/>
      <c r="W225" s="519"/>
      <c r="X225" s="505"/>
      <c r="Y225" s="505"/>
      <c r="Z225" s="520"/>
      <c r="AA225" s="521"/>
      <c r="AB225" s="521"/>
    </row>
    <row r="226" spans="1:28" ht="15.6" hidden="1" outlineLevel="1">
      <c r="A226" s="505"/>
      <c r="B226" s="1402" t="s">
        <v>123</v>
      </c>
      <c r="C226" s="1402"/>
      <c r="D226" s="1402"/>
      <c r="E226" s="1436">
        <f>SUM(E220:E225)</f>
        <v>478460</v>
      </c>
      <c r="F226" s="1436">
        <f t="shared" ref="F226" si="102">SUM(F220:F225)</f>
        <v>191384</v>
      </c>
      <c r="G226" s="1436">
        <f t="shared" ref="G226" si="103">SUM(G220:G225)</f>
        <v>239230</v>
      </c>
      <c r="H226" s="1436">
        <f t="shared" ref="H226" si="104">SUM(H220:H225)</f>
        <v>239230</v>
      </c>
      <c r="I226" s="1436">
        <f t="shared" ref="I226" si="105">SUM(I220:I225)</f>
        <v>47846</v>
      </c>
      <c r="J226" s="1436">
        <f t="shared" si="100"/>
        <v>1196150</v>
      </c>
      <c r="O226" s="516"/>
      <c r="P226" s="517"/>
      <c r="Q226" s="518"/>
      <c r="R226" s="518"/>
      <c r="S226" s="518"/>
      <c r="T226" s="519"/>
      <c r="U226" s="519"/>
      <c r="V226" s="519"/>
      <c r="W226" s="519"/>
      <c r="X226" s="505"/>
      <c r="Y226" s="505"/>
      <c r="Z226" s="520"/>
      <c r="AA226" s="521"/>
      <c r="AB226" s="521"/>
    </row>
    <row r="227" spans="1:28" ht="15.6" hidden="1" outlineLevel="1">
      <c r="A227" s="505"/>
      <c r="O227" s="516"/>
      <c r="P227" s="517"/>
      <c r="Q227" s="518"/>
      <c r="R227" s="518"/>
      <c r="S227" s="518"/>
      <c r="T227" s="519"/>
      <c r="U227" s="519"/>
      <c r="V227" s="519"/>
      <c r="W227" s="519"/>
      <c r="X227" s="505"/>
      <c r="Y227" s="505"/>
      <c r="Z227" s="520"/>
      <c r="AA227" s="521"/>
      <c r="AB227" s="521"/>
    </row>
    <row r="228" spans="1:28" ht="15.6" hidden="1" outlineLevel="1">
      <c r="A228" s="505"/>
      <c r="B228" s="1402" t="s">
        <v>1002</v>
      </c>
      <c r="C228" s="1402"/>
      <c r="D228" s="1402"/>
      <c r="E228" s="1436">
        <f>+E216+E226</f>
        <v>478460</v>
      </c>
      <c r="F228" s="1436">
        <f t="shared" ref="F228:I228" si="106">+F216+F226</f>
        <v>264653.46438793943</v>
      </c>
      <c r="G228" s="1436">
        <f t="shared" si="106"/>
        <v>262196.08</v>
      </c>
      <c r="H228" s="1436">
        <f t="shared" si="106"/>
        <v>243536.14</v>
      </c>
      <c r="I228" s="1436">
        <f t="shared" si="106"/>
        <v>53587.520000000004</v>
      </c>
      <c r="J228" s="1438">
        <f>SUM(E228:I228)</f>
        <v>1302433.2043879395</v>
      </c>
      <c r="O228" s="516"/>
      <c r="P228" s="517"/>
      <c r="Q228" s="518"/>
      <c r="R228" s="518"/>
      <c r="S228" s="518"/>
      <c r="T228" s="519"/>
      <c r="U228" s="519"/>
      <c r="V228" s="519"/>
      <c r="W228" s="519"/>
      <c r="X228" s="505"/>
      <c r="Y228" s="505"/>
      <c r="Z228" s="520"/>
      <c r="AA228" s="521"/>
      <c r="AB228" s="521"/>
    </row>
    <row r="229" spans="1:28" ht="15.6" hidden="1" outlineLevel="1">
      <c r="A229" s="505"/>
      <c r="O229" s="516"/>
      <c r="P229" s="517"/>
      <c r="Q229" s="518"/>
      <c r="R229" s="518"/>
      <c r="S229" s="518"/>
      <c r="T229" s="519"/>
      <c r="U229" s="519"/>
      <c r="V229" s="519"/>
      <c r="W229" s="519"/>
      <c r="X229" s="505"/>
      <c r="Y229" s="505"/>
      <c r="Z229" s="520"/>
      <c r="AA229" s="521"/>
      <c r="AB229" s="521"/>
    </row>
    <row r="230" spans="1:28" ht="15.6" hidden="1" outlineLevel="1">
      <c r="A230" s="505"/>
      <c r="B230" s="1425" t="s">
        <v>325</v>
      </c>
      <c r="C230" s="1425"/>
      <c r="D230" s="1425"/>
      <c r="E230" s="1426"/>
      <c r="F230" s="1426"/>
      <c r="G230" s="1426"/>
      <c r="H230" s="1426"/>
      <c r="I230" s="1426"/>
      <c r="J230" s="1426"/>
      <c r="O230" s="516"/>
      <c r="P230" s="517"/>
      <c r="Q230" s="518"/>
      <c r="R230" s="518"/>
      <c r="S230" s="518"/>
      <c r="T230" s="519"/>
      <c r="U230" s="519"/>
      <c r="V230" s="519"/>
      <c r="W230" s="519"/>
      <c r="X230" s="505"/>
      <c r="Y230" s="505"/>
      <c r="Z230" s="520"/>
      <c r="AA230" s="521"/>
      <c r="AB230" s="521"/>
    </row>
    <row r="231" spans="1:28" ht="15.6" hidden="1" outlineLevel="1">
      <c r="A231" s="505"/>
      <c r="B231" s="1415" t="s">
        <v>1003</v>
      </c>
      <c r="C231" s="1415"/>
      <c r="D231" s="1415"/>
      <c r="E231" s="1415"/>
      <c r="F231" s="1332"/>
      <c r="G231" s="1415"/>
      <c r="H231" s="1416"/>
      <c r="I231" s="1416"/>
      <c r="J231" s="1417"/>
      <c r="O231" s="516"/>
      <c r="P231" s="517"/>
      <c r="Q231" s="518"/>
      <c r="R231" s="518"/>
      <c r="S231" s="518"/>
      <c r="T231" s="519"/>
      <c r="U231" s="519"/>
      <c r="V231" s="519"/>
      <c r="W231" s="519"/>
      <c r="X231" s="505"/>
      <c r="Y231" s="505"/>
      <c r="Z231" s="520"/>
      <c r="AA231" s="521"/>
      <c r="AB231" s="521"/>
    </row>
    <row r="232" spans="1:28" ht="15.6" hidden="1" outlineLevel="1">
      <c r="A232" s="505"/>
      <c r="B232" s="1319"/>
      <c r="C232" s="1319"/>
      <c r="D232" s="1319"/>
      <c r="E232" s="1319" t="s">
        <v>998</v>
      </c>
      <c r="F232" s="1314"/>
      <c r="G232" s="1319"/>
      <c r="H232" s="554"/>
      <c r="I232" s="554"/>
      <c r="J232" s="1409"/>
      <c r="O232" s="516"/>
      <c r="P232" s="517"/>
      <c r="Q232" s="518"/>
      <c r="R232" s="518"/>
      <c r="S232" s="518"/>
      <c r="T232" s="519"/>
      <c r="U232" s="519"/>
      <c r="V232" s="519"/>
      <c r="W232" s="519"/>
      <c r="X232" s="505"/>
      <c r="Y232" s="505"/>
      <c r="Z232" s="520"/>
      <c r="AA232" s="521"/>
      <c r="AB232" s="521"/>
    </row>
    <row r="233" spans="1:28" ht="15.6" hidden="1" outlineLevel="1">
      <c r="A233" s="505"/>
      <c r="B233" s="1380"/>
      <c r="C233" s="1380"/>
      <c r="D233" s="1380"/>
      <c r="E233" s="1380" t="s">
        <v>481</v>
      </c>
      <c r="F233" s="1380" t="s">
        <v>977</v>
      </c>
      <c r="G233" s="1380" t="s">
        <v>978</v>
      </c>
      <c r="H233" s="1380" t="s">
        <v>967</v>
      </c>
      <c r="I233" s="1380" t="s">
        <v>979</v>
      </c>
      <c r="J233" s="1380" t="s">
        <v>123</v>
      </c>
      <c r="O233" s="516"/>
      <c r="P233" s="517"/>
      <c r="Q233" s="518"/>
      <c r="R233" s="518"/>
      <c r="S233" s="518"/>
      <c r="T233" s="519"/>
      <c r="U233" s="519"/>
      <c r="V233" s="519"/>
      <c r="W233" s="519"/>
      <c r="X233" s="505"/>
      <c r="Y233" s="505"/>
      <c r="Z233" s="520"/>
      <c r="AA233" s="521"/>
      <c r="AB233" s="521"/>
    </row>
    <row r="234" spans="1:28" ht="15.6" hidden="1" outlineLevel="1">
      <c r="A234" s="505">
        <v>1</v>
      </c>
      <c r="B234" t="str">
        <f>+B$32</f>
        <v xml:space="preserve">Carson City </v>
      </c>
      <c r="C234" s="673"/>
      <c r="D234" s="673">
        <f>$D$16</f>
        <v>6980</v>
      </c>
      <c r="E234" s="1433">
        <f t="shared" ref="E234" si="107">+E245+E255</f>
        <v>0</v>
      </c>
      <c r="F234" s="1433">
        <f>+F245+F255</f>
        <v>53444.474086424896</v>
      </c>
      <c r="G234" s="1433">
        <f t="shared" ref="G234:I234" si="108">+G245+G255</f>
        <v>33504</v>
      </c>
      <c r="H234" s="1433">
        <f t="shared" si="108"/>
        <v>6281.9999999999991</v>
      </c>
      <c r="I234" s="1433">
        <f t="shared" si="108"/>
        <v>837.6</v>
      </c>
      <c r="J234" s="1431">
        <f t="shared" ref="J234:J240" si="109">SUM(E234:I234)</f>
        <v>94068.074086424895</v>
      </c>
      <c r="O234" s="516"/>
      <c r="P234" s="517"/>
      <c r="Q234" s="518"/>
      <c r="R234" s="518"/>
      <c r="S234" s="518"/>
      <c r="T234" s="519"/>
      <c r="U234" s="519"/>
      <c r="V234" s="519"/>
      <c r="W234" s="519"/>
      <c r="X234" s="505"/>
      <c r="Y234" s="505"/>
      <c r="Z234" s="520"/>
      <c r="AA234" s="521"/>
      <c r="AB234" s="521"/>
    </row>
    <row r="235" spans="1:28" ht="15.6" hidden="1" outlineLevel="1">
      <c r="A235" s="505">
        <f>1+A234</f>
        <v>2</v>
      </c>
      <c r="B235" t="str">
        <f>+$B$33</f>
        <v>Churchill</v>
      </c>
      <c r="C235" s="633"/>
      <c r="D235" s="633">
        <f t="shared" ref="D235:D239" si="110">$D$16</f>
        <v>6980</v>
      </c>
      <c r="E235" s="1390">
        <f t="shared" ref="E235:I235" si="111">+E246+E256</f>
        <v>0</v>
      </c>
      <c r="F235" s="1390">
        <f t="shared" si="111"/>
        <v>0</v>
      </c>
      <c r="G235" s="1390">
        <f t="shared" si="111"/>
        <v>0</v>
      </c>
      <c r="H235" s="1390">
        <f t="shared" si="111"/>
        <v>0</v>
      </c>
      <c r="I235" s="1390">
        <f t="shared" si="111"/>
        <v>0</v>
      </c>
      <c r="J235" s="1390">
        <f t="shared" si="109"/>
        <v>0</v>
      </c>
      <c r="O235" s="516"/>
      <c r="P235" s="517"/>
      <c r="Q235" s="518"/>
      <c r="R235" s="518"/>
      <c r="S235" s="518"/>
      <c r="T235" s="519"/>
      <c r="U235" s="519"/>
      <c r="V235" s="519"/>
      <c r="W235" s="519"/>
      <c r="X235" s="505"/>
      <c r="Y235" s="505"/>
      <c r="Z235" s="520"/>
      <c r="AA235" s="521"/>
      <c r="AB235" s="521"/>
    </row>
    <row r="236" spans="1:28" ht="15.6" hidden="1" outlineLevel="1">
      <c r="A236" s="505">
        <f t="shared" ref="A236:A239" si="112">1+A235</f>
        <v>3</v>
      </c>
      <c r="B236" t="str">
        <f>+$B$34</f>
        <v>Clark</v>
      </c>
      <c r="C236" s="633"/>
      <c r="D236" s="633">
        <f t="shared" si="110"/>
        <v>6980</v>
      </c>
      <c r="E236" s="1390">
        <f t="shared" ref="E236:I236" si="113">+E247+E257</f>
        <v>0</v>
      </c>
      <c r="F236" s="1390">
        <f t="shared" si="113"/>
        <v>80166.711129637348</v>
      </c>
      <c r="G236" s="1390">
        <f t="shared" si="113"/>
        <v>0</v>
      </c>
      <c r="H236" s="1390">
        <f t="shared" si="113"/>
        <v>0</v>
      </c>
      <c r="I236" s="1390">
        <f t="shared" si="113"/>
        <v>0</v>
      </c>
      <c r="J236" s="1390">
        <f t="shared" si="109"/>
        <v>80166.711129637348</v>
      </c>
      <c r="O236" s="516"/>
      <c r="P236" s="517"/>
      <c r="Q236" s="518"/>
      <c r="R236" s="518"/>
      <c r="S236" s="518"/>
      <c r="T236" s="519"/>
      <c r="U236" s="519"/>
      <c r="V236" s="519"/>
      <c r="W236" s="519"/>
      <c r="X236" s="505"/>
      <c r="Y236" s="505"/>
      <c r="Z236" s="520"/>
      <c r="AA236" s="521"/>
      <c r="AB236" s="521"/>
    </row>
    <row r="237" spans="1:28" ht="15.6" hidden="1" outlineLevel="1">
      <c r="A237" s="505">
        <f t="shared" si="112"/>
        <v>4</v>
      </c>
      <c r="B237" t="str">
        <f>+$B$35</f>
        <v>Elko</v>
      </c>
      <c r="C237" s="633"/>
      <c r="D237" s="633">
        <f t="shared" si="110"/>
        <v>6980</v>
      </c>
      <c r="E237" s="1390">
        <f t="shared" ref="E237:I237" si="114">+E248+E258</f>
        <v>0</v>
      </c>
      <c r="F237" s="1390">
        <f t="shared" si="114"/>
        <v>13361.118521606224</v>
      </c>
      <c r="G237" s="1390">
        <f t="shared" si="114"/>
        <v>0</v>
      </c>
      <c r="H237" s="1390">
        <f t="shared" si="114"/>
        <v>0</v>
      </c>
      <c r="I237" s="1390">
        <f t="shared" si="114"/>
        <v>0</v>
      </c>
      <c r="J237" s="1390">
        <f t="shared" si="109"/>
        <v>13361.118521606224</v>
      </c>
      <c r="O237" s="516"/>
      <c r="P237" s="517"/>
      <c r="Q237" s="518"/>
      <c r="R237" s="518"/>
      <c r="S237" s="518"/>
      <c r="T237" s="519"/>
      <c r="U237" s="519"/>
      <c r="V237" s="519"/>
      <c r="W237" s="519"/>
      <c r="X237" s="505"/>
      <c r="Y237" s="505"/>
      <c r="Z237" s="520"/>
      <c r="AA237" s="521"/>
      <c r="AB237" s="521"/>
    </row>
    <row r="238" spans="1:28" ht="15.6" hidden="1" outlineLevel="1">
      <c r="A238" s="505">
        <f t="shared" si="112"/>
        <v>5</v>
      </c>
      <c r="B238" t="str">
        <f>+$B$36</f>
        <v>Washoe</v>
      </c>
      <c r="C238" s="633"/>
      <c r="D238" s="633">
        <f t="shared" si="110"/>
        <v>6980</v>
      </c>
      <c r="E238" s="1401">
        <f t="shared" ref="E238:I238" si="115">+E249+E259</f>
        <v>0</v>
      </c>
      <c r="F238" s="1401">
        <f t="shared" si="115"/>
        <v>26722.237043212448</v>
      </c>
      <c r="G238" s="1401">
        <f t="shared" si="115"/>
        <v>0</v>
      </c>
      <c r="H238" s="1401">
        <f t="shared" si="115"/>
        <v>0</v>
      </c>
      <c r="I238" s="1401">
        <f t="shared" si="115"/>
        <v>0</v>
      </c>
      <c r="J238" s="1390">
        <f t="shared" si="109"/>
        <v>26722.237043212448</v>
      </c>
      <c r="O238" s="516"/>
      <c r="P238" s="517"/>
      <c r="Q238" s="518"/>
      <c r="R238" s="518"/>
      <c r="S238" s="518"/>
      <c r="T238" s="519"/>
      <c r="U238" s="519"/>
      <c r="V238" s="519"/>
      <c r="W238" s="519"/>
      <c r="X238" s="505"/>
      <c r="Y238" s="505"/>
      <c r="Z238" s="520"/>
      <c r="AA238" s="521"/>
      <c r="AB238" s="521"/>
    </row>
    <row r="239" spans="1:28" ht="15.6" hidden="1" outlineLevel="1">
      <c r="A239" s="505">
        <f t="shared" si="112"/>
        <v>6</v>
      </c>
      <c r="B239" t="str">
        <f>+$B$37</f>
        <v>White Pine</v>
      </c>
      <c r="C239" s="633"/>
      <c r="D239" s="633">
        <f t="shared" si="110"/>
        <v>6980</v>
      </c>
      <c r="E239" s="1401">
        <f t="shared" ref="E239:I239" si="116">+E250+E260</f>
        <v>0</v>
      </c>
      <c r="F239" s="1401">
        <f t="shared" si="116"/>
        <v>0</v>
      </c>
      <c r="G239" s="1401">
        <f t="shared" si="116"/>
        <v>0</v>
      </c>
      <c r="H239" s="1401">
        <f t="shared" si="116"/>
        <v>0</v>
      </c>
      <c r="I239" s="1401">
        <f t="shared" si="116"/>
        <v>0</v>
      </c>
      <c r="J239" s="1401">
        <f t="shared" si="109"/>
        <v>0</v>
      </c>
      <c r="O239" s="516"/>
      <c r="P239" s="517"/>
      <c r="Q239" s="518"/>
      <c r="R239" s="518"/>
      <c r="S239" s="518"/>
      <c r="T239" s="519"/>
      <c r="U239" s="519"/>
      <c r="V239" s="519"/>
      <c r="W239" s="519"/>
      <c r="X239" s="505"/>
      <c r="Y239" s="505"/>
      <c r="Z239" s="520"/>
      <c r="AA239" s="521"/>
      <c r="AB239" s="521"/>
    </row>
    <row r="240" spans="1:28" ht="15.6" hidden="1" outlineLevel="1">
      <c r="A240" s="505"/>
      <c r="B240" s="1402" t="s">
        <v>123</v>
      </c>
      <c r="C240" s="1402"/>
      <c r="D240" s="1402"/>
      <c r="E240" s="1432">
        <f>SUM(E234:E239)</f>
        <v>0</v>
      </c>
      <c r="F240" s="1432">
        <f>SUM(F234:F239)</f>
        <v>173694.54078088093</v>
      </c>
      <c r="G240" s="1432">
        <f t="shared" ref="G240" si="117">SUM(G234:G239)</f>
        <v>33504</v>
      </c>
      <c r="H240" s="1432">
        <f t="shared" ref="H240" si="118">SUM(H234:H239)</f>
        <v>6281.9999999999991</v>
      </c>
      <c r="I240" s="1432">
        <f t="shared" ref="I240" si="119">SUM(I234:I239)</f>
        <v>837.6</v>
      </c>
      <c r="J240" s="1434">
        <f t="shared" si="109"/>
        <v>214318.14078088093</v>
      </c>
      <c r="O240" s="516"/>
      <c r="P240" s="517"/>
      <c r="Q240" s="518"/>
      <c r="R240" s="518"/>
      <c r="S240" s="518"/>
      <c r="T240" s="519"/>
      <c r="U240" s="519"/>
      <c r="V240" s="519"/>
      <c r="W240" s="519"/>
      <c r="X240" s="505"/>
      <c r="Y240" s="505"/>
      <c r="Z240" s="520"/>
      <c r="AA240" s="521"/>
      <c r="AB240" s="521"/>
    </row>
    <row r="241" spans="1:28" ht="15.6" hidden="1" outlineLevel="1">
      <c r="A241" s="505"/>
      <c r="J241" s="1395"/>
      <c r="O241" s="516"/>
      <c r="P241" s="517"/>
      <c r="Q241" s="518"/>
      <c r="R241" s="518"/>
      <c r="S241" s="518"/>
      <c r="T241" s="519"/>
      <c r="U241" s="519"/>
      <c r="V241" s="519"/>
      <c r="W241" s="519"/>
      <c r="X241" s="505"/>
      <c r="Y241" s="505"/>
      <c r="Z241" s="520"/>
      <c r="AA241" s="521"/>
      <c r="AB241" s="521"/>
    </row>
    <row r="242" spans="1:28" ht="15.6" hidden="1" outlineLevel="1">
      <c r="A242" s="505"/>
      <c r="E242" s="1319" t="s">
        <v>1006</v>
      </c>
      <c r="F242" s="1314"/>
      <c r="G242" s="1319"/>
      <c r="H242" s="1319"/>
      <c r="I242" s="1319"/>
      <c r="J242" s="554"/>
      <c r="O242" s="516"/>
      <c r="P242" s="517"/>
      <c r="Q242" s="518"/>
      <c r="R242" s="518"/>
      <c r="S242" s="518"/>
      <c r="T242" s="519"/>
      <c r="U242" s="519"/>
      <c r="V242" s="519"/>
      <c r="W242" s="519"/>
      <c r="X242" s="505"/>
      <c r="Y242" s="505"/>
      <c r="Z242" s="520"/>
      <c r="AA242" s="521"/>
      <c r="AB242" s="521"/>
    </row>
    <row r="243" spans="1:28" ht="15.6" hidden="1" outlineLevel="1">
      <c r="A243" s="505"/>
      <c r="E243" s="1380" t="s">
        <v>481</v>
      </c>
      <c r="F243" s="1380" t="s">
        <v>977</v>
      </c>
      <c r="G243" s="1380" t="s">
        <v>978</v>
      </c>
      <c r="H243" s="1380" t="s">
        <v>967</v>
      </c>
      <c r="I243" s="1380" t="s">
        <v>979</v>
      </c>
      <c r="J243" s="1391"/>
      <c r="O243" s="516"/>
      <c r="P243" s="517"/>
      <c r="Q243" s="518"/>
      <c r="R243" s="518"/>
      <c r="S243" s="518"/>
      <c r="T243" s="519"/>
      <c r="U243" s="519"/>
      <c r="V243" s="519"/>
      <c r="W243" s="519"/>
      <c r="X243" s="505"/>
      <c r="Y243" s="505"/>
      <c r="Z243" s="520"/>
      <c r="AA243" s="521"/>
      <c r="AB243" s="521"/>
    </row>
    <row r="244" spans="1:28" ht="15.6" hidden="1" outlineLevel="1">
      <c r="A244" s="505"/>
      <c r="E244" s="1391"/>
      <c r="F244" s="1388">
        <f>+F209</f>
        <v>0.38284007225232736</v>
      </c>
      <c r="G244" s="1388">
        <f t="shared" ref="G244:I244" si="120">+G209</f>
        <v>0.24</v>
      </c>
      <c r="H244" s="1388">
        <f t="shared" si="120"/>
        <v>0.03</v>
      </c>
      <c r="I244" s="1388">
        <f t="shared" si="120"/>
        <v>0.12</v>
      </c>
      <c r="J244" s="1380" t="s">
        <v>123</v>
      </c>
      <c r="O244" s="516"/>
      <c r="P244" s="517"/>
      <c r="Q244" s="518"/>
      <c r="R244" s="518"/>
      <c r="S244" s="518"/>
      <c r="T244" s="519"/>
      <c r="U244" s="519"/>
      <c r="V244" s="519"/>
      <c r="W244" s="519"/>
      <c r="X244" s="505"/>
      <c r="Y244" s="505"/>
      <c r="Z244" s="520"/>
      <c r="AA244" s="521"/>
      <c r="AB244" s="521"/>
    </row>
    <row r="245" spans="1:28" ht="15.6" hidden="1" outlineLevel="1">
      <c r="A245" s="505">
        <v>1</v>
      </c>
      <c r="B245" t="str">
        <f>+B$32</f>
        <v xml:space="preserve">Carson City </v>
      </c>
      <c r="C245" s="633"/>
      <c r="D245" s="633">
        <f t="shared" ref="D245:D250" si="121">$D$16</f>
        <v>6980</v>
      </c>
      <c r="E245" s="1393"/>
      <c r="F245" s="1452">
        <f t="shared" ref="F245:I250" si="122">F$209*F173*$D245</f>
        <v>53444.474086424896</v>
      </c>
      <c r="G245" s="1452">
        <f t="shared" si="122"/>
        <v>33504</v>
      </c>
      <c r="H245" s="1452">
        <f t="shared" si="122"/>
        <v>6281.9999999999991</v>
      </c>
      <c r="I245" s="1452">
        <f t="shared" si="122"/>
        <v>837.6</v>
      </c>
      <c r="J245" s="1431">
        <f t="shared" ref="J245:J251" si="123">SUM(E245:I245)</f>
        <v>94068.074086424895</v>
      </c>
      <c r="O245" s="516"/>
      <c r="P245" s="517"/>
      <c r="Q245" s="518"/>
      <c r="R245" s="518"/>
      <c r="S245" s="518"/>
      <c r="T245" s="519"/>
      <c r="U245" s="519"/>
      <c r="V245" s="519"/>
      <c r="W245" s="519"/>
      <c r="X245" s="505"/>
      <c r="Y245" s="505"/>
      <c r="Z245" s="520"/>
      <c r="AA245" s="521"/>
      <c r="AB245" s="521"/>
    </row>
    <row r="246" spans="1:28" ht="15.6" hidden="1" outlineLevel="1">
      <c r="A246" s="505">
        <f>1+A245</f>
        <v>2</v>
      </c>
      <c r="B246" t="str">
        <f>+$B$33</f>
        <v>Churchill</v>
      </c>
      <c r="C246" s="633"/>
      <c r="D246" s="633">
        <f t="shared" si="121"/>
        <v>6980</v>
      </c>
      <c r="E246" s="1393"/>
      <c r="F246" s="1428">
        <f t="shared" si="122"/>
        <v>0</v>
      </c>
      <c r="G246" s="1428">
        <f t="shared" si="122"/>
        <v>0</v>
      </c>
      <c r="H246" s="1428">
        <f t="shared" si="122"/>
        <v>0</v>
      </c>
      <c r="I246" s="1428">
        <f t="shared" si="122"/>
        <v>0</v>
      </c>
      <c r="J246" s="1390">
        <f t="shared" si="123"/>
        <v>0</v>
      </c>
      <c r="O246" s="516"/>
      <c r="P246" s="517"/>
      <c r="Q246" s="518"/>
      <c r="R246" s="518"/>
      <c r="S246" s="518"/>
      <c r="T246" s="519"/>
      <c r="U246" s="519"/>
      <c r="V246" s="519"/>
      <c r="W246" s="519"/>
      <c r="X246" s="505"/>
      <c r="Y246" s="505"/>
      <c r="Z246" s="520"/>
      <c r="AA246" s="521"/>
      <c r="AB246" s="521"/>
    </row>
    <row r="247" spans="1:28" ht="15.6" hidden="1" outlineLevel="1">
      <c r="A247" s="505">
        <f t="shared" ref="A247:A250" si="124">1+A246</f>
        <v>3</v>
      </c>
      <c r="B247" t="str">
        <f>+$B$34</f>
        <v>Clark</v>
      </c>
      <c r="C247" s="633"/>
      <c r="D247" s="633">
        <f t="shared" si="121"/>
        <v>6980</v>
      </c>
      <c r="E247" s="1393"/>
      <c r="F247" s="1428">
        <f t="shared" si="122"/>
        <v>80166.711129637348</v>
      </c>
      <c r="G247" s="1428">
        <f t="shared" si="122"/>
        <v>0</v>
      </c>
      <c r="H247" s="1428">
        <f t="shared" si="122"/>
        <v>0</v>
      </c>
      <c r="I247" s="1428">
        <f t="shared" si="122"/>
        <v>0</v>
      </c>
      <c r="J247" s="1390">
        <f t="shared" si="123"/>
        <v>80166.711129637348</v>
      </c>
      <c r="O247" s="516"/>
      <c r="P247" s="517"/>
      <c r="Q247" s="518"/>
      <c r="R247" s="518"/>
      <c r="S247" s="518"/>
      <c r="T247" s="519"/>
      <c r="U247" s="519"/>
      <c r="V247" s="519"/>
      <c r="W247" s="519"/>
      <c r="X247" s="505"/>
      <c r="Y247" s="505"/>
      <c r="Z247" s="520"/>
      <c r="AA247" s="521"/>
      <c r="AB247" s="521"/>
    </row>
    <row r="248" spans="1:28" ht="15.6" hidden="1" outlineLevel="1">
      <c r="A248" s="505">
        <f t="shared" si="124"/>
        <v>4</v>
      </c>
      <c r="B248" t="str">
        <f>+$B$35</f>
        <v>Elko</v>
      </c>
      <c r="C248" s="633"/>
      <c r="D248" s="633">
        <f t="shared" si="121"/>
        <v>6980</v>
      </c>
      <c r="E248" s="1393"/>
      <c r="F248" s="1428">
        <f t="shared" si="122"/>
        <v>13361.118521606224</v>
      </c>
      <c r="G248" s="1428">
        <f t="shared" si="122"/>
        <v>0</v>
      </c>
      <c r="H248" s="1428">
        <f t="shared" si="122"/>
        <v>0</v>
      </c>
      <c r="I248" s="1428">
        <f t="shared" si="122"/>
        <v>0</v>
      </c>
      <c r="J248" s="1390">
        <f t="shared" si="123"/>
        <v>13361.118521606224</v>
      </c>
      <c r="O248" s="516"/>
      <c r="P248" s="517"/>
      <c r="Q248" s="518"/>
      <c r="R248" s="518"/>
      <c r="S248" s="518"/>
      <c r="T248" s="519"/>
      <c r="U248" s="519"/>
      <c r="V248" s="519"/>
      <c r="W248" s="519"/>
      <c r="X248" s="505"/>
      <c r="Y248" s="505"/>
      <c r="Z248" s="520"/>
      <c r="AA248" s="521"/>
      <c r="AB248" s="521"/>
    </row>
    <row r="249" spans="1:28" ht="15.6" hidden="1" outlineLevel="1">
      <c r="A249" s="505">
        <f t="shared" si="124"/>
        <v>5</v>
      </c>
      <c r="B249" t="str">
        <f>+$B$36</f>
        <v>Washoe</v>
      </c>
      <c r="C249" s="633"/>
      <c r="D249" s="633">
        <f t="shared" si="121"/>
        <v>6980</v>
      </c>
      <c r="E249" s="1393"/>
      <c r="F249" s="1428">
        <f t="shared" si="122"/>
        <v>26722.237043212448</v>
      </c>
      <c r="G249" s="1428">
        <f t="shared" si="122"/>
        <v>0</v>
      </c>
      <c r="H249" s="1428">
        <f t="shared" si="122"/>
        <v>0</v>
      </c>
      <c r="I249" s="1428">
        <f t="shared" si="122"/>
        <v>0</v>
      </c>
      <c r="J249" s="1390">
        <f t="shared" si="123"/>
        <v>26722.237043212448</v>
      </c>
      <c r="O249" s="516"/>
      <c r="P249" s="517"/>
      <c r="Q249" s="518"/>
      <c r="R249" s="518"/>
      <c r="S249" s="518"/>
      <c r="T249" s="519"/>
      <c r="U249" s="519"/>
      <c r="V249" s="519"/>
      <c r="W249" s="519"/>
      <c r="X249" s="505"/>
      <c r="Y249" s="505"/>
      <c r="Z249" s="520"/>
      <c r="AA249" s="521"/>
      <c r="AB249" s="521"/>
    </row>
    <row r="250" spans="1:28" ht="15.6" hidden="1" outlineLevel="1">
      <c r="A250" s="505">
        <f t="shared" si="124"/>
        <v>6</v>
      </c>
      <c r="B250" t="str">
        <f>+$B$37</f>
        <v>White Pine</v>
      </c>
      <c r="C250" s="633"/>
      <c r="D250" s="633">
        <f t="shared" si="121"/>
        <v>6980</v>
      </c>
      <c r="E250" s="1393"/>
      <c r="F250" s="1429">
        <f t="shared" si="122"/>
        <v>0</v>
      </c>
      <c r="G250" s="1429">
        <f t="shared" si="122"/>
        <v>0</v>
      </c>
      <c r="H250" s="1429">
        <f t="shared" si="122"/>
        <v>0</v>
      </c>
      <c r="I250" s="1429">
        <f t="shared" si="122"/>
        <v>0</v>
      </c>
      <c r="J250" s="1401">
        <f t="shared" si="123"/>
        <v>0</v>
      </c>
      <c r="O250" s="516"/>
      <c r="P250" s="517"/>
      <c r="Q250" s="518"/>
      <c r="R250" s="518"/>
      <c r="S250" s="518"/>
      <c r="T250" s="519"/>
      <c r="U250" s="519"/>
      <c r="V250" s="519"/>
      <c r="W250" s="519"/>
      <c r="X250" s="505"/>
      <c r="Y250" s="505"/>
      <c r="Z250" s="520"/>
      <c r="AA250" s="521"/>
      <c r="AB250" s="521"/>
    </row>
    <row r="251" spans="1:28" ht="15.6" hidden="1" outlineLevel="1">
      <c r="A251" s="505"/>
      <c r="B251" s="1402" t="s">
        <v>123</v>
      </c>
      <c r="C251" s="1402"/>
      <c r="D251" s="1402"/>
      <c r="E251" s="1437"/>
      <c r="F251" s="1436">
        <f t="shared" ref="F251" si="125">SUM(F245:F250)</f>
        <v>173694.54078088093</v>
      </c>
      <c r="G251" s="1436">
        <f t="shared" ref="G251" si="126">SUM(G245:G250)</f>
        <v>33504</v>
      </c>
      <c r="H251" s="1436">
        <f t="shared" ref="H251" si="127">SUM(H245:H250)</f>
        <v>6281.9999999999991</v>
      </c>
      <c r="I251" s="1436">
        <f t="shared" ref="I251" si="128">SUM(I245:I250)</f>
        <v>837.6</v>
      </c>
      <c r="J251" s="1432">
        <f t="shared" si="123"/>
        <v>214318.14078088093</v>
      </c>
      <c r="O251" s="516"/>
      <c r="P251" s="517"/>
      <c r="Q251" s="518"/>
      <c r="R251" s="518"/>
      <c r="S251" s="518"/>
      <c r="T251" s="519"/>
      <c r="U251" s="519"/>
      <c r="V251" s="519"/>
      <c r="W251" s="519"/>
      <c r="X251" s="505"/>
      <c r="Y251" s="505"/>
      <c r="Z251" s="520"/>
      <c r="AA251" s="521"/>
      <c r="AB251" s="521"/>
    </row>
    <row r="252" spans="1:28" ht="15.6" hidden="1" outlineLevel="1">
      <c r="A252" s="505"/>
      <c r="O252" s="516"/>
      <c r="P252" s="517"/>
      <c r="Q252" s="518"/>
      <c r="R252" s="518"/>
      <c r="S252" s="518"/>
      <c r="T252" s="519"/>
      <c r="U252" s="519"/>
      <c r="V252" s="519"/>
      <c r="W252" s="519"/>
      <c r="X252" s="505"/>
      <c r="Y252" s="505"/>
      <c r="Z252" s="520"/>
      <c r="AA252" s="521"/>
      <c r="AB252" s="521"/>
    </row>
    <row r="253" spans="1:28" ht="15.6" hidden="1" outlineLevel="1">
      <c r="A253" s="505"/>
      <c r="E253" s="1319" t="s">
        <v>1007</v>
      </c>
      <c r="F253" s="1"/>
      <c r="G253" s="554"/>
      <c r="H253" s="554"/>
      <c r="I253" s="554"/>
      <c r="O253" s="516"/>
      <c r="P253" s="517"/>
      <c r="Q253" s="518"/>
      <c r="R253" s="518"/>
      <c r="S253" s="518"/>
      <c r="T253" s="519"/>
      <c r="U253" s="519"/>
      <c r="V253" s="519"/>
      <c r="W253" s="519"/>
      <c r="X253" s="505"/>
      <c r="Y253" s="505"/>
      <c r="Z253" s="520"/>
      <c r="AA253" s="521"/>
      <c r="AB253" s="521"/>
    </row>
    <row r="254" spans="1:28" ht="15.6" hidden="1" outlineLevel="1">
      <c r="A254" s="505"/>
      <c r="E254" s="1380" t="s">
        <v>481</v>
      </c>
      <c r="F254" s="1403" t="s">
        <v>977</v>
      </c>
      <c r="G254" s="1380" t="s">
        <v>978</v>
      </c>
      <c r="H254" s="1380" t="s">
        <v>967</v>
      </c>
      <c r="I254" s="1380" t="s">
        <v>979</v>
      </c>
      <c r="J254" s="1403" t="s">
        <v>123</v>
      </c>
      <c r="O254" s="516"/>
      <c r="P254" s="517"/>
      <c r="Q254" s="518"/>
      <c r="R254" s="518"/>
      <c r="S254" s="518"/>
      <c r="T254" s="519"/>
      <c r="U254" s="519"/>
      <c r="V254" s="519"/>
      <c r="W254" s="519"/>
      <c r="X254" s="505"/>
      <c r="Y254" s="505"/>
      <c r="Z254" s="520"/>
      <c r="AA254" s="521"/>
      <c r="AB254" s="521"/>
    </row>
    <row r="255" spans="1:28" ht="15.6" hidden="1" outlineLevel="1">
      <c r="A255" s="505">
        <v>1</v>
      </c>
      <c r="B255" t="str">
        <f>+B$32</f>
        <v xml:space="preserve">Carson City </v>
      </c>
      <c r="C255" s="633"/>
      <c r="D255" s="633">
        <f t="shared" ref="D255:D260" si="129">$D$16</f>
        <v>6980</v>
      </c>
      <c r="E255" s="1453">
        <f t="shared" ref="E255:I260" si="130">+$E140*E162</f>
        <v>0</v>
      </c>
      <c r="F255" s="1453">
        <f t="shared" si="130"/>
        <v>0</v>
      </c>
      <c r="G255" s="1453">
        <f t="shared" si="130"/>
        <v>0</v>
      </c>
      <c r="H255" s="1453">
        <f t="shared" si="130"/>
        <v>0</v>
      </c>
      <c r="I255" s="1453">
        <f t="shared" si="130"/>
        <v>0</v>
      </c>
      <c r="J255" s="1435">
        <f t="shared" ref="J255:J261" si="131">SUM(E255:I255)</f>
        <v>0</v>
      </c>
      <c r="O255" s="516"/>
      <c r="P255" s="517"/>
      <c r="Q255" s="518"/>
      <c r="R255" s="518"/>
      <c r="S255" s="518"/>
      <c r="T255" s="519"/>
      <c r="U255" s="519"/>
      <c r="V255" s="519"/>
      <c r="W255" s="519"/>
      <c r="X255" s="505"/>
      <c r="Y255" s="505"/>
      <c r="Z255" s="520"/>
      <c r="AA255" s="521"/>
      <c r="AB255" s="521"/>
    </row>
    <row r="256" spans="1:28" ht="15.6" hidden="1" outlineLevel="1">
      <c r="A256" s="505">
        <f>1+A255</f>
        <v>2</v>
      </c>
      <c r="B256" t="str">
        <f>+$B$33</f>
        <v>Churchill</v>
      </c>
      <c r="C256" s="633"/>
      <c r="D256" s="633">
        <f t="shared" si="129"/>
        <v>6980</v>
      </c>
      <c r="E256" s="1405">
        <f t="shared" si="130"/>
        <v>0</v>
      </c>
      <c r="F256" s="1405">
        <f t="shared" si="130"/>
        <v>0</v>
      </c>
      <c r="G256" s="1405">
        <f t="shared" si="130"/>
        <v>0</v>
      </c>
      <c r="H256" s="1405">
        <f t="shared" si="130"/>
        <v>0</v>
      </c>
      <c r="I256" s="1405">
        <f t="shared" si="130"/>
        <v>0</v>
      </c>
      <c r="J256" s="1395">
        <f t="shared" si="131"/>
        <v>0</v>
      </c>
      <c r="O256" s="516"/>
      <c r="P256" s="517"/>
      <c r="Q256" s="518"/>
      <c r="R256" s="518"/>
      <c r="S256" s="518"/>
      <c r="T256" s="519"/>
      <c r="U256" s="519"/>
      <c r="V256" s="519"/>
      <c r="W256" s="519"/>
      <c r="X256" s="505"/>
      <c r="Y256" s="505"/>
      <c r="Z256" s="520"/>
      <c r="AA256" s="521"/>
      <c r="AB256" s="521"/>
    </row>
    <row r="257" spans="1:28" ht="15.6" hidden="1" outlineLevel="1">
      <c r="A257" s="505">
        <f t="shared" ref="A257:A260" si="132">1+A256</f>
        <v>3</v>
      </c>
      <c r="B257" t="str">
        <f>+$B$34</f>
        <v>Clark</v>
      </c>
      <c r="C257" s="633"/>
      <c r="D257" s="633">
        <f t="shared" si="129"/>
        <v>6980</v>
      </c>
      <c r="E257" s="1405">
        <f t="shared" si="130"/>
        <v>0</v>
      </c>
      <c r="F257" s="1405">
        <f t="shared" si="130"/>
        <v>0</v>
      </c>
      <c r="G257" s="1405">
        <f t="shared" si="130"/>
        <v>0</v>
      </c>
      <c r="H257" s="1405">
        <f t="shared" si="130"/>
        <v>0</v>
      </c>
      <c r="I257" s="1405">
        <f t="shared" si="130"/>
        <v>0</v>
      </c>
      <c r="J257" s="1395">
        <f t="shared" si="131"/>
        <v>0</v>
      </c>
      <c r="O257" s="516"/>
      <c r="P257" s="517"/>
      <c r="Q257" s="518"/>
      <c r="R257" s="518"/>
      <c r="S257" s="518"/>
      <c r="T257" s="519"/>
      <c r="U257" s="519"/>
      <c r="V257" s="519"/>
      <c r="W257" s="519"/>
      <c r="X257" s="505"/>
      <c r="Y257" s="505"/>
      <c r="Z257" s="520"/>
      <c r="AA257" s="521"/>
      <c r="AB257" s="521"/>
    </row>
    <row r="258" spans="1:28" ht="15.6" hidden="1" outlineLevel="1">
      <c r="A258" s="505">
        <f t="shared" si="132"/>
        <v>4</v>
      </c>
      <c r="B258" t="str">
        <f>+$B$35</f>
        <v>Elko</v>
      </c>
      <c r="C258" s="633"/>
      <c r="D258" s="633">
        <f t="shared" si="129"/>
        <v>6980</v>
      </c>
      <c r="E258" s="1405">
        <f t="shared" si="130"/>
        <v>0</v>
      </c>
      <c r="F258" s="1405">
        <f t="shared" si="130"/>
        <v>0</v>
      </c>
      <c r="G258" s="1405">
        <f t="shared" si="130"/>
        <v>0</v>
      </c>
      <c r="H258" s="1405">
        <f t="shared" si="130"/>
        <v>0</v>
      </c>
      <c r="I258" s="1405">
        <f t="shared" si="130"/>
        <v>0</v>
      </c>
      <c r="J258" s="1395">
        <f t="shared" si="131"/>
        <v>0</v>
      </c>
      <c r="O258" s="516"/>
      <c r="P258" s="517"/>
      <c r="Q258" s="518"/>
      <c r="R258" s="518"/>
      <c r="S258" s="518"/>
      <c r="T258" s="519"/>
      <c r="U258" s="519"/>
      <c r="V258" s="519"/>
      <c r="W258" s="519"/>
      <c r="X258" s="505"/>
      <c r="Y258" s="505"/>
      <c r="Z258" s="520"/>
      <c r="AA258" s="521"/>
      <c r="AB258" s="521"/>
    </row>
    <row r="259" spans="1:28" ht="15.6" hidden="1" outlineLevel="1">
      <c r="A259" s="505">
        <f t="shared" si="132"/>
        <v>5</v>
      </c>
      <c r="B259" t="str">
        <f>+$B$36</f>
        <v>Washoe</v>
      </c>
      <c r="C259" s="633"/>
      <c r="D259" s="633">
        <f t="shared" si="129"/>
        <v>6980</v>
      </c>
      <c r="E259" s="1405">
        <f t="shared" si="130"/>
        <v>0</v>
      </c>
      <c r="F259" s="1405">
        <f t="shared" si="130"/>
        <v>0</v>
      </c>
      <c r="G259" s="1405">
        <f t="shared" si="130"/>
        <v>0</v>
      </c>
      <c r="H259" s="1405">
        <f t="shared" si="130"/>
        <v>0</v>
      </c>
      <c r="I259" s="1405">
        <f t="shared" si="130"/>
        <v>0</v>
      </c>
      <c r="J259" s="1395">
        <f t="shared" si="131"/>
        <v>0</v>
      </c>
      <c r="O259" s="516"/>
      <c r="P259" s="517"/>
      <c r="Q259" s="518"/>
      <c r="R259" s="518"/>
      <c r="S259" s="518"/>
      <c r="T259" s="519"/>
      <c r="U259" s="519"/>
      <c r="V259" s="519"/>
      <c r="W259" s="519"/>
      <c r="X259" s="505"/>
      <c r="Y259" s="505"/>
      <c r="Z259" s="520"/>
      <c r="AA259" s="521"/>
      <c r="AB259" s="521"/>
    </row>
    <row r="260" spans="1:28" ht="15.6" hidden="1" outlineLevel="1">
      <c r="A260" s="505">
        <f t="shared" si="132"/>
        <v>6</v>
      </c>
      <c r="B260" t="str">
        <f>+$B$37</f>
        <v>White Pine</v>
      </c>
      <c r="C260" s="633"/>
      <c r="D260" s="633">
        <f t="shared" si="129"/>
        <v>6980</v>
      </c>
      <c r="E260" s="1406">
        <f t="shared" si="130"/>
        <v>0</v>
      </c>
      <c r="F260" s="1406">
        <f t="shared" si="130"/>
        <v>0</v>
      </c>
      <c r="G260" s="1406">
        <f t="shared" si="130"/>
        <v>0</v>
      </c>
      <c r="H260" s="1406">
        <f t="shared" si="130"/>
        <v>0</v>
      </c>
      <c r="I260" s="1406">
        <f t="shared" si="130"/>
        <v>0</v>
      </c>
      <c r="J260" s="1395">
        <f t="shared" si="131"/>
        <v>0</v>
      </c>
      <c r="O260" s="516"/>
      <c r="P260" s="517"/>
      <c r="Q260" s="518"/>
      <c r="R260" s="518"/>
      <c r="S260" s="518"/>
      <c r="T260" s="519"/>
      <c r="U260" s="519"/>
      <c r="V260" s="519"/>
      <c r="W260" s="519"/>
      <c r="X260" s="505"/>
      <c r="Y260" s="505"/>
      <c r="Z260" s="520"/>
      <c r="AA260" s="521"/>
      <c r="AB260" s="521"/>
    </row>
    <row r="261" spans="1:28" ht="15.6" hidden="1" outlineLevel="1">
      <c r="A261" s="505"/>
      <c r="B261" s="1402" t="s">
        <v>123</v>
      </c>
      <c r="C261" s="1402"/>
      <c r="D261" s="1402"/>
      <c r="E261" s="1436">
        <f>SUM(E255:E260)</f>
        <v>0</v>
      </c>
      <c r="F261" s="1436">
        <f t="shared" ref="F261" si="133">SUM(F255:F260)</f>
        <v>0</v>
      </c>
      <c r="G261" s="1436">
        <f t="shared" ref="G261" si="134">SUM(G255:G260)</f>
        <v>0</v>
      </c>
      <c r="H261" s="1436">
        <f t="shared" ref="H261" si="135">SUM(H255:H260)</f>
        <v>0</v>
      </c>
      <c r="I261" s="1436">
        <f t="shared" ref="I261" si="136">SUM(I255:I260)</f>
        <v>0</v>
      </c>
      <c r="J261" s="1436">
        <f t="shared" si="131"/>
        <v>0</v>
      </c>
      <c r="O261" s="516"/>
      <c r="P261" s="517"/>
      <c r="Q261" s="518"/>
      <c r="R261" s="518"/>
      <c r="S261" s="518"/>
      <c r="T261" s="519"/>
      <c r="U261" s="519"/>
      <c r="V261" s="519"/>
      <c r="W261" s="519"/>
      <c r="X261" s="505"/>
      <c r="Y261" s="505"/>
      <c r="Z261" s="520"/>
      <c r="AA261" s="521"/>
      <c r="AB261" s="521"/>
    </row>
    <row r="262" spans="1:28" ht="15.6" hidden="1" outlineLevel="1">
      <c r="A262" s="505"/>
      <c r="O262" s="516"/>
      <c r="P262" s="517"/>
      <c r="Q262" s="518"/>
      <c r="R262" s="518"/>
      <c r="S262" s="518"/>
      <c r="T262" s="519"/>
      <c r="U262" s="519"/>
      <c r="V262" s="519"/>
      <c r="W262" s="519"/>
      <c r="X262" s="505"/>
      <c r="Y262" s="505"/>
      <c r="Z262" s="520"/>
      <c r="AA262" s="521"/>
      <c r="AB262" s="521"/>
    </row>
    <row r="263" spans="1:28" ht="15.6" hidden="1" outlineLevel="1">
      <c r="A263" s="505"/>
      <c r="B263" s="1402" t="s">
        <v>1002</v>
      </c>
      <c r="C263" s="1402"/>
      <c r="D263" s="1402"/>
      <c r="E263" s="1436">
        <f>+E251+E261</f>
        <v>0</v>
      </c>
      <c r="F263" s="1436">
        <f t="shared" ref="F263:I263" si="137">+F251+F261</f>
        <v>173694.54078088093</v>
      </c>
      <c r="G263" s="1436">
        <f t="shared" si="137"/>
        <v>33504</v>
      </c>
      <c r="H263" s="1436">
        <f t="shared" si="137"/>
        <v>6281.9999999999991</v>
      </c>
      <c r="I263" s="1436">
        <f t="shared" si="137"/>
        <v>837.6</v>
      </c>
      <c r="J263" s="1438">
        <f>SUM(E263:I263)</f>
        <v>214318.14078088093</v>
      </c>
      <c r="O263" s="516"/>
      <c r="P263" s="517"/>
      <c r="Q263" s="518"/>
      <c r="R263" s="518"/>
      <c r="S263" s="518"/>
      <c r="T263" s="519"/>
      <c r="U263" s="519"/>
      <c r="V263" s="519"/>
      <c r="W263" s="519"/>
      <c r="X263" s="505"/>
      <c r="Y263" s="505"/>
      <c r="Z263" s="520"/>
      <c r="AA263" s="521"/>
      <c r="AB263" s="521"/>
    </row>
    <row r="264" spans="1:28" ht="15.6" hidden="1" outlineLevel="1">
      <c r="A264" s="505"/>
      <c r="O264" s="516"/>
      <c r="P264" s="517"/>
      <c r="Q264" s="518"/>
      <c r="R264" s="518"/>
      <c r="S264" s="518"/>
      <c r="T264" s="519"/>
      <c r="U264" s="519"/>
      <c r="V264" s="519"/>
      <c r="W264" s="519"/>
      <c r="X264" s="505"/>
      <c r="Y264" s="505"/>
      <c r="Z264" s="520"/>
      <c r="AA264" s="521"/>
      <c r="AB264" s="521"/>
    </row>
    <row r="265" spans="1:28" ht="15.6" hidden="1" outlineLevel="1">
      <c r="A265" s="505"/>
      <c r="O265" s="516"/>
      <c r="P265" s="517"/>
      <c r="Q265" s="518"/>
      <c r="R265" s="518"/>
      <c r="S265" s="518"/>
      <c r="T265" s="519"/>
      <c r="U265" s="519"/>
      <c r="V265" s="519"/>
      <c r="W265" s="519"/>
      <c r="X265" s="505"/>
      <c r="Y265" s="505"/>
      <c r="Z265" s="520"/>
      <c r="AA265" s="521"/>
      <c r="AB265" s="521"/>
    </row>
    <row r="266" spans="1:28" ht="15.6" hidden="1" outlineLevel="1">
      <c r="A266" s="505"/>
      <c r="O266" s="505"/>
      <c r="P266" s="522"/>
      <c r="Q266" s="522"/>
      <c r="R266" s="522"/>
      <c r="S266" s="522"/>
      <c r="T266" s="505"/>
      <c r="U266" s="505"/>
      <c r="V266" s="505"/>
      <c r="W266" s="505"/>
      <c r="X266" s="505"/>
      <c r="Y266" s="505"/>
      <c r="Z266" s="505"/>
      <c r="AA266" s="505"/>
      <c r="AB266" s="505"/>
    </row>
    <row r="267" spans="1:28" ht="15.6" hidden="1" outlineLevel="1">
      <c r="A267" s="505"/>
      <c r="B267" s="1425" t="s">
        <v>325</v>
      </c>
      <c r="C267" s="1425"/>
      <c r="D267" s="1425"/>
      <c r="E267" s="1426"/>
      <c r="F267" s="1426"/>
      <c r="G267" s="1426"/>
      <c r="H267" s="1426"/>
      <c r="I267" s="1426"/>
      <c r="J267" s="1426"/>
      <c r="O267" s="505"/>
      <c r="P267" s="522"/>
      <c r="Q267" s="522"/>
      <c r="R267" s="522"/>
      <c r="S267" s="522"/>
      <c r="T267" s="505"/>
      <c r="U267" s="505"/>
      <c r="V267" s="505"/>
      <c r="W267" s="505"/>
      <c r="X267" s="505"/>
      <c r="Y267" s="505"/>
      <c r="Z267" s="505"/>
      <c r="AA267" s="505"/>
      <c r="AB267" s="505"/>
    </row>
    <row r="268" spans="1:28" ht="15.6" hidden="1" outlineLevel="1">
      <c r="A268" s="505"/>
      <c r="B268" s="1415" t="s">
        <v>987</v>
      </c>
      <c r="C268" s="1415"/>
      <c r="D268" s="1415"/>
      <c r="E268" s="1416"/>
      <c r="F268" s="1332"/>
      <c r="G268" s="1415"/>
      <c r="H268" s="1416"/>
      <c r="I268" s="1416"/>
      <c r="J268" s="1417"/>
      <c r="O268" s="505"/>
      <c r="P268" s="522"/>
      <c r="Q268" s="522"/>
      <c r="R268" s="522"/>
      <c r="S268" s="522"/>
      <c r="T268" s="505"/>
      <c r="U268" s="505"/>
      <c r="V268" s="505"/>
      <c r="W268" s="505"/>
      <c r="X268" s="505"/>
      <c r="Y268" s="505"/>
      <c r="Z268" s="505"/>
      <c r="AA268" s="505"/>
      <c r="AB268" s="505"/>
    </row>
    <row r="269" spans="1:28" ht="15.6" hidden="1" outlineLevel="1">
      <c r="A269" s="505"/>
      <c r="B269" s="1319"/>
      <c r="C269" s="1319"/>
      <c r="D269" s="1319"/>
      <c r="E269" s="1319" t="s">
        <v>998</v>
      </c>
      <c r="F269" s="1314"/>
      <c r="G269" s="1319"/>
      <c r="H269" s="554"/>
      <c r="I269" s="554"/>
      <c r="J269" s="1409"/>
      <c r="O269" s="505"/>
      <c r="P269" s="522"/>
      <c r="Q269" s="522"/>
      <c r="R269" s="522"/>
      <c r="S269" s="522"/>
      <c r="T269" s="505"/>
      <c r="U269" s="505"/>
      <c r="V269" s="505"/>
      <c r="W269" s="505"/>
      <c r="X269" s="505"/>
      <c r="Y269" s="505"/>
      <c r="Z269" s="505"/>
      <c r="AA269" s="505"/>
      <c r="AB269" s="505"/>
    </row>
    <row r="270" spans="1:28" ht="15.6" hidden="1" outlineLevel="1">
      <c r="A270" s="505"/>
      <c r="B270" s="1380"/>
      <c r="C270" s="1380"/>
      <c r="D270" s="1380"/>
      <c r="E270" s="1380" t="s">
        <v>481</v>
      </c>
      <c r="F270" s="1380" t="s">
        <v>977</v>
      </c>
      <c r="G270" s="1380" t="s">
        <v>978</v>
      </c>
      <c r="H270" s="1380" t="s">
        <v>967</v>
      </c>
      <c r="I270" s="1380" t="s">
        <v>979</v>
      </c>
      <c r="J270" s="1380" t="s">
        <v>123</v>
      </c>
      <c r="O270" s="505"/>
      <c r="P270" s="522"/>
      <c r="Q270" s="522"/>
      <c r="R270" s="522"/>
      <c r="S270" s="522"/>
      <c r="T270" s="505"/>
      <c r="U270" s="505"/>
      <c r="V270" s="505"/>
      <c r="W270" s="505"/>
      <c r="X270" s="505"/>
      <c r="Y270" s="505"/>
      <c r="Z270" s="505"/>
      <c r="AA270" s="505"/>
      <c r="AB270" s="505"/>
    </row>
    <row r="271" spans="1:28" ht="15.6" hidden="1" outlineLevel="1">
      <c r="A271" s="505">
        <v>1</v>
      </c>
      <c r="B271" t="str">
        <f>+B$32</f>
        <v xml:space="preserve">Carson City </v>
      </c>
      <c r="C271" s="673"/>
      <c r="D271" s="673">
        <f>E180</f>
        <v>0</v>
      </c>
      <c r="E271" s="1433">
        <f>+E284+E294</f>
        <v>0</v>
      </c>
      <c r="F271" s="1433">
        <f t="shared" ref="F271:I271" si="138">+F284+F294</f>
        <v>0</v>
      </c>
      <c r="G271" s="1433">
        <f t="shared" si="138"/>
        <v>0</v>
      </c>
      <c r="H271" s="1433">
        <f t="shared" si="138"/>
        <v>0</v>
      </c>
      <c r="I271" s="1433">
        <f t="shared" si="138"/>
        <v>0</v>
      </c>
      <c r="J271" s="1431">
        <f t="shared" ref="J271:J278" si="139">SUM(E271:I271)</f>
        <v>0</v>
      </c>
      <c r="O271" s="505"/>
      <c r="P271" s="522"/>
      <c r="Q271" s="522"/>
      <c r="R271" s="522"/>
      <c r="S271" s="522"/>
      <c r="T271" s="505"/>
      <c r="U271" s="505"/>
      <c r="V271" s="505"/>
      <c r="W271" s="505"/>
      <c r="X271" s="505"/>
      <c r="Y271" s="505"/>
      <c r="Z271" s="505"/>
      <c r="AA271" s="505"/>
      <c r="AB271" s="505"/>
    </row>
    <row r="272" spans="1:28" ht="15.6" hidden="1" outlineLevel="1">
      <c r="A272" s="505">
        <f>1+A271</f>
        <v>2</v>
      </c>
      <c r="B272" t="str">
        <f>+$B$33</f>
        <v>Churchill</v>
      </c>
      <c r="C272" s="633"/>
      <c r="D272" s="633">
        <f t="shared" ref="D272:D276" si="140">E181</f>
        <v>0</v>
      </c>
      <c r="E272" s="1390">
        <f t="shared" ref="E272:I272" si="141">+E285+E295</f>
        <v>0</v>
      </c>
      <c r="F272" s="1390">
        <f t="shared" si="141"/>
        <v>0</v>
      </c>
      <c r="G272" s="1390">
        <f t="shared" si="141"/>
        <v>0</v>
      </c>
      <c r="H272" s="1390">
        <f t="shared" si="141"/>
        <v>0</v>
      </c>
      <c r="I272" s="1390">
        <f t="shared" si="141"/>
        <v>0</v>
      </c>
      <c r="J272" s="1390">
        <f t="shared" si="139"/>
        <v>0</v>
      </c>
      <c r="O272" s="505"/>
      <c r="P272" s="522"/>
      <c r="Q272" s="522"/>
      <c r="R272" s="522"/>
      <c r="S272" s="522"/>
      <c r="T272" s="505"/>
      <c r="U272" s="505"/>
      <c r="V272" s="505"/>
      <c r="W272" s="505"/>
      <c r="X272" s="505"/>
      <c r="Y272" s="505"/>
      <c r="Z272" s="505"/>
      <c r="AA272" s="505"/>
      <c r="AB272" s="505"/>
    </row>
    <row r="273" spans="1:28" ht="15.6" hidden="1" outlineLevel="1">
      <c r="A273" s="505">
        <f t="shared" ref="A273:A276" si="142">1+A272</f>
        <v>3</v>
      </c>
      <c r="B273" t="str">
        <f>+$B$34</f>
        <v>Clark</v>
      </c>
      <c r="C273" s="633"/>
      <c r="D273" s="633" t="str">
        <f t="shared" si="140"/>
        <v>General</v>
      </c>
      <c r="E273" s="1390" t="e">
        <f t="shared" ref="E273:I273" si="143">+E286+E296</f>
        <v>#VALUE!</v>
      </c>
      <c r="F273" s="1390" t="e">
        <f t="shared" si="143"/>
        <v>#VALUE!</v>
      </c>
      <c r="G273" s="1390" t="e">
        <f t="shared" si="143"/>
        <v>#VALUE!</v>
      </c>
      <c r="H273" s="1390" t="e">
        <f t="shared" si="143"/>
        <v>#VALUE!</v>
      </c>
      <c r="I273" s="1390" t="e">
        <f t="shared" si="143"/>
        <v>#VALUE!</v>
      </c>
      <c r="J273" s="1390" t="e">
        <f t="shared" si="139"/>
        <v>#VALUE!</v>
      </c>
      <c r="O273" s="505"/>
      <c r="P273" s="522"/>
      <c r="Q273" s="522"/>
      <c r="R273" s="522"/>
      <c r="S273" s="522"/>
      <c r="T273" s="505"/>
      <c r="U273" s="505"/>
      <c r="V273" s="505"/>
      <c r="W273" s="505"/>
      <c r="X273" s="505"/>
      <c r="Y273" s="505"/>
      <c r="Z273" s="505"/>
      <c r="AA273" s="505"/>
      <c r="AB273" s="505"/>
    </row>
    <row r="274" spans="1:28" ht="15.6" hidden="1" outlineLevel="1">
      <c r="A274" s="505">
        <f t="shared" si="142"/>
        <v>4</v>
      </c>
      <c r="B274" t="str">
        <f>+$B$35</f>
        <v>Elko</v>
      </c>
      <c r="C274" s="633"/>
      <c r="D274" s="633">
        <f t="shared" si="140"/>
        <v>100</v>
      </c>
      <c r="E274" s="1390">
        <f>+E287+E297</f>
        <v>797433.33333333326</v>
      </c>
      <c r="F274" s="1390">
        <f t="shared" ref="F274:I274" si="144">+F287+F297</f>
        <v>3907771.4722998859</v>
      </c>
      <c r="G274" s="1390">
        <f t="shared" si="144"/>
        <v>1425172.8533333335</v>
      </c>
      <c r="H274" s="1390">
        <f t="shared" si="144"/>
        <v>824705.55333333334</v>
      </c>
      <c r="I274" s="1390">
        <f t="shared" si="144"/>
        <v>962023.57333333336</v>
      </c>
      <c r="J274" s="1390">
        <f t="shared" si="139"/>
        <v>7917106.7856332194</v>
      </c>
      <c r="O274" s="505"/>
      <c r="P274" s="522"/>
      <c r="Q274" s="522"/>
      <c r="R274" s="522"/>
      <c r="S274" s="522"/>
      <c r="T274" s="505"/>
      <c r="U274" s="505"/>
      <c r="V274" s="505"/>
      <c r="W274" s="505"/>
      <c r="X274" s="505"/>
      <c r="Y274" s="505"/>
      <c r="Z274" s="505"/>
      <c r="AA274" s="505"/>
      <c r="AB274" s="505"/>
    </row>
    <row r="275" spans="1:28" ht="15.6" hidden="1" outlineLevel="1">
      <c r="A275" s="505">
        <f t="shared" si="142"/>
        <v>5</v>
      </c>
      <c r="B275" t="str">
        <f>+$B$36</f>
        <v>Washoe</v>
      </c>
      <c r="C275" s="633"/>
      <c r="D275" s="633">
        <f t="shared" si="140"/>
        <v>0</v>
      </c>
      <c r="E275" s="1401">
        <f t="shared" ref="E275:I275" si="145">+E288+E298</f>
        <v>0</v>
      </c>
      <c r="F275" s="1401">
        <f t="shared" si="145"/>
        <v>0</v>
      </c>
      <c r="G275" s="1401">
        <f t="shared" si="145"/>
        <v>0</v>
      </c>
      <c r="H275" s="1401">
        <f t="shared" si="145"/>
        <v>0</v>
      </c>
      <c r="I275" s="1401">
        <f t="shared" si="145"/>
        <v>0</v>
      </c>
      <c r="J275" s="1390">
        <f t="shared" si="139"/>
        <v>0</v>
      </c>
      <c r="O275" s="505"/>
      <c r="P275" s="522"/>
      <c r="Q275" s="522"/>
      <c r="R275" s="522"/>
      <c r="S275" s="522"/>
      <c r="T275" s="505"/>
      <c r="U275" s="505"/>
      <c r="V275" s="505"/>
      <c r="W275" s="505"/>
      <c r="X275" s="505"/>
      <c r="Y275" s="505"/>
      <c r="Z275" s="505"/>
      <c r="AA275" s="505"/>
      <c r="AB275" s="505"/>
    </row>
    <row r="276" spans="1:28" ht="15.6" hidden="1" outlineLevel="1">
      <c r="A276" s="505">
        <f t="shared" si="142"/>
        <v>6</v>
      </c>
      <c r="B276" t="str">
        <f>+$B$37</f>
        <v>White Pine</v>
      </c>
      <c r="C276" s="633"/>
      <c r="D276" s="633">
        <f t="shared" si="140"/>
        <v>0</v>
      </c>
      <c r="E276" s="1401" t="e">
        <f t="shared" ref="E276:I276" si="146">+E289+E299</f>
        <v>#VALUE!</v>
      </c>
      <c r="F276" s="1401">
        <f t="shared" si="146"/>
        <v>0</v>
      </c>
      <c r="G276" s="1401">
        <f t="shared" si="146"/>
        <v>0</v>
      </c>
      <c r="H276" s="1401">
        <f t="shared" si="146"/>
        <v>0</v>
      </c>
      <c r="I276" s="1401">
        <f t="shared" si="146"/>
        <v>0</v>
      </c>
      <c r="J276" s="1401" t="e">
        <f t="shared" si="139"/>
        <v>#VALUE!</v>
      </c>
      <c r="O276" s="505"/>
      <c r="P276" s="522"/>
      <c r="Q276" s="522"/>
      <c r="R276" s="522"/>
      <c r="S276" s="522"/>
      <c r="T276" s="505"/>
      <c r="U276" s="505"/>
      <c r="V276" s="505"/>
      <c r="W276" s="505"/>
      <c r="X276" s="505"/>
      <c r="Y276" s="505"/>
      <c r="Z276" s="505"/>
      <c r="AA276" s="505"/>
      <c r="AB276" s="505"/>
    </row>
    <row r="277" spans="1:28" ht="15.6" hidden="1" outlineLevel="1">
      <c r="A277" s="505"/>
      <c r="B277" s="1402" t="s">
        <v>406</v>
      </c>
      <c r="C277" s="1402"/>
      <c r="D277" s="1402"/>
      <c r="E277" s="1432" t="e">
        <f>SUM(E271:E276)</f>
        <v>#VALUE!</v>
      </c>
      <c r="F277" s="1432" t="e">
        <f>SUM(F271:F276)</f>
        <v>#VALUE!</v>
      </c>
      <c r="G277" s="1432" t="e">
        <f t="shared" ref="G277" si="147">SUM(G271:G276)</f>
        <v>#VALUE!</v>
      </c>
      <c r="H277" s="1432" t="e">
        <f t="shared" ref="H277" si="148">SUM(H271:H276)</f>
        <v>#VALUE!</v>
      </c>
      <c r="I277" s="1432" t="e">
        <f t="shared" ref="I277" si="149">SUM(I271:I276)</f>
        <v>#VALUE!</v>
      </c>
      <c r="J277" s="1434" t="e">
        <f t="shared" si="139"/>
        <v>#VALUE!</v>
      </c>
      <c r="O277" s="505"/>
      <c r="P277" s="522"/>
      <c r="Q277" s="522"/>
      <c r="R277" s="522"/>
      <c r="S277" s="522"/>
      <c r="T277" s="505"/>
      <c r="U277" s="505"/>
      <c r="V277" s="505"/>
      <c r="W277" s="505"/>
      <c r="X277" s="505"/>
      <c r="Y277" s="505"/>
      <c r="Z277" s="505"/>
      <c r="AA277" s="505"/>
      <c r="AB277" s="505"/>
    </row>
    <row r="278" spans="1:28" ht="15.6" hidden="1" outlineLevel="1">
      <c r="A278" s="505"/>
      <c r="B278" s="1" t="s">
        <v>405</v>
      </c>
      <c r="E278" s="1395" t="str">
        <f>+E208</f>
        <v>General</v>
      </c>
      <c r="F278" s="1395" t="str">
        <f t="shared" ref="F278:I278" si="150">+F208</f>
        <v>SpEd</v>
      </c>
      <c r="G278" s="1395" t="str">
        <f t="shared" si="150"/>
        <v>EL</v>
      </c>
      <c r="H278" s="1395" t="str">
        <f t="shared" si="150"/>
        <v>AR</v>
      </c>
      <c r="I278" s="1395" t="str">
        <f t="shared" si="150"/>
        <v>G&amp;T</v>
      </c>
      <c r="J278" s="1395">
        <f t="shared" si="139"/>
        <v>0</v>
      </c>
      <c r="O278" s="505"/>
      <c r="P278" s="522"/>
      <c r="Q278" s="522"/>
      <c r="R278" s="522"/>
      <c r="S278" s="522"/>
      <c r="T278" s="505"/>
      <c r="U278" s="505"/>
      <c r="V278" s="505"/>
      <c r="W278" s="505"/>
      <c r="X278" s="505"/>
      <c r="Y278" s="505"/>
      <c r="Z278" s="505"/>
      <c r="AA278" s="505"/>
      <c r="AB278" s="505"/>
    </row>
    <row r="279" spans="1:28" ht="15.6" hidden="1" outlineLevel="1">
      <c r="A279" s="505"/>
      <c r="B279" s="1402" t="s">
        <v>1005</v>
      </c>
      <c r="C279" s="1414"/>
      <c r="D279" s="1414"/>
      <c r="E279" s="1436" t="e">
        <f t="shared" ref="E279" si="151">+E277/E278</f>
        <v>#VALUE!</v>
      </c>
      <c r="F279" s="1436" t="e">
        <f t="shared" ref="F279" si="152">+F277/F278</f>
        <v>#VALUE!</v>
      </c>
      <c r="G279" s="1436" t="e">
        <f t="shared" ref="G279" si="153">+G277/G278</f>
        <v>#VALUE!</v>
      </c>
      <c r="H279" s="1436" t="e">
        <f t="shared" ref="H279" si="154">+H277/H278</f>
        <v>#VALUE!</v>
      </c>
      <c r="I279" s="1436" t="e">
        <f t="shared" ref="I279" si="155">+I277/I278</f>
        <v>#VALUE!</v>
      </c>
      <c r="J279" s="1436" t="e">
        <f>+J277/J278</f>
        <v>#VALUE!</v>
      </c>
      <c r="O279" s="505"/>
      <c r="P279" s="522"/>
      <c r="Q279" s="522"/>
      <c r="R279" s="522"/>
      <c r="S279" s="522"/>
      <c r="T279" s="505"/>
      <c r="U279" s="505"/>
      <c r="V279" s="505"/>
      <c r="W279" s="505"/>
      <c r="X279" s="505"/>
      <c r="Y279" s="505"/>
      <c r="Z279" s="505"/>
      <c r="AA279" s="505"/>
      <c r="AB279" s="505"/>
    </row>
    <row r="280" spans="1:28" ht="15.6" hidden="1" outlineLevel="1">
      <c r="A280" s="505"/>
      <c r="B280" s="1"/>
      <c r="J280" s="1395"/>
      <c r="O280" s="505"/>
      <c r="P280" s="522"/>
      <c r="Q280" s="522"/>
      <c r="R280" s="522"/>
      <c r="S280" s="522"/>
      <c r="T280" s="505"/>
      <c r="U280" s="505"/>
      <c r="V280" s="505"/>
      <c r="W280" s="505"/>
      <c r="X280" s="505"/>
      <c r="Y280" s="505"/>
      <c r="Z280" s="505"/>
      <c r="AA280" s="505"/>
      <c r="AB280" s="505"/>
    </row>
    <row r="281" spans="1:28" ht="15.6" hidden="1" outlineLevel="1">
      <c r="A281" s="505"/>
      <c r="E281" s="1319" t="s">
        <v>1006</v>
      </c>
      <c r="F281" s="1314"/>
      <c r="G281" s="1319"/>
      <c r="H281" s="1319"/>
      <c r="I281" s="1319"/>
      <c r="J281" s="554"/>
      <c r="O281" s="505"/>
      <c r="P281" s="522"/>
      <c r="Q281" s="522"/>
      <c r="R281" s="522"/>
      <c r="S281" s="522"/>
      <c r="T281" s="505"/>
      <c r="U281" s="505"/>
      <c r="V281" s="505"/>
      <c r="W281" s="505"/>
      <c r="X281" s="505"/>
      <c r="Y281" s="505"/>
      <c r="Z281" s="505"/>
      <c r="AA281" s="505"/>
      <c r="AB281" s="505"/>
    </row>
    <row r="282" spans="1:28" ht="15.6" hidden="1" outlineLevel="1">
      <c r="A282" s="505"/>
      <c r="E282" s="1380" t="s">
        <v>481</v>
      </c>
      <c r="F282" s="1380" t="s">
        <v>977</v>
      </c>
      <c r="G282" s="1380" t="s">
        <v>978</v>
      </c>
      <c r="H282" s="1380" t="s">
        <v>967</v>
      </c>
      <c r="I282" s="1380" t="s">
        <v>979</v>
      </c>
      <c r="J282" s="1391"/>
      <c r="O282" s="505"/>
      <c r="P282" s="522"/>
      <c r="Q282" s="522"/>
      <c r="R282" s="522"/>
      <c r="S282" s="522"/>
      <c r="T282" s="505"/>
      <c r="U282" s="505"/>
      <c r="V282" s="505"/>
      <c r="W282" s="505"/>
      <c r="X282" s="505"/>
      <c r="Y282" s="505"/>
      <c r="Z282" s="505"/>
      <c r="AA282" s="505"/>
      <c r="AB282" s="505"/>
    </row>
    <row r="283" spans="1:28" ht="15.6" hidden="1" outlineLevel="1">
      <c r="A283" s="505"/>
      <c r="B283" s="1380" t="s">
        <v>1000</v>
      </c>
      <c r="C283" s="1380"/>
      <c r="D283" s="1380"/>
      <c r="E283" s="1442">
        <v>0</v>
      </c>
      <c r="F283" s="1441">
        <f>+F212</f>
        <v>11021.2</v>
      </c>
      <c r="G283" s="1441">
        <f t="shared" ref="G283:I283" si="156">+G212</f>
        <v>3454.56</v>
      </c>
      <c r="H283" s="1441">
        <f t="shared" si="156"/>
        <v>647.73</v>
      </c>
      <c r="I283" s="1441">
        <f t="shared" si="156"/>
        <v>863.64</v>
      </c>
      <c r="J283" s="1380" t="s">
        <v>123</v>
      </c>
      <c r="O283" s="505"/>
      <c r="P283" s="522"/>
      <c r="Q283" s="522"/>
      <c r="R283" s="522"/>
      <c r="S283" s="522"/>
      <c r="T283" s="505"/>
      <c r="U283" s="505"/>
      <c r="V283" s="505"/>
      <c r="W283" s="505"/>
      <c r="X283" s="505"/>
      <c r="Y283" s="505"/>
      <c r="Z283" s="505"/>
      <c r="AA283" s="505"/>
      <c r="AB283" s="505"/>
    </row>
    <row r="284" spans="1:28" ht="15.6" hidden="1" outlineLevel="1">
      <c r="A284" s="505">
        <v>1</v>
      </c>
      <c r="B284" t="str">
        <f>+B$32</f>
        <v xml:space="preserve">Carson City </v>
      </c>
      <c r="C284" s="673"/>
      <c r="D284" s="673">
        <f>E180</f>
        <v>0</v>
      </c>
      <c r="E284" s="1393"/>
      <c r="F284" s="1427">
        <f t="shared" ref="F284:I289" si="157">F$209*F213*$D284</f>
        <v>0</v>
      </c>
      <c r="G284" s="1427">
        <f t="shared" si="157"/>
        <v>0</v>
      </c>
      <c r="H284" s="1427">
        <f t="shared" si="157"/>
        <v>0</v>
      </c>
      <c r="I284" s="1427">
        <f t="shared" si="157"/>
        <v>0</v>
      </c>
      <c r="J284" s="1431">
        <f t="shared" ref="J284:J290" si="158">SUM(E284:I284)</f>
        <v>0</v>
      </c>
      <c r="O284" s="505"/>
      <c r="P284" s="522"/>
      <c r="Q284" s="522"/>
      <c r="R284" s="522"/>
      <c r="S284" s="522"/>
      <c r="T284" s="505"/>
      <c r="U284" s="505"/>
      <c r="V284" s="505"/>
      <c r="W284" s="505"/>
      <c r="X284" s="505"/>
      <c r="Y284" s="505"/>
      <c r="Z284" s="505"/>
      <c r="AA284" s="505"/>
      <c r="AB284" s="505"/>
    </row>
    <row r="285" spans="1:28" ht="15.6" hidden="1" outlineLevel="1">
      <c r="A285" s="505">
        <f>1+A284</f>
        <v>2</v>
      </c>
      <c r="B285" t="str">
        <f>+$B$33</f>
        <v>Churchill</v>
      </c>
      <c r="C285" s="633"/>
      <c r="D285" s="633">
        <f t="shared" ref="D285:D289" si="159">E181</f>
        <v>0</v>
      </c>
      <c r="E285" s="1393"/>
      <c r="F285" s="1428">
        <f t="shared" si="157"/>
        <v>0</v>
      </c>
      <c r="G285" s="1428">
        <f t="shared" si="157"/>
        <v>0</v>
      </c>
      <c r="H285" s="1428">
        <f t="shared" si="157"/>
        <v>0</v>
      </c>
      <c r="I285" s="1428">
        <f t="shared" si="157"/>
        <v>0</v>
      </c>
      <c r="J285" s="1390">
        <f t="shared" si="158"/>
        <v>0</v>
      </c>
      <c r="O285" s="505"/>
      <c r="P285" s="522"/>
      <c r="Q285" s="522"/>
      <c r="R285" s="522"/>
      <c r="S285" s="522"/>
      <c r="T285" s="505"/>
      <c r="U285" s="505"/>
      <c r="V285" s="505"/>
      <c r="W285" s="505"/>
      <c r="X285" s="505"/>
      <c r="Y285" s="505"/>
      <c r="Z285" s="505"/>
      <c r="AA285" s="505"/>
      <c r="AB285" s="505"/>
    </row>
    <row r="286" spans="1:28" ht="15.6" hidden="1" outlineLevel="1">
      <c r="A286" s="505">
        <f t="shared" ref="A286:A289" si="160">1+A285</f>
        <v>3</v>
      </c>
      <c r="B286" t="str">
        <f>+$B$34</f>
        <v>Clark</v>
      </c>
      <c r="C286" s="633"/>
      <c r="D286" s="633" t="str">
        <f t="shared" si="159"/>
        <v>General</v>
      </c>
      <c r="E286" s="1393"/>
      <c r="F286" s="1428" t="e">
        <f t="shared" si="157"/>
        <v>#VALUE!</v>
      </c>
      <c r="G286" s="1428" t="e">
        <f t="shared" si="157"/>
        <v>#VALUE!</v>
      </c>
      <c r="H286" s="1428" t="e">
        <f t="shared" si="157"/>
        <v>#VALUE!</v>
      </c>
      <c r="I286" s="1428" t="e">
        <f t="shared" si="157"/>
        <v>#VALUE!</v>
      </c>
      <c r="J286" s="1390" t="e">
        <f t="shared" si="158"/>
        <v>#VALUE!</v>
      </c>
      <c r="O286" s="505"/>
      <c r="P286" s="522"/>
      <c r="Q286" s="522"/>
      <c r="R286" s="522"/>
      <c r="S286" s="522"/>
      <c r="T286" s="505"/>
      <c r="U286" s="505"/>
      <c r="V286" s="505"/>
      <c r="W286" s="505"/>
      <c r="X286" s="505"/>
      <c r="Y286" s="505"/>
      <c r="Z286" s="505"/>
      <c r="AA286" s="505"/>
      <c r="AB286" s="505"/>
    </row>
    <row r="287" spans="1:28" ht="15.6" hidden="1" outlineLevel="1">
      <c r="A287" s="505">
        <f t="shared" si="160"/>
        <v>4</v>
      </c>
      <c r="B287" t="str">
        <f>+$B$35</f>
        <v>Elko</v>
      </c>
      <c r="C287" s="633"/>
      <c r="D287" s="633">
        <f t="shared" si="159"/>
        <v>100</v>
      </c>
      <c r="E287" s="1393"/>
      <c r="F287" s="1428">
        <f t="shared" si="157"/>
        <v>2805048.7040168052</v>
      </c>
      <c r="G287" s="1428">
        <f t="shared" si="157"/>
        <v>551185.92000000004</v>
      </c>
      <c r="H287" s="1428">
        <f t="shared" si="157"/>
        <v>12918.419999999998</v>
      </c>
      <c r="I287" s="1428">
        <f t="shared" si="157"/>
        <v>68898.240000000005</v>
      </c>
      <c r="J287" s="1390">
        <f t="shared" si="158"/>
        <v>3438051.2840168052</v>
      </c>
      <c r="O287" s="505"/>
      <c r="P287" s="522"/>
      <c r="Q287" s="522"/>
      <c r="R287" s="522"/>
      <c r="S287" s="522"/>
      <c r="T287" s="505"/>
      <c r="U287" s="505"/>
      <c r="V287" s="505"/>
      <c r="W287" s="505"/>
      <c r="X287" s="505"/>
      <c r="Y287" s="505"/>
      <c r="Z287" s="505"/>
      <c r="AA287" s="505"/>
      <c r="AB287" s="505"/>
    </row>
    <row r="288" spans="1:28" ht="15.6" hidden="1" outlineLevel="1">
      <c r="A288" s="505">
        <f t="shared" si="160"/>
        <v>5</v>
      </c>
      <c r="B288" t="str">
        <f>+$B$36</f>
        <v>Washoe</v>
      </c>
      <c r="C288" s="633"/>
      <c r="D288" s="633">
        <f t="shared" si="159"/>
        <v>0</v>
      </c>
      <c r="E288" s="1393"/>
      <c r="F288" s="1428">
        <f t="shared" si="157"/>
        <v>0</v>
      </c>
      <c r="G288" s="1428">
        <f t="shared" si="157"/>
        <v>0</v>
      </c>
      <c r="H288" s="1428">
        <f t="shared" si="157"/>
        <v>0</v>
      </c>
      <c r="I288" s="1428">
        <f t="shared" si="157"/>
        <v>0</v>
      </c>
      <c r="J288" s="1390">
        <f t="shared" si="158"/>
        <v>0</v>
      </c>
      <c r="O288" s="505"/>
      <c r="P288" s="522"/>
      <c r="Q288" s="522"/>
      <c r="R288" s="522"/>
      <c r="S288" s="522"/>
      <c r="T288" s="505"/>
      <c r="U288" s="505"/>
      <c r="V288" s="505"/>
      <c r="W288" s="505"/>
      <c r="X288" s="505"/>
      <c r="Y288" s="505"/>
      <c r="Z288" s="505"/>
      <c r="AA288" s="505"/>
      <c r="AB288" s="505"/>
    </row>
    <row r="289" spans="1:28" ht="15.6" hidden="1" outlineLevel="1">
      <c r="A289" s="505">
        <f t="shared" si="160"/>
        <v>6</v>
      </c>
      <c r="B289" t="str">
        <f>+$B$37</f>
        <v>White Pine</v>
      </c>
      <c r="C289" s="633"/>
      <c r="D289" s="633">
        <f t="shared" si="159"/>
        <v>0</v>
      </c>
      <c r="E289" s="1393"/>
      <c r="F289" s="1429">
        <f t="shared" si="157"/>
        <v>0</v>
      </c>
      <c r="G289" s="1429">
        <f t="shared" si="157"/>
        <v>0</v>
      </c>
      <c r="H289" s="1429">
        <f t="shared" si="157"/>
        <v>0</v>
      </c>
      <c r="I289" s="1429">
        <f t="shared" si="157"/>
        <v>0</v>
      </c>
      <c r="J289" s="1401">
        <f t="shared" si="158"/>
        <v>0</v>
      </c>
      <c r="O289" s="505"/>
      <c r="P289" s="522"/>
      <c r="Q289" s="522"/>
      <c r="R289" s="522"/>
      <c r="S289" s="522"/>
      <c r="T289" s="505"/>
      <c r="U289" s="505"/>
      <c r="V289" s="505"/>
      <c r="W289" s="505"/>
      <c r="X289" s="505"/>
      <c r="Y289" s="505"/>
      <c r="Z289" s="505"/>
      <c r="AA289" s="505"/>
      <c r="AB289" s="505"/>
    </row>
    <row r="290" spans="1:28" ht="15.6" hidden="1" outlineLevel="1">
      <c r="A290" s="505"/>
      <c r="B290" s="1402" t="s">
        <v>123</v>
      </c>
      <c r="C290" s="1402"/>
      <c r="D290" s="1402"/>
      <c r="E290" s="1437"/>
      <c r="F290" s="1436" t="e">
        <f t="shared" ref="F290" si="161">SUM(F284:F289)</f>
        <v>#VALUE!</v>
      </c>
      <c r="G290" s="1436" t="e">
        <f t="shared" ref="G290" si="162">SUM(G284:G289)</f>
        <v>#VALUE!</v>
      </c>
      <c r="H290" s="1436" t="e">
        <f t="shared" ref="H290" si="163">SUM(H284:H289)</f>
        <v>#VALUE!</v>
      </c>
      <c r="I290" s="1436" t="e">
        <f t="shared" ref="I290" si="164">SUM(I284:I289)</f>
        <v>#VALUE!</v>
      </c>
      <c r="J290" s="1432" t="e">
        <f t="shared" si="158"/>
        <v>#VALUE!</v>
      </c>
      <c r="O290" s="505"/>
      <c r="P290" s="522"/>
      <c r="Q290" s="522"/>
      <c r="R290" s="522"/>
      <c r="S290" s="522"/>
      <c r="T290" s="505"/>
      <c r="U290" s="505"/>
      <c r="V290" s="505"/>
      <c r="W290" s="505"/>
      <c r="X290" s="505"/>
      <c r="Y290" s="505"/>
      <c r="Z290" s="505"/>
      <c r="AA290" s="505"/>
      <c r="AB290" s="505"/>
    </row>
    <row r="291" spans="1:28" ht="15.6" hidden="1" outlineLevel="1">
      <c r="A291" s="505"/>
      <c r="O291" s="505"/>
      <c r="P291" s="522"/>
      <c r="Q291" s="522"/>
      <c r="R291" s="522"/>
      <c r="S291" s="522"/>
      <c r="T291" s="505"/>
      <c r="U291" s="505"/>
      <c r="V291" s="505"/>
      <c r="W291" s="505"/>
      <c r="X291" s="505"/>
      <c r="Y291" s="505"/>
      <c r="Z291" s="505"/>
      <c r="AA291" s="505"/>
      <c r="AB291" s="505"/>
    </row>
    <row r="292" spans="1:28" ht="15.6" hidden="1" outlineLevel="1">
      <c r="A292" s="505"/>
      <c r="E292" s="1319" t="s">
        <v>1007</v>
      </c>
      <c r="F292" s="1"/>
      <c r="G292" s="554"/>
      <c r="H292" s="554"/>
      <c r="I292" s="554"/>
      <c r="O292" s="505"/>
      <c r="P292" s="522"/>
      <c r="Q292" s="522"/>
      <c r="R292" s="522"/>
      <c r="S292" s="522"/>
      <c r="T292" s="505"/>
      <c r="U292" s="505"/>
      <c r="V292" s="505"/>
      <c r="W292" s="505"/>
      <c r="X292" s="505"/>
      <c r="Y292" s="505"/>
      <c r="Z292" s="505"/>
      <c r="AA292" s="505"/>
      <c r="AB292" s="505"/>
    </row>
    <row r="293" spans="1:28" ht="15.6" hidden="1" outlineLevel="1">
      <c r="A293" s="505"/>
      <c r="E293" s="1380" t="s">
        <v>481</v>
      </c>
      <c r="F293" s="1403" t="s">
        <v>977</v>
      </c>
      <c r="G293" s="1380" t="s">
        <v>978</v>
      </c>
      <c r="H293" s="1380" t="s">
        <v>967</v>
      </c>
      <c r="I293" s="1380" t="s">
        <v>979</v>
      </c>
      <c r="J293" s="1403" t="s">
        <v>123</v>
      </c>
      <c r="O293" s="505"/>
      <c r="P293" s="522"/>
      <c r="Q293" s="522"/>
      <c r="R293" s="522"/>
      <c r="S293" s="522"/>
      <c r="T293" s="505"/>
      <c r="U293" s="505"/>
      <c r="V293" s="505"/>
      <c r="W293" s="505"/>
      <c r="X293" s="505"/>
      <c r="Y293" s="505"/>
      <c r="Z293" s="505"/>
      <c r="AA293" s="505"/>
      <c r="AB293" s="505"/>
    </row>
    <row r="294" spans="1:28" ht="15.6" hidden="1" outlineLevel="1">
      <c r="A294" s="505">
        <v>1</v>
      </c>
      <c r="B294" t="str">
        <f>+B$32</f>
        <v xml:space="preserve">Carson City </v>
      </c>
      <c r="C294" s="673"/>
      <c r="D294" s="673">
        <f>E180</f>
        <v>0</v>
      </c>
      <c r="E294" s="1404">
        <f t="shared" ref="E294:I299" si="165">+$E180*E202</f>
        <v>0</v>
      </c>
      <c r="F294" s="1404">
        <f t="shared" si="165"/>
        <v>0</v>
      </c>
      <c r="G294" s="1404">
        <f t="shared" si="165"/>
        <v>0</v>
      </c>
      <c r="H294" s="1404">
        <f t="shared" si="165"/>
        <v>0</v>
      </c>
      <c r="I294" s="1404">
        <f t="shared" si="165"/>
        <v>0</v>
      </c>
      <c r="J294" s="1435">
        <f t="shared" ref="J294:J300" si="166">SUM(E294:I294)</f>
        <v>0</v>
      </c>
      <c r="O294" s="505"/>
      <c r="P294" s="522"/>
      <c r="Q294" s="522"/>
      <c r="R294" s="522"/>
      <c r="S294" s="522"/>
      <c r="T294" s="505"/>
      <c r="U294" s="505"/>
      <c r="V294" s="505"/>
      <c r="W294" s="505"/>
      <c r="X294" s="505"/>
      <c r="Y294" s="505"/>
      <c r="Z294" s="505"/>
      <c r="AA294" s="505"/>
      <c r="AB294" s="505"/>
    </row>
    <row r="295" spans="1:28" ht="15.6" hidden="1" outlineLevel="1">
      <c r="A295" s="505">
        <f>1+A294</f>
        <v>2</v>
      </c>
      <c r="B295" t="str">
        <f>+$B$33</f>
        <v>Churchill</v>
      </c>
      <c r="C295" s="633"/>
      <c r="D295" s="633">
        <f t="shared" ref="D295:D299" si="167">E181</f>
        <v>0</v>
      </c>
      <c r="E295" s="1405">
        <f t="shared" si="165"/>
        <v>0</v>
      </c>
      <c r="F295" s="1405">
        <f t="shared" si="165"/>
        <v>0</v>
      </c>
      <c r="G295" s="1405">
        <f t="shared" si="165"/>
        <v>0</v>
      </c>
      <c r="H295" s="1405">
        <f t="shared" si="165"/>
        <v>0</v>
      </c>
      <c r="I295" s="1405">
        <f t="shared" si="165"/>
        <v>0</v>
      </c>
      <c r="J295" s="1395">
        <f t="shared" si="166"/>
        <v>0</v>
      </c>
      <c r="O295" s="505"/>
      <c r="P295" s="522"/>
      <c r="Q295" s="522"/>
      <c r="R295" s="522"/>
      <c r="S295" s="522"/>
      <c r="T295" s="505"/>
      <c r="U295" s="505"/>
      <c r="V295" s="505"/>
      <c r="W295" s="505"/>
      <c r="X295" s="505"/>
      <c r="Y295" s="505"/>
      <c r="Z295" s="505"/>
      <c r="AA295" s="505"/>
      <c r="AB295" s="505"/>
    </row>
    <row r="296" spans="1:28" ht="15.6" hidden="1" outlineLevel="1">
      <c r="A296" s="505">
        <f t="shared" ref="A296:A299" si="168">1+A295</f>
        <v>3</v>
      </c>
      <c r="B296" t="str">
        <f>+$B$34</f>
        <v>Clark</v>
      </c>
      <c r="C296" s="633"/>
      <c r="D296" s="633" t="str">
        <f t="shared" si="167"/>
        <v>General</v>
      </c>
      <c r="E296" s="1405" t="e">
        <f t="shared" si="165"/>
        <v>#VALUE!</v>
      </c>
      <c r="F296" s="1405" t="e">
        <f t="shared" si="165"/>
        <v>#VALUE!</v>
      </c>
      <c r="G296" s="1405" t="e">
        <f t="shared" si="165"/>
        <v>#VALUE!</v>
      </c>
      <c r="H296" s="1405" t="e">
        <f t="shared" si="165"/>
        <v>#VALUE!</v>
      </c>
      <c r="I296" s="1405" t="e">
        <f t="shared" si="165"/>
        <v>#VALUE!</v>
      </c>
      <c r="J296" s="1395" t="e">
        <f t="shared" si="166"/>
        <v>#VALUE!</v>
      </c>
      <c r="O296" s="505"/>
      <c r="P296" s="522"/>
      <c r="Q296" s="522"/>
      <c r="R296" s="522"/>
      <c r="S296" s="522"/>
      <c r="T296" s="505"/>
      <c r="U296" s="505"/>
      <c r="V296" s="505"/>
      <c r="W296" s="505"/>
      <c r="X296" s="505"/>
      <c r="Y296" s="505"/>
      <c r="Z296" s="505"/>
      <c r="AA296" s="505"/>
      <c r="AB296" s="505"/>
    </row>
    <row r="297" spans="1:28" ht="15.6" hidden="1" outlineLevel="1">
      <c r="A297" s="505">
        <f t="shared" si="168"/>
        <v>4</v>
      </c>
      <c r="B297" t="str">
        <f>+$B$35</f>
        <v>Elko</v>
      </c>
      <c r="C297" s="633"/>
      <c r="D297" s="633">
        <f t="shared" si="167"/>
        <v>100</v>
      </c>
      <c r="E297" s="1405">
        <f t="shared" si="165"/>
        <v>797433.33333333326</v>
      </c>
      <c r="F297" s="1405">
        <f t="shared" si="165"/>
        <v>1102722.7682830808</v>
      </c>
      <c r="G297" s="1405">
        <f t="shared" si="165"/>
        <v>873986.93333333335</v>
      </c>
      <c r="H297" s="1405">
        <f t="shared" si="165"/>
        <v>811787.1333333333</v>
      </c>
      <c r="I297" s="1405">
        <f t="shared" si="165"/>
        <v>893125.33333333337</v>
      </c>
      <c r="J297" s="1395">
        <f t="shared" si="166"/>
        <v>4479055.5016164137</v>
      </c>
      <c r="O297" s="505"/>
      <c r="P297" s="522"/>
      <c r="Q297" s="522"/>
      <c r="R297" s="522"/>
      <c r="S297" s="522"/>
      <c r="T297" s="505"/>
      <c r="U297" s="505"/>
      <c r="V297" s="505"/>
      <c r="W297" s="505"/>
      <c r="X297" s="505"/>
      <c r="Y297" s="505"/>
      <c r="Z297" s="505"/>
      <c r="AA297" s="505"/>
      <c r="AB297" s="505"/>
    </row>
    <row r="298" spans="1:28" ht="15.6" hidden="1" outlineLevel="1">
      <c r="A298" s="505">
        <f t="shared" si="168"/>
        <v>5</v>
      </c>
      <c r="B298" t="str">
        <f>+$B$36</f>
        <v>Washoe</v>
      </c>
      <c r="C298" s="633"/>
      <c r="D298" s="633">
        <f t="shared" si="167"/>
        <v>0</v>
      </c>
      <c r="E298" s="1405">
        <f t="shared" si="165"/>
        <v>0</v>
      </c>
      <c r="F298" s="1405">
        <f t="shared" si="165"/>
        <v>0</v>
      </c>
      <c r="G298" s="1405">
        <f t="shared" si="165"/>
        <v>0</v>
      </c>
      <c r="H298" s="1405">
        <f t="shared" si="165"/>
        <v>0</v>
      </c>
      <c r="I298" s="1405">
        <f t="shared" si="165"/>
        <v>0</v>
      </c>
      <c r="J298" s="1395">
        <f t="shared" si="166"/>
        <v>0</v>
      </c>
      <c r="O298" s="505"/>
      <c r="P298" s="522"/>
      <c r="Q298" s="522"/>
      <c r="R298" s="522"/>
      <c r="S298" s="522"/>
      <c r="T298" s="505"/>
      <c r="U298" s="505"/>
      <c r="V298" s="505"/>
      <c r="W298" s="505"/>
      <c r="X298" s="505"/>
      <c r="Y298" s="505"/>
      <c r="Z298" s="505"/>
      <c r="AA298" s="505"/>
      <c r="AB298" s="505"/>
    </row>
    <row r="299" spans="1:28" ht="15.6" hidden="1" outlineLevel="1">
      <c r="A299" s="505">
        <f t="shared" si="168"/>
        <v>6</v>
      </c>
      <c r="B299" t="str">
        <f>+$B$37</f>
        <v>White Pine</v>
      </c>
      <c r="C299" s="633"/>
      <c r="D299" s="633">
        <f t="shared" si="167"/>
        <v>0</v>
      </c>
      <c r="E299" s="1406" t="e">
        <f t="shared" si="165"/>
        <v>#VALUE!</v>
      </c>
      <c r="F299" s="1406">
        <f t="shared" si="165"/>
        <v>0</v>
      </c>
      <c r="G299" s="1406">
        <f t="shared" si="165"/>
        <v>0</v>
      </c>
      <c r="H299" s="1406">
        <f t="shared" si="165"/>
        <v>0</v>
      </c>
      <c r="I299" s="1406">
        <f t="shared" si="165"/>
        <v>0</v>
      </c>
      <c r="J299" s="1395" t="e">
        <f t="shared" si="166"/>
        <v>#VALUE!</v>
      </c>
      <c r="O299" s="505"/>
      <c r="P299" s="522"/>
      <c r="Q299" s="522"/>
      <c r="R299" s="522"/>
      <c r="S299" s="522"/>
      <c r="T299" s="505"/>
      <c r="U299" s="505"/>
      <c r="V299" s="505"/>
      <c r="W299" s="505"/>
      <c r="X299" s="505"/>
      <c r="Y299" s="505"/>
      <c r="Z299" s="505"/>
      <c r="AA299" s="505"/>
      <c r="AB299" s="505"/>
    </row>
    <row r="300" spans="1:28" ht="15.6" hidden="1" outlineLevel="1">
      <c r="A300" s="505"/>
      <c r="B300" s="1402" t="s">
        <v>123</v>
      </c>
      <c r="C300" s="1402"/>
      <c r="D300" s="1402"/>
      <c r="E300" s="1436" t="e">
        <f>SUM(E294:E299)</f>
        <v>#VALUE!</v>
      </c>
      <c r="F300" s="1436" t="e">
        <f t="shared" ref="F300" si="169">SUM(F294:F299)</f>
        <v>#VALUE!</v>
      </c>
      <c r="G300" s="1436" t="e">
        <f t="shared" ref="G300" si="170">SUM(G294:G299)</f>
        <v>#VALUE!</v>
      </c>
      <c r="H300" s="1436" t="e">
        <f t="shared" ref="H300" si="171">SUM(H294:H299)</f>
        <v>#VALUE!</v>
      </c>
      <c r="I300" s="1436" t="e">
        <f t="shared" ref="I300" si="172">SUM(I294:I299)</f>
        <v>#VALUE!</v>
      </c>
      <c r="J300" s="1436" t="e">
        <f t="shared" si="166"/>
        <v>#VALUE!</v>
      </c>
      <c r="O300" s="505"/>
      <c r="P300" s="522"/>
      <c r="Q300" s="522"/>
      <c r="R300" s="522"/>
      <c r="S300" s="522"/>
      <c r="T300" s="505"/>
      <c r="U300" s="505"/>
      <c r="V300" s="505"/>
      <c r="W300" s="505"/>
      <c r="X300" s="505"/>
      <c r="Y300" s="505"/>
      <c r="Z300" s="505"/>
      <c r="AA300" s="505"/>
      <c r="AB300" s="505"/>
    </row>
    <row r="301" spans="1:28" ht="15.6" hidden="1" outlineLevel="1">
      <c r="A301" s="505"/>
      <c r="O301" s="505"/>
      <c r="P301" s="522"/>
      <c r="Q301" s="522"/>
      <c r="R301" s="522"/>
      <c r="S301" s="522"/>
      <c r="T301" s="505"/>
      <c r="U301" s="505"/>
      <c r="V301" s="505"/>
      <c r="W301" s="505"/>
      <c r="X301" s="505"/>
      <c r="Y301" s="505"/>
      <c r="Z301" s="505"/>
      <c r="AA301" s="505"/>
      <c r="AB301" s="505"/>
    </row>
    <row r="302" spans="1:28" ht="15.6" hidden="1" outlineLevel="1">
      <c r="A302" s="505"/>
      <c r="B302" s="1402" t="s">
        <v>1002</v>
      </c>
      <c r="C302" s="1402"/>
      <c r="D302" s="1402"/>
      <c r="E302" s="1436" t="e">
        <f>+E290+E300</f>
        <v>#VALUE!</v>
      </c>
      <c r="F302" s="1436" t="e">
        <f t="shared" ref="F302:I302" si="173">+F290+F300</f>
        <v>#VALUE!</v>
      </c>
      <c r="G302" s="1436" t="e">
        <f t="shared" si="173"/>
        <v>#VALUE!</v>
      </c>
      <c r="H302" s="1436" t="e">
        <f t="shared" si="173"/>
        <v>#VALUE!</v>
      </c>
      <c r="I302" s="1436" t="e">
        <f t="shared" si="173"/>
        <v>#VALUE!</v>
      </c>
      <c r="J302" s="1438" t="e">
        <f>SUM(E302:I302)</f>
        <v>#VALUE!</v>
      </c>
      <c r="O302" s="505"/>
      <c r="P302" s="522"/>
      <c r="Q302" s="522"/>
      <c r="R302" s="522"/>
      <c r="S302" s="522"/>
      <c r="T302" s="505"/>
      <c r="U302" s="505"/>
      <c r="V302" s="505"/>
      <c r="W302" s="505"/>
      <c r="X302" s="505"/>
      <c r="Y302" s="505"/>
      <c r="Z302" s="505"/>
      <c r="AA302" s="505"/>
      <c r="AB302" s="505"/>
    </row>
    <row r="303" spans="1:28" ht="15.6" hidden="1" outlineLevel="1">
      <c r="A303" s="505"/>
      <c r="O303" s="505"/>
      <c r="P303" s="522"/>
      <c r="Q303" s="522"/>
      <c r="R303" s="522"/>
      <c r="S303" s="522"/>
      <c r="T303" s="505"/>
      <c r="U303" s="505"/>
      <c r="V303" s="505"/>
      <c r="W303" s="505"/>
      <c r="X303" s="505"/>
      <c r="Y303" s="505"/>
      <c r="Z303" s="505"/>
      <c r="AA303" s="505"/>
      <c r="AB303" s="505"/>
    </row>
    <row r="304" spans="1:28" ht="15.6" hidden="1" outlineLevel="1">
      <c r="A304" s="505"/>
      <c r="O304" s="505"/>
      <c r="P304" s="522"/>
      <c r="Q304" s="522"/>
      <c r="R304" s="522"/>
      <c r="S304" s="522"/>
      <c r="T304" s="505"/>
      <c r="U304" s="505"/>
      <c r="V304" s="505"/>
      <c r="W304" s="505"/>
      <c r="X304" s="505"/>
      <c r="Y304" s="505"/>
      <c r="Z304" s="505"/>
      <c r="AA304" s="505"/>
      <c r="AB304" s="505"/>
    </row>
    <row r="305" spans="1:28" ht="15.6" hidden="1" outlineLevel="1">
      <c r="A305" s="505"/>
      <c r="O305" s="505"/>
      <c r="P305" s="522"/>
      <c r="Q305" s="522"/>
      <c r="R305" s="522"/>
      <c r="S305" s="522"/>
      <c r="T305" s="505"/>
      <c r="U305" s="505"/>
      <c r="V305" s="505"/>
      <c r="W305" s="505"/>
      <c r="X305" s="505"/>
      <c r="Y305" s="505"/>
      <c r="Z305" s="505"/>
      <c r="AA305" s="505"/>
      <c r="AB305" s="505"/>
    </row>
    <row r="306" spans="1:28" ht="15.6" collapsed="1">
      <c r="A306" s="505"/>
      <c r="O306" s="505"/>
      <c r="P306" s="522"/>
      <c r="Q306" s="522"/>
      <c r="R306" s="522"/>
      <c r="S306" s="522"/>
      <c r="T306" s="505"/>
      <c r="U306" s="505"/>
      <c r="V306" s="505"/>
      <c r="W306" s="505"/>
      <c r="X306" s="505"/>
      <c r="Y306" s="505"/>
      <c r="Z306" s="505"/>
      <c r="AA306" s="505"/>
      <c r="AB306" s="505"/>
    </row>
    <row r="307" spans="1:28" ht="15.6">
      <c r="A307" s="505"/>
      <c r="J307" s="5"/>
      <c r="K307" s="1318" t="s">
        <v>1317</v>
      </c>
      <c r="L307" s="1318" t="s">
        <v>1318</v>
      </c>
      <c r="M307" s="1318" t="s">
        <v>1319</v>
      </c>
      <c r="N307" s="1833">
        <v>4</v>
      </c>
      <c r="O307" s="1834">
        <v>66</v>
      </c>
      <c r="P307" s="1835" t="s">
        <v>123</v>
      </c>
      <c r="Q307" s="522"/>
      <c r="R307" s="522"/>
      <c r="S307" s="522"/>
      <c r="T307" s="505"/>
      <c r="U307" s="505"/>
      <c r="V307" s="505"/>
      <c r="W307" s="505"/>
      <c r="X307" s="505"/>
      <c r="Y307" s="505"/>
      <c r="Z307" s="505"/>
      <c r="AA307" s="505"/>
      <c r="AB307" s="505"/>
    </row>
    <row r="308" spans="1:28" ht="15.6">
      <c r="A308" s="505"/>
      <c r="J308" s="1830" t="s">
        <v>1314</v>
      </c>
      <c r="K308" s="5">
        <v>100</v>
      </c>
      <c r="L308" s="5">
        <v>1</v>
      </c>
      <c r="M308" s="5">
        <f>+K308-L308</f>
        <v>99</v>
      </c>
      <c r="N308" s="1831">
        <f>+K308*N$307</f>
        <v>400</v>
      </c>
      <c r="O308" s="1831">
        <f>+O$307*L308</f>
        <v>66</v>
      </c>
      <c r="P308" s="1832">
        <f>SUM(N308:O308)</f>
        <v>466</v>
      </c>
      <c r="Q308" s="1836" t="s">
        <v>1320</v>
      </c>
      <c r="R308" s="522"/>
      <c r="S308" s="522"/>
      <c r="T308" s="505"/>
      <c r="U308" s="505"/>
      <c r="V308" s="505"/>
      <c r="W308" s="505"/>
      <c r="X308" s="505"/>
      <c r="Y308" s="505"/>
      <c r="Z308" s="505"/>
      <c r="AA308" s="505"/>
      <c r="AB308" s="505"/>
    </row>
    <row r="309" spans="1:28" ht="15.6">
      <c r="A309" s="505"/>
      <c r="J309" s="1830" t="s">
        <v>1315</v>
      </c>
      <c r="K309" s="5">
        <v>100</v>
      </c>
      <c r="L309" s="5">
        <v>0</v>
      </c>
      <c r="M309" s="5">
        <f>+K309-L309</f>
        <v>100</v>
      </c>
      <c r="N309" s="1831">
        <f>+K309*N$307</f>
        <v>400</v>
      </c>
      <c r="O309" s="1831">
        <f>+O$307*L309</f>
        <v>0</v>
      </c>
      <c r="P309" s="1832">
        <f>SUM(N309:O309)</f>
        <v>400</v>
      </c>
      <c r="Q309" s="1836" t="s">
        <v>1321</v>
      </c>
      <c r="R309" s="522"/>
      <c r="S309" s="522"/>
      <c r="T309" s="505"/>
      <c r="U309" s="505"/>
      <c r="V309" s="505"/>
      <c r="W309" s="505"/>
      <c r="X309" s="505"/>
      <c r="Y309" s="505"/>
      <c r="Z309" s="505"/>
      <c r="AA309" s="505"/>
      <c r="AB309" s="505"/>
    </row>
    <row r="310" spans="1:28" ht="15.6">
      <c r="A310" s="505"/>
      <c r="J310" s="1830" t="s">
        <v>1316</v>
      </c>
      <c r="K310" s="5">
        <v>100</v>
      </c>
      <c r="L310" s="5">
        <v>50</v>
      </c>
      <c r="M310" s="5">
        <f>+K310-L310</f>
        <v>50</v>
      </c>
      <c r="N310" s="1831">
        <f>+K310*N$307</f>
        <v>400</v>
      </c>
      <c r="O310" s="1831">
        <f>+O$307*L310</f>
        <v>3300</v>
      </c>
      <c r="P310" s="1832">
        <f>SUM(N310:O310)</f>
        <v>3700</v>
      </c>
      <c r="Q310" s="1836" t="s">
        <v>1322</v>
      </c>
      <c r="R310" s="522"/>
      <c r="S310" s="522"/>
      <c r="T310" s="505"/>
      <c r="U310" s="505"/>
      <c r="V310" s="505"/>
      <c r="W310" s="505"/>
      <c r="X310" s="505"/>
      <c r="Y310" s="505"/>
      <c r="Z310" s="505"/>
      <c r="AA310" s="505"/>
      <c r="AB310" s="505"/>
    </row>
    <row r="311" spans="1:28" ht="15.6">
      <c r="A311" s="505"/>
      <c r="J311" s="1830" t="s">
        <v>1323</v>
      </c>
      <c r="K311" s="5">
        <v>500</v>
      </c>
      <c r="L311" s="5">
        <v>1</v>
      </c>
      <c r="M311" s="5">
        <f>+K311-L311</f>
        <v>499</v>
      </c>
      <c r="N311" s="1831">
        <f>+K311*N$307</f>
        <v>2000</v>
      </c>
      <c r="O311" s="1831">
        <f>+O$307*L311</f>
        <v>66</v>
      </c>
      <c r="P311" s="1832">
        <f>SUM(N311:O311)</f>
        <v>2066</v>
      </c>
      <c r="Q311" s="1836"/>
      <c r="R311" s="522"/>
      <c r="S311" s="522"/>
      <c r="T311" s="505"/>
      <c r="U311" s="505"/>
      <c r="V311" s="505"/>
      <c r="W311" s="505"/>
      <c r="X311" s="505"/>
      <c r="Y311" s="505"/>
      <c r="Z311" s="505"/>
      <c r="AA311" s="505"/>
      <c r="AB311" s="505"/>
    </row>
    <row r="312" spans="1:28" ht="15.6">
      <c r="A312" s="505"/>
      <c r="O312" s="505"/>
      <c r="P312" s="522"/>
      <c r="Q312" s="522"/>
      <c r="R312" s="522"/>
      <c r="S312" s="522"/>
      <c r="T312" s="505"/>
      <c r="U312" s="505"/>
      <c r="V312" s="505"/>
      <c r="W312" s="505"/>
      <c r="X312" s="505"/>
      <c r="Y312" s="505"/>
      <c r="Z312" s="505"/>
      <c r="AA312" s="505"/>
      <c r="AB312" s="505"/>
    </row>
    <row r="313" spans="1:28" ht="15.6">
      <c r="A313" s="505"/>
      <c r="O313" s="505"/>
      <c r="P313" s="522"/>
      <c r="Q313" s="522"/>
      <c r="R313" s="522"/>
      <c r="S313" s="522"/>
      <c r="T313" s="505"/>
      <c r="U313" s="505"/>
      <c r="V313" s="505"/>
      <c r="W313" s="505"/>
      <c r="X313" s="505"/>
      <c r="Y313" s="505"/>
      <c r="Z313" s="505"/>
      <c r="AA313" s="505"/>
      <c r="AB313" s="505"/>
    </row>
    <row r="314" spans="1:28" ht="15.6">
      <c r="A314" s="505"/>
      <c r="O314" s="505"/>
      <c r="P314" s="522"/>
      <c r="Q314" s="522"/>
      <c r="R314" s="522"/>
      <c r="S314" s="522"/>
      <c r="T314" s="505"/>
      <c r="U314" s="505"/>
      <c r="V314" s="505"/>
      <c r="W314" s="505"/>
      <c r="X314" s="505"/>
      <c r="Y314" s="505"/>
      <c r="Z314" s="505"/>
      <c r="AA314" s="505"/>
      <c r="AB314" s="505"/>
    </row>
    <row r="315" spans="1:28" ht="15.6">
      <c r="A315" s="505"/>
      <c r="O315" s="505"/>
      <c r="P315" s="522"/>
      <c r="Q315" s="522"/>
      <c r="R315" s="522"/>
      <c r="S315" s="522"/>
      <c r="T315" s="505"/>
      <c r="U315" s="505"/>
      <c r="V315" s="505"/>
      <c r="W315" s="505"/>
      <c r="X315" s="505"/>
      <c r="Y315" s="505"/>
      <c r="Z315" s="505"/>
      <c r="AA315" s="505"/>
      <c r="AB315" s="505"/>
    </row>
    <row r="316" spans="1:28" ht="15.6">
      <c r="A316" s="505"/>
      <c r="O316" s="505"/>
      <c r="P316" s="522"/>
      <c r="Q316" s="522"/>
      <c r="R316" s="522"/>
      <c r="S316" s="522"/>
      <c r="T316" s="505"/>
      <c r="U316" s="505"/>
      <c r="V316" s="505"/>
      <c r="W316" s="505"/>
      <c r="X316" s="505"/>
      <c r="Y316" s="505"/>
      <c r="Z316" s="505"/>
      <c r="AA316" s="505"/>
      <c r="AB316" s="505"/>
    </row>
    <row r="317" spans="1:28" ht="15.6">
      <c r="A317" s="505"/>
      <c r="O317" s="505"/>
      <c r="P317" s="522"/>
      <c r="Q317" s="522"/>
      <c r="R317" s="522"/>
      <c r="S317" s="522"/>
      <c r="T317" s="505"/>
      <c r="U317" s="505"/>
      <c r="V317" s="505"/>
      <c r="W317" s="505"/>
      <c r="X317" s="505"/>
      <c r="Y317" s="505"/>
      <c r="Z317" s="505"/>
      <c r="AA317" s="505"/>
      <c r="AB317" s="505"/>
    </row>
    <row r="318" spans="1:28" ht="15.6">
      <c r="A318" s="505"/>
      <c r="O318" s="505"/>
      <c r="P318" s="522"/>
      <c r="Q318" s="522"/>
      <c r="R318" s="522"/>
      <c r="S318" s="522"/>
      <c r="T318" s="505"/>
      <c r="U318" s="505"/>
      <c r="V318" s="505"/>
      <c r="W318" s="505"/>
      <c r="X318" s="505"/>
      <c r="Y318" s="505"/>
      <c r="Z318" s="505"/>
      <c r="AA318" s="505"/>
      <c r="AB318" s="505"/>
    </row>
    <row r="319" spans="1:28" ht="15.6">
      <c r="A319" s="505"/>
      <c r="O319" s="505"/>
      <c r="P319" s="522"/>
      <c r="Q319" s="522"/>
      <c r="R319" s="522"/>
      <c r="S319" s="522"/>
      <c r="T319" s="505"/>
      <c r="U319" s="505"/>
      <c r="V319" s="505"/>
      <c r="W319" s="505"/>
      <c r="X319" s="505"/>
      <c r="Y319" s="505"/>
      <c r="Z319" s="505"/>
      <c r="AA319" s="505"/>
      <c r="AB319" s="505"/>
    </row>
    <row r="320" spans="1:28" ht="15.6">
      <c r="A320" s="505"/>
      <c r="O320" s="505"/>
      <c r="P320" s="522"/>
      <c r="Q320" s="522"/>
      <c r="R320" s="522"/>
      <c r="S320" s="522"/>
      <c r="T320" s="505"/>
      <c r="U320" s="505"/>
      <c r="V320" s="505"/>
      <c r="W320" s="505"/>
      <c r="X320" s="505"/>
      <c r="Y320" s="505"/>
      <c r="Z320" s="505"/>
      <c r="AA320" s="505"/>
      <c r="AB320" s="505"/>
    </row>
    <row r="321" spans="1:28" ht="15.6">
      <c r="A321" s="505"/>
      <c r="O321" s="505"/>
      <c r="P321" s="522"/>
      <c r="Q321" s="522"/>
      <c r="R321" s="522"/>
      <c r="S321" s="522"/>
      <c r="T321" s="505"/>
      <c r="U321" s="505"/>
      <c r="V321" s="505"/>
      <c r="W321" s="505"/>
      <c r="X321" s="505"/>
      <c r="Y321" s="505"/>
      <c r="Z321" s="505"/>
      <c r="AA321" s="505"/>
      <c r="AB321" s="505"/>
    </row>
    <row r="322" spans="1:28" ht="15.6">
      <c r="A322" s="505"/>
      <c r="O322" s="505"/>
      <c r="P322" s="522"/>
      <c r="Q322" s="522"/>
      <c r="R322" s="522"/>
      <c r="S322" s="522"/>
      <c r="T322" s="505"/>
      <c r="U322" s="505"/>
      <c r="V322" s="505"/>
      <c r="W322" s="505"/>
      <c r="X322" s="505"/>
      <c r="Y322" s="505"/>
      <c r="Z322" s="505"/>
      <c r="AA322" s="505"/>
      <c r="AB322" s="505"/>
    </row>
    <row r="323" spans="1:28" ht="15.6">
      <c r="A323" s="505"/>
      <c r="O323" s="505"/>
      <c r="P323" s="522"/>
      <c r="Q323" s="522"/>
      <c r="R323" s="522"/>
      <c r="S323" s="522"/>
      <c r="T323" s="505"/>
      <c r="U323" s="505"/>
      <c r="V323" s="505"/>
      <c r="W323" s="505"/>
      <c r="X323" s="505"/>
      <c r="Y323" s="505"/>
      <c r="Z323" s="505"/>
      <c r="AA323" s="505"/>
      <c r="AB323" s="505"/>
    </row>
    <row r="324" spans="1:28" ht="15.6">
      <c r="A324" s="505"/>
      <c r="O324" s="505"/>
      <c r="P324" s="522"/>
      <c r="Q324" s="522"/>
      <c r="R324" s="522"/>
      <c r="S324" s="522"/>
      <c r="T324" s="505"/>
      <c r="U324" s="505"/>
      <c r="V324" s="505"/>
      <c r="W324" s="505"/>
      <c r="X324" s="505"/>
      <c r="Y324" s="505"/>
      <c r="Z324" s="505"/>
      <c r="AA324" s="505"/>
      <c r="AB324" s="505"/>
    </row>
    <row r="325" spans="1:28" ht="15.6">
      <c r="A325" s="505"/>
      <c r="O325" s="505"/>
      <c r="P325" s="522"/>
      <c r="Q325" s="522"/>
      <c r="R325" s="522"/>
      <c r="S325" s="522"/>
      <c r="T325" s="505"/>
      <c r="U325" s="505"/>
      <c r="V325" s="505"/>
      <c r="W325" s="505"/>
      <c r="X325" s="505"/>
      <c r="Y325" s="505"/>
      <c r="Z325" s="505"/>
      <c r="AA325" s="505"/>
      <c r="AB325" s="505"/>
    </row>
    <row r="326" spans="1:28" ht="15.6">
      <c r="A326" s="505"/>
      <c r="O326" s="505"/>
      <c r="P326" s="522"/>
      <c r="Q326" s="522"/>
      <c r="R326" s="522"/>
      <c r="S326" s="522"/>
      <c r="T326" s="505"/>
      <c r="U326" s="505"/>
      <c r="V326" s="505"/>
      <c r="W326" s="505"/>
      <c r="X326" s="505"/>
      <c r="Y326" s="505"/>
      <c r="Z326" s="505"/>
      <c r="AA326" s="505"/>
      <c r="AB326" s="505"/>
    </row>
    <row r="327" spans="1:28" ht="15.6">
      <c r="A327" s="505"/>
      <c r="O327" s="505"/>
      <c r="P327" s="522"/>
      <c r="Q327" s="522"/>
      <c r="R327" s="522"/>
      <c r="S327" s="522"/>
      <c r="T327" s="505"/>
      <c r="U327" s="505"/>
      <c r="V327" s="505"/>
      <c r="W327" s="505"/>
      <c r="X327" s="505"/>
      <c r="Y327" s="505"/>
      <c r="Z327" s="505"/>
      <c r="AA327" s="505"/>
      <c r="AB327" s="505"/>
    </row>
    <row r="328" spans="1:28" ht="15.6">
      <c r="A328" s="505"/>
      <c r="O328" s="505"/>
      <c r="P328" s="522"/>
      <c r="Q328" s="522"/>
      <c r="R328" s="522"/>
      <c r="S328" s="522"/>
      <c r="T328" s="505"/>
      <c r="U328" s="505"/>
      <c r="V328" s="505"/>
      <c r="W328" s="505"/>
      <c r="X328" s="505"/>
      <c r="Y328" s="505"/>
      <c r="Z328" s="505"/>
      <c r="AA328" s="505"/>
      <c r="AB328" s="505"/>
    </row>
    <row r="329" spans="1:28" ht="15.6">
      <c r="A329" s="505"/>
      <c r="O329" s="505"/>
      <c r="P329" s="522"/>
      <c r="Q329" s="522"/>
      <c r="R329" s="522"/>
      <c r="S329" s="522"/>
      <c r="T329" s="505"/>
      <c r="U329" s="505"/>
      <c r="V329" s="505"/>
      <c r="W329" s="505"/>
      <c r="X329" s="505"/>
      <c r="Y329" s="505"/>
      <c r="Z329" s="505"/>
      <c r="AA329" s="505"/>
      <c r="AB329" s="505"/>
    </row>
    <row r="330" spans="1:28" ht="15.6">
      <c r="A330" s="505"/>
      <c r="O330" s="505"/>
      <c r="P330" s="522"/>
      <c r="Q330" s="522"/>
      <c r="R330" s="522"/>
      <c r="S330" s="522"/>
      <c r="T330" s="505"/>
      <c r="U330" s="505"/>
      <c r="V330" s="505"/>
      <c r="W330" s="505"/>
      <c r="X330" s="505"/>
      <c r="Y330" s="505"/>
      <c r="Z330" s="505"/>
      <c r="AA330" s="505"/>
      <c r="AB330" s="505"/>
    </row>
    <row r="331" spans="1:28" ht="15.6">
      <c r="A331" s="505"/>
      <c r="O331" s="505"/>
      <c r="P331" s="522"/>
      <c r="Q331" s="522"/>
      <c r="R331" s="522"/>
      <c r="S331" s="522"/>
      <c r="T331" s="505"/>
      <c r="U331" s="505"/>
      <c r="V331" s="505"/>
      <c r="W331" s="505"/>
      <c r="X331" s="505"/>
      <c r="Y331" s="505"/>
      <c r="Z331" s="505"/>
      <c r="AA331" s="505"/>
      <c r="AB331" s="505"/>
    </row>
    <row r="332" spans="1:28" ht="15.6">
      <c r="A332" s="505"/>
      <c r="O332" s="505"/>
      <c r="P332" s="522"/>
      <c r="Q332" s="522"/>
      <c r="R332" s="522"/>
      <c r="S332" s="522"/>
      <c r="T332" s="505"/>
      <c r="U332" s="505"/>
      <c r="V332" s="505"/>
      <c r="W332" s="505"/>
      <c r="X332" s="505"/>
      <c r="Y332" s="505"/>
      <c r="Z332" s="505"/>
      <c r="AA332" s="505"/>
      <c r="AB332" s="505"/>
    </row>
    <row r="333" spans="1:28" ht="15.6">
      <c r="A333" s="505"/>
      <c r="O333" s="505"/>
      <c r="P333" s="522"/>
      <c r="Q333" s="522"/>
      <c r="R333" s="522"/>
      <c r="S333" s="522"/>
      <c r="T333" s="505"/>
      <c r="U333" s="505"/>
      <c r="V333" s="505"/>
      <c r="W333" s="505"/>
      <c r="X333" s="505"/>
      <c r="Y333" s="505"/>
      <c r="Z333" s="505"/>
      <c r="AA333" s="505"/>
      <c r="AB333" s="505"/>
    </row>
    <row r="334" spans="1:28" ht="15.6">
      <c r="A334" s="505"/>
      <c r="O334" s="505"/>
      <c r="P334" s="522"/>
      <c r="Q334" s="522"/>
      <c r="R334" s="522"/>
      <c r="S334" s="522"/>
      <c r="T334" s="505"/>
      <c r="U334" s="505"/>
      <c r="V334" s="505"/>
      <c r="W334" s="505"/>
      <c r="X334" s="505"/>
      <c r="Y334" s="505"/>
      <c r="Z334" s="505"/>
      <c r="AA334" s="505"/>
      <c r="AB334" s="505"/>
    </row>
    <row r="335" spans="1:28" ht="15.6">
      <c r="A335" s="505"/>
      <c r="O335" s="505"/>
      <c r="P335" s="522"/>
      <c r="Q335" s="522"/>
      <c r="R335" s="522"/>
      <c r="S335" s="522"/>
      <c r="T335" s="505"/>
      <c r="U335" s="505"/>
      <c r="V335" s="505"/>
      <c r="W335" s="505"/>
      <c r="X335" s="505"/>
      <c r="Y335" s="505"/>
      <c r="Z335" s="505"/>
      <c r="AA335" s="505"/>
      <c r="AB335" s="505"/>
    </row>
    <row r="336" spans="1:28" ht="15.6">
      <c r="A336" s="505"/>
      <c r="O336" s="505"/>
      <c r="P336" s="522"/>
      <c r="Q336" s="522"/>
      <c r="R336" s="522"/>
      <c r="S336" s="522"/>
      <c r="T336" s="505"/>
      <c r="U336" s="505"/>
      <c r="V336" s="505"/>
      <c r="W336" s="505"/>
      <c r="X336" s="505"/>
      <c r="Y336" s="505"/>
      <c r="Z336" s="505"/>
      <c r="AA336" s="505"/>
      <c r="AB336" s="505"/>
    </row>
    <row r="337" spans="1:28" ht="15.6">
      <c r="A337" s="505"/>
      <c r="O337" s="505"/>
      <c r="P337" s="522"/>
      <c r="Q337" s="522"/>
      <c r="R337" s="522"/>
      <c r="S337" s="522"/>
      <c r="T337" s="505"/>
      <c r="U337" s="505"/>
      <c r="V337" s="505"/>
      <c r="W337" s="505"/>
      <c r="X337" s="505"/>
      <c r="Y337" s="505"/>
      <c r="Z337" s="505"/>
      <c r="AA337" s="505"/>
      <c r="AB337" s="505"/>
    </row>
    <row r="338" spans="1:28" ht="15.6">
      <c r="A338" s="505"/>
      <c r="O338" s="505"/>
      <c r="P338" s="522"/>
      <c r="Q338" s="522"/>
      <c r="R338" s="522"/>
      <c r="S338" s="522"/>
      <c r="T338" s="505"/>
      <c r="U338" s="505"/>
      <c r="V338" s="505"/>
      <c r="W338" s="505"/>
      <c r="X338" s="505"/>
      <c r="Y338" s="505"/>
      <c r="Z338" s="505"/>
      <c r="AA338" s="505"/>
      <c r="AB338" s="505"/>
    </row>
    <row r="339" spans="1:28" ht="15.6">
      <c r="A339" s="505"/>
      <c r="O339" s="505"/>
      <c r="P339" s="522"/>
      <c r="Q339" s="522"/>
      <c r="R339" s="522"/>
      <c r="S339" s="522"/>
      <c r="T339" s="505"/>
      <c r="U339" s="505"/>
      <c r="V339" s="505"/>
      <c r="W339" s="505"/>
      <c r="X339" s="505"/>
      <c r="Y339" s="505"/>
      <c r="Z339" s="505"/>
      <c r="AA339" s="505"/>
      <c r="AB339" s="505"/>
    </row>
    <row r="340" spans="1:28" ht="15.6">
      <c r="A340" s="505"/>
      <c r="O340" s="505"/>
      <c r="P340" s="522"/>
      <c r="Q340" s="522"/>
      <c r="R340" s="522"/>
      <c r="S340" s="522"/>
      <c r="T340" s="505"/>
      <c r="U340" s="505"/>
      <c r="V340" s="505"/>
      <c r="W340" s="505"/>
      <c r="X340" s="505"/>
      <c r="Y340" s="505"/>
      <c r="Z340" s="505"/>
      <c r="AA340" s="505"/>
      <c r="AB340" s="505"/>
    </row>
    <row r="341" spans="1:28" ht="15.6">
      <c r="A341" s="505"/>
      <c r="O341" s="505"/>
      <c r="P341" s="522"/>
      <c r="Q341" s="522"/>
      <c r="R341" s="522"/>
      <c r="S341" s="522"/>
      <c r="T341" s="505"/>
      <c r="U341" s="505"/>
      <c r="V341" s="505"/>
      <c r="W341" s="505"/>
      <c r="X341" s="505"/>
      <c r="Y341" s="505"/>
      <c r="Z341" s="505"/>
      <c r="AA341" s="505"/>
      <c r="AB341" s="505"/>
    </row>
    <row r="342" spans="1:28" ht="15.6">
      <c r="A342" s="505"/>
      <c r="O342" s="505"/>
      <c r="P342" s="522"/>
      <c r="Q342" s="522"/>
      <c r="R342" s="522"/>
      <c r="S342" s="522"/>
      <c r="T342" s="505"/>
      <c r="U342" s="505"/>
      <c r="V342" s="505"/>
      <c r="W342" s="505"/>
      <c r="X342" s="505"/>
      <c r="Y342" s="505"/>
      <c r="Z342" s="505"/>
      <c r="AA342" s="505"/>
      <c r="AB342" s="505"/>
    </row>
    <row r="343" spans="1:28" ht="15.6">
      <c r="A343" s="505"/>
      <c r="O343" s="505"/>
      <c r="P343" s="522"/>
      <c r="Q343" s="522"/>
      <c r="R343" s="522"/>
      <c r="S343" s="522"/>
      <c r="T343" s="505"/>
      <c r="U343" s="505"/>
      <c r="V343" s="505"/>
      <c r="W343" s="505"/>
      <c r="X343" s="505"/>
      <c r="Y343" s="505"/>
      <c r="Z343" s="505"/>
      <c r="AA343" s="505"/>
      <c r="AB343" s="505"/>
    </row>
    <row r="344" spans="1:28" ht="15.6">
      <c r="A344" s="505"/>
      <c r="O344" s="505"/>
      <c r="P344" s="522"/>
      <c r="Q344" s="522"/>
      <c r="R344" s="522"/>
      <c r="S344" s="522"/>
      <c r="T344" s="505"/>
      <c r="U344" s="505"/>
      <c r="V344" s="505"/>
      <c r="W344" s="505"/>
      <c r="X344" s="505"/>
      <c r="Y344" s="505"/>
      <c r="Z344" s="505"/>
      <c r="AA344" s="505"/>
      <c r="AB344" s="505"/>
    </row>
    <row r="345" spans="1:28" ht="15.6">
      <c r="A345" s="505"/>
      <c r="O345" s="505"/>
      <c r="P345" s="522"/>
      <c r="Q345" s="522"/>
      <c r="R345" s="522"/>
      <c r="S345" s="522"/>
      <c r="T345" s="505"/>
      <c r="U345" s="505"/>
      <c r="V345" s="505"/>
      <c r="W345" s="505"/>
      <c r="X345" s="505"/>
      <c r="Y345" s="505"/>
      <c r="Z345" s="505"/>
      <c r="AA345" s="505"/>
      <c r="AB345" s="505"/>
    </row>
    <row r="346" spans="1:28" ht="15.6">
      <c r="A346" s="505"/>
      <c r="O346" s="505"/>
      <c r="P346" s="522"/>
      <c r="Q346" s="522"/>
      <c r="R346" s="522"/>
      <c r="S346" s="522"/>
      <c r="T346" s="505"/>
      <c r="U346" s="505"/>
      <c r="V346" s="505"/>
      <c r="W346" s="505"/>
      <c r="X346" s="505"/>
      <c r="Y346" s="505"/>
      <c r="Z346" s="505"/>
      <c r="AA346" s="505"/>
      <c r="AB346" s="505"/>
    </row>
    <row r="347" spans="1:28" ht="15.6">
      <c r="A347" s="505"/>
      <c r="O347" s="505"/>
      <c r="P347" s="522"/>
      <c r="Q347" s="522"/>
      <c r="R347" s="522"/>
      <c r="S347" s="522"/>
      <c r="T347" s="505"/>
      <c r="U347" s="505"/>
      <c r="V347" s="505"/>
      <c r="W347" s="505"/>
      <c r="X347" s="505"/>
      <c r="Y347" s="505"/>
      <c r="Z347" s="505"/>
      <c r="AA347" s="505"/>
      <c r="AB347" s="505"/>
    </row>
    <row r="348" spans="1:28" ht="15.6">
      <c r="A348" s="505"/>
      <c r="O348" s="505"/>
      <c r="P348" s="522"/>
      <c r="Q348" s="522"/>
      <c r="R348" s="522"/>
      <c r="S348" s="522"/>
      <c r="T348" s="505"/>
      <c r="U348" s="505"/>
      <c r="V348" s="505"/>
      <c r="W348" s="505"/>
      <c r="X348" s="505"/>
      <c r="Y348" s="505"/>
      <c r="Z348" s="505"/>
      <c r="AA348" s="505"/>
      <c r="AB348" s="505"/>
    </row>
    <row r="349" spans="1:28" ht="15.6">
      <c r="A349" s="505"/>
      <c r="O349" s="505"/>
      <c r="P349" s="522"/>
      <c r="Q349" s="522"/>
      <c r="R349" s="522"/>
      <c r="S349" s="522"/>
      <c r="T349" s="505"/>
      <c r="U349" s="505"/>
      <c r="V349" s="505"/>
      <c r="W349" s="505"/>
      <c r="X349" s="505"/>
      <c r="Y349" s="505"/>
      <c r="Z349" s="505"/>
      <c r="AA349" s="505"/>
      <c r="AB349" s="505"/>
    </row>
    <row r="350" spans="1:28" ht="15.6">
      <c r="A350" s="505"/>
      <c r="O350" s="505"/>
      <c r="P350" s="522"/>
      <c r="Q350" s="522"/>
      <c r="R350" s="522"/>
      <c r="S350" s="522"/>
      <c r="T350" s="505"/>
      <c r="U350" s="505"/>
      <c r="V350" s="505"/>
      <c r="W350" s="505"/>
      <c r="X350" s="505"/>
      <c r="Y350" s="505"/>
      <c r="Z350" s="505"/>
      <c r="AA350" s="505"/>
      <c r="AB350" s="505"/>
    </row>
    <row r="351" spans="1:28" ht="15.6">
      <c r="A351" s="505"/>
      <c r="O351" s="505"/>
      <c r="P351" s="522"/>
      <c r="Q351" s="522"/>
      <c r="R351" s="522"/>
      <c r="S351" s="522"/>
      <c r="T351" s="505"/>
      <c r="U351" s="505"/>
      <c r="V351" s="505"/>
      <c r="W351" s="505"/>
      <c r="X351" s="505"/>
      <c r="Y351" s="505"/>
      <c r="Z351" s="505"/>
      <c r="AA351" s="505"/>
      <c r="AB351" s="505"/>
    </row>
    <row r="352" spans="1:28" ht="15.6">
      <c r="A352" s="505"/>
      <c r="O352" s="505"/>
      <c r="P352" s="522"/>
      <c r="Q352" s="522"/>
      <c r="R352" s="522"/>
      <c r="S352" s="522"/>
      <c r="T352" s="505"/>
      <c r="U352" s="505"/>
      <c r="V352" s="505"/>
      <c r="W352" s="505"/>
      <c r="X352" s="505"/>
      <c r="Y352" s="505"/>
      <c r="Z352" s="505"/>
      <c r="AA352" s="505"/>
      <c r="AB352" s="505"/>
    </row>
    <row r="353" spans="1:28" ht="15.6">
      <c r="A353" s="505"/>
      <c r="O353" s="505"/>
      <c r="P353" s="522"/>
      <c r="Q353" s="522"/>
      <c r="R353" s="522"/>
      <c r="S353" s="522"/>
      <c r="T353" s="505"/>
      <c r="U353" s="505"/>
      <c r="V353" s="505"/>
      <c r="W353" s="505"/>
      <c r="X353" s="505"/>
      <c r="Y353" s="505"/>
      <c r="Z353" s="505"/>
      <c r="AA353" s="505"/>
      <c r="AB353" s="505"/>
    </row>
    <row r="354" spans="1:28" ht="15.6">
      <c r="A354" s="505"/>
      <c r="O354" s="505"/>
      <c r="P354" s="522"/>
      <c r="Q354" s="522"/>
      <c r="R354" s="522"/>
      <c r="S354" s="522"/>
      <c r="T354" s="505"/>
      <c r="U354" s="505"/>
      <c r="V354" s="505"/>
      <c r="W354" s="505"/>
      <c r="X354" s="505"/>
      <c r="Y354" s="505"/>
      <c r="Z354" s="505"/>
      <c r="AA354" s="505"/>
      <c r="AB354" s="505"/>
    </row>
    <row r="355" spans="1:28" ht="15.6">
      <c r="A355" s="505"/>
      <c r="O355" s="505"/>
      <c r="P355" s="522"/>
      <c r="Q355" s="522"/>
      <c r="R355" s="522"/>
      <c r="S355" s="522"/>
      <c r="T355" s="505"/>
      <c r="U355" s="505"/>
      <c r="V355" s="505"/>
      <c r="W355" s="505"/>
      <c r="X355" s="505"/>
      <c r="Y355" s="505"/>
      <c r="Z355" s="505"/>
      <c r="AA355" s="505"/>
      <c r="AB355" s="505"/>
    </row>
    <row r="356" spans="1:28" ht="15.6">
      <c r="A356" s="505"/>
      <c r="O356" s="505"/>
      <c r="P356" s="522"/>
      <c r="Q356" s="522"/>
      <c r="R356" s="522"/>
      <c r="S356" s="522"/>
      <c r="T356" s="505"/>
      <c r="U356" s="505"/>
      <c r="V356" s="505"/>
      <c r="W356" s="505"/>
      <c r="X356" s="505"/>
      <c r="Y356" s="505"/>
      <c r="Z356" s="505"/>
      <c r="AA356" s="505"/>
      <c r="AB356" s="505"/>
    </row>
    <row r="357" spans="1:28" ht="15.6">
      <c r="A357" s="505"/>
      <c r="O357" s="505"/>
      <c r="P357" s="522"/>
      <c r="Q357" s="522"/>
      <c r="R357" s="522"/>
      <c r="S357" s="522"/>
      <c r="T357" s="505"/>
      <c r="U357" s="505"/>
      <c r="V357" s="505"/>
      <c r="W357" s="505"/>
      <c r="X357" s="505"/>
      <c r="Y357" s="505"/>
      <c r="Z357" s="505"/>
      <c r="AA357" s="505"/>
      <c r="AB357" s="505"/>
    </row>
    <row r="358" spans="1:28" ht="15.6">
      <c r="A358" s="505"/>
      <c r="O358" s="505"/>
      <c r="P358" s="522"/>
      <c r="Q358" s="522"/>
      <c r="R358" s="522"/>
      <c r="S358" s="522"/>
      <c r="T358" s="505"/>
      <c r="U358" s="505"/>
      <c r="V358" s="505"/>
      <c r="W358" s="505"/>
      <c r="X358" s="505"/>
      <c r="Y358" s="505"/>
      <c r="Z358" s="505"/>
      <c r="AA358" s="505"/>
      <c r="AB358" s="505"/>
    </row>
    <row r="359" spans="1:28" ht="15.6">
      <c r="A359" s="505"/>
      <c r="O359" s="505"/>
      <c r="P359" s="522"/>
      <c r="Q359" s="522"/>
      <c r="R359" s="522"/>
      <c r="S359" s="522"/>
      <c r="T359" s="505"/>
      <c r="U359" s="505"/>
      <c r="V359" s="505"/>
      <c r="W359" s="505"/>
      <c r="X359" s="505"/>
      <c r="Y359" s="505"/>
      <c r="Z359" s="505"/>
      <c r="AA359" s="505"/>
      <c r="AB359" s="505"/>
    </row>
    <row r="360" spans="1:28" ht="15.6">
      <c r="A360" s="505"/>
      <c r="O360" s="505"/>
      <c r="P360" s="522"/>
      <c r="Q360" s="522"/>
      <c r="R360" s="522"/>
      <c r="S360" s="522"/>
      <c r="T360" s="505"/>
      <c r="U360" s="505"/>
      <c r="V360" s="505"/>
      <c r="W360" s="505"/>
      <c r="X360" s="505"/>
      <c r="Y360" s="505"/>
      <c r="Z360" s="505"/>
      <c r="AA360" s="505"/>
      <c r="AB360" s="505"/>
    </row>
    <row r="361" spans="1:28" ht="15.6">
      <c r="A361" s="505"/>
      <c r="O361" s="505"/>
      <c r="P361" s="522"/>
      <c r="Q361" s="522"/>
      <c r="R361" s="522"/>
      <c r="S361" s="522"/>
      <c r="T361" s="505"/>
      <c r="U361" s="505"/>
      <c r="V361" s="505"/>
      <c r="W361" s="505"/>
      <c r="X361" s="505"/>
      <c r="Y361" s="505"/>
      <c r="Z361" s="505"/>
      <c r="AA361" s="505"/>
      <c r="AB361" s="505"/>
    </row>
    <row r="362" spans="1:28" ht="15.6">
      <c r="A362" s="505"/>
      <c r="O362" s="505"/>
      <c r="P362" s="522"/>
      <c r="Q362" s="522"/>
      <c r="R362" s="522"/>
      <c r="S362" s="522"/>
      <c r="T362" s="505"/>
      <c r="U362" s="505"/>
      <c r="V362" s="505"/>
      <c r="W362" s="505"/>
      <c r="X362" s="505"/>
      <c r="Y362" s="505"/>
      <c r="Z362" s="505"/>
      <c r="AA362" s="505"/>
      <c r="AB362" s="505"/>
    </row>
    <row r="363" spans="1:28" ht="15.6">
      <c r="A363" s="505"/>
      <c r="B363" s="1450" t="s">
        <v>1008</v>
      </c>
      <c r="C363" s="1451"/>
      <c r="D363" s="1451"/>
      <c r="E363" s="1451"/>
      <c r="F363" s="1451"/>
      <c r="G363" s="1451"/>
      <c r="H363" s="1451"/>
      <c r="I363" s="1451"/>
      <c r="J363" s="1451"/>
      <c r="O363" s="505"/>
      <c r="P363" s="522"/>
      <c r="Q363" s="522"/>
      <c r="R363" s="522"/>
      <c r="S363" s="522"/>
      <c r="T363" s="505"/>
      <c r="U363" s="505"/>
      <c r="V363" s="505"/>
      <c r="W363" s="505"/>
      <c r="X363" s="505"/>
      <c r="Y363" s="505"/>
      <c r="Z363" s="505"/>
      <c r="AA363" s="505"/>
      <c r="AB363" s="505"/>
    </row>
    <row r="364" spans="1:28" ht="15.6">
      <c r="A364" s="505"/>
      <c r="B364" s="524" t="s">
        <v>1009</v>
      </c>
      <c r="C364" s="524"/>
      <c r="D364" s="505"/>
      <c r="E364" s="505"/>
      <c r="F364" s="509"/>
      <c r="G364" s="509"/>
      <c r="H364" s="509"/>
      <c r="I364" s="505"/>
      <c r="J364" s="5"/>
      <c r="O364" s="505"/>
      <c r="P364" s="522"/>
      <c r="Q364" s="522"/>
      <c r="R364" s="522"/>
      <c r="S364" s="522"/>
      <c r="T364" s="505"/>
      <c r="U364" s="505"/>
      <c r="V364" s="505"/>
      <c r="W364" s="505"/>
      <c r="X364" s="505"/>
      <c r="Y364" s="505"/>
      <c r="Z364" s="505"/>
      <c r="AA364" s="505"/>
      <c r="AB364" s="505"/>
    </row>
    <row r="365" spans="1:28" ht="15.6">
      <c r="A365" s="505"/>
      <c r="B365" s="513">
        <v>6980</v>
      </c>
      <c r="C365" s="513"/>
      <c r="D365" s="524" t="s">
        <v>1010</v>
      </c>
      <c r="E365" s="524"/>
      <c r="F365" s="509"/>
      <c r="G365" s="509"/>
      <c r="H365" s="509"/>
      <c r="I365" s="505"/>
      <c r="J365" s="5"/>
      <c r="O365" s="505"/>
      <c r="P365" s="522"/>
      <c r="Q365" s="522"/>
      <c r="R365" s="522"/>
      <c r="S365" s="522"/>
      <c r="T365" s="505"/>
      <c r="U365" s="505"/>
      <c r="V365" s="505"/>
      <c r="W365" s="505"/>
      <c r="X365" s="505"/>
      <c r="Y365" s="505"/>
      <c r="Z365" s="505"/>
      <c r="AA365" s="505"/>
      <c r="AB365" s="505"/>
    </row>
    <row r="366" spans="1:28" ht="15.6">
      <c r="A366" s="505"/>
      <c r="B366" s="505"/>
      <c r="C366" s="505"/>
      <c r="D366" s="505"/>
      <c r="E366" s="505"/>
      <c r="F366" s="1312" t="s">
        <v>902</v>
      </c>
      <c r="G366" s="509"/>
      <c r="H366" s="509"/>
      <c r="I366" s="1312" t="s">
        <v>902</v>
      </c>
      <c r="J366" s="5"/>
      <c r="O366" s="505"/>
      <c r="P366" s="522"/>
      <c r="Q366" s="522"/>
      <c r="R366" s="522"/>
      <c r="S366" s="522"/>
      <c r="T366" s="505"/>
      <c r="U366" s="505"/>
      <c r="V366" s="505"/>
      <c r="W366" s="505"/>
      <c r="X366" s="505"/>
      <c r="Y366" s="505"/>
      <c r="Z366" s="505"/>
      <c r="AA366" s="505"/>
      <c r="AB366" s="505"/>
    </row>
    <row r="367" spans="1:28" ht="15.6">
      <c r="A367" s="505"/>
      <c r="B367" s="1378" t="s">
        <v>1011</v>
      </c>
      <c r="C367" s="1378"/>
      <c r="D367" s="1379"/>
      <c r="E367" s="5"/>
      <c r="F367" s="1378" t="s">
        <v>1012</v>
      </c>
      <c r="G367" s="1372"/>
      <c r="H367" s="509"/>
      <c r="I367" s="1321" t="s">
        <v>1013</v>
      </c>
      <c r="J367" s="1324"/>
      <c r="O367" s="505"/>
      <c r="P367" s="522"/>
      <c r="Q367" s="522"/>
      <c r="R367" s="522"/>
      <c r="S367" s="522"/>
      <c r="T367" s="505"/>
      <c r="U367" s="505"/>
      <c r="V367" s="505"/>
      <c r="W367" s="505"/>
      <c r="X367" s="505"/>
      <c r="Y367" s="505"/>
      <c r="Z367" s="505"/>
      <c r="AA367" s="505"/>
      <c r="AB367" s="505"/>
    </row>
    <row r="368" spans="1:28" ht="15.6">
      <c r="A368" s="505"/>
      <c r="B368" s="1313" t="s">
        <v>1014</v>
      </c>
      <c r="C368" s="1313"/>
      <c r="D368" s="1318" t="s">
        <v>285</v>
      </c>
      <c r="E368" s="1318"/>
      <c r="F368" s="1315" t="s">
        <v>904</v>
      </c>
      <c r="G368" s="1318" t="s">
        <v>285</v>
      </c>
      <c r="H368" s="1316"/>
      <c r="I368" s="1317" t="s">
        <v>904</v>
      </c>
      <c r="J368" s="1318" t="s">
        <v>285</v>
      </c>
      <c r="O368" s="505"/>
      <c r="P368" s="522"/>
      <c r="Q368" s="522"/>
      <c r="R368" s="522"/>
      <c r="S368" s="522"/>
      <c r="T368" s="505"/>
      <c r="U368" s="505"/>
      <c r="V368" s="505"/>
      <c r="W368" s="505"/>
      <c r="X368" s="505"/>
      <c r="Y368" s="505"/>
      <c r="Z368" s="505"/>
      <c r="AA368" s="505"/>
      <c r="AB368" s="505"/>
    </row>
    <row r="369" spans="1:28" ht="15.6">
      <c r="A369" s="505"/>
      <c r="B369" s="1371" t="s">
        <v>906</v>
      </c>
      <c r="C369" s="1371"/>
      <c r="D369" s="1354">
        <v>7763.23</v>
      </c>
      <c r="E369" s="513"/>
      <c r="F369" s="1372" t="s">
        <v>906</v>
      </c>
      <c r="G369" s="1353">
        <v>6980</v>
      </c>
      <c r="H369" s="509"/>
      <c r="I369" s="1322" t="s">
        <v>906</v>
      </c>
      <c r="J369" s="1374">
        <v>7494.32</v>
      </c>
      <c r="O369" s="505"/>
      <c r="P369" s="522"/>
      <c r="Q369" s="522"/>
      <c r="R369" s="522"/>
      <c r="S369" s="522"/>
      <c r="T369" s="505"/>
      <c r="U369" s="505"/>
      <c r="V369" s="505"/>
      <c r="W369" s="505"/>
      <c r="X369" s="505"/>
      <c r="Y369" s="505"/>
      <c r="Z369" s="505"/>
      <c r="AA369" s="505"/>
      <c r="AB369" s="505"/>
    </row>
    <row r="370" spans="1:28" ht="15.6">
      <c r="A370" s="505"/>
      <c r="B370" s="1371" t="s">
        <v>907</v>
      </c>
      <c r="C370" s="1371"/>
      <c r="D370" s="1361">
        <v>8093.24</v>
      </c>
      <c r="E370" s="508"/>
      <c r="F370" s="1372" t="s">
        <v>907</v>
      </c>
      <c r="G370" s="1360">
        <v>7169</v>
      </c>
      <c r="H370" s="509"/>
      <c r="I370" s="1322" t="s">
        <v>907</v>
      </c>
      <c r="J370" s="1375">
        <v>8093.33</v>
      </c>
      <c r="O370" s="505"/>
      <c r="P370" s="522"/>
      <c r="Q370" s="522"/>
      <c r="R370" s="522"/>
      <c r="S370" s="522"/>
      <c r="T370" s="505"/>
      <c r="U370" s="505"/>
      <c r="V370" s="505"/>
      <c r="W370" s="505"/>
      <c r="X370" s="505"/>
      <c r="Y370" s="505"/>
      <c r="Z370" s="505"/>
      <c r="AA370" s="505"/>
      <c r="AB370" s="505"/>
    </row>
    <row r="371" spans="1:28" ht="15.6">
      <c r="A371" s="505"/>
      <c r="B371" s="1371" t="s">
        <v>908</v>
      </c>
      <c r="C371" s="1371"/>
      <c r="D371" s="1361">
        <v>7264.25</v>
      </c>
      <c r="E371" s="508"/>
      <c r="F371" s="1372" t="s">
        <v>908</v>
      </c>
      <c r="G371" s="1360">
        <v>7197</v>
      </c>
      <c r="H371" s="509"/>
      <c r="I371" s="1322" t="s">
        <v>908</v>
      </c>
      <c r="J371" s="1375">
        <v>7197.34</v>
      </c>
      <c r="O371" s="505"/>
      <c r="P371" s="522"/>
      <c r="Q371" s="522"/>
      <c r="R371" s="522"/>
      <c r="S371" s="522"/>
      <c r="T371" s="505"/>
      <c r="U371" s="505"/>
      <c r="V371" s="505"/>
      <c r="W371" s="505"/>
      <c r="X371" s="505"/>
      <c r="Y371" s="505"/>
      <c r="Z371" s="505"/>
      <c r="AA371" s="505"/>
      <c r="AB371" s="505"/>
    </row>
    <row r="372" spans="1:28" ht="15.6">
      <c r="A372" s="505"/>
      <c r="B372" s="1371" t="s">
        <v>1015</v>
      </c>
      <c r="C372" s="1371"/>
      <c r="D372" s="1361">
        <v>9177.26</v>
      </c>
      <c r="E372" s="508"/>
      <c r="F372" s="1372" t="s">
        <v>1015</v>
      </c>
      <c r="G372" s="1360">
        <v>6980</v>
      </c>
      <c r="H372" s="509"/>
      <c r="I372" s="1322" t="s">
        <v>909</v>
      </c>
      <c r="J372" s="1375">
        <v>7715.35</v>
      </c>
      <c r="O372" s="505"/>
      <c r="P372" s="522"/>
      <c r="Q372" s="522"/>
      <c r="R372" s="522"/>
      <c r="S372" s="522"/>
      <c r="T372" s="505"/>
      <c r="U372" s="505"/>
      <c r="V372" s="505"/>
      <c r="W372" s="505"/>
      <c r="X372" s="505"/>
      <c r="Y372" s="505"/>
      <c r="Z372" s="505"/>
      <c r="AA372" s="505"/>
      <c r="AB372" s="505"/>
    </row>
    <row r="373" spans="1:28" ht="15.6">
      <c r="A373" s="505"/>
      <c r="B373" s="1371" t="s">
        <v>909</v>
      </c>
      <c r="C373" s="1371"/>
      <c r="D373" s="1361">
        <v>9279.27</v>
      </c>
      <c r="E373" s="508"/>
      <c r="F373" s="1372" t="s">
        <v>909</v>
      </c>
      <c r="G373" s="1360">
        <v>7169</v>
      </c>
      <c r="H373" s="509"/>
      <c r="I373" s="1322" t="s">
        <v>910</v>
      </c>
      <c r="J373" s="1375">
        <v>6980.36</v>
      </c>
      <c r="O373" s="505"/>
      <c r="P373" s="522"/>
      <c r="Q373" s="522"/>
      <c r="R373" s="522"/>
      <c r="S373" s="522"/>
      <c r="T373" s="505"/>
      <c r="U373" s="505"/>
      <c r="V373" s="505"/>
      <c r="W373" s="505"/>
      <c r="X373" s="505"/>
      <c r="Y373" s="505"/>
      <c r="Z373" s="505"/>
      <c r="AA373" s="505"/>
      <c r="AB373" s="505"/>
    </row>
    <row r="374" spans="1:28" ht="15.6">
      <c r="A374" s="505"/>
      <c r="B374" s="1371" t="s">
        <v>1016</v>
      </c>
      <c r="C374" s="1371"/>
      <c r="D374" s="1361">
        <v>22360.28</v>
      </c>
      <c r="E374" s="508"/>
      <c r="F374" s="1372" t="s">
        <v>1016</v>
      </c>
      <c r="G374" s="1360">
        <v>7169</v>
      </c>
      <c r="H374" s="509"/>
      <c r="I374" s="1322" t="s">
        <v>911</v>
      </c>
      <c r="J374" s="1375">
        <v>10367</v>
      </c>
      <c r="O374" s="505"/>
      <c r="P374" s="522"/>
      <c r="Q374" s="522"/>
      <c r="R374" s="522"/>
      <c r="S374" s="522"/>
      <c r="T374" s="505"/>
      <c r="U374" s="505"/>
      <c r="V374" s="505"/>
      <c r="W374" s="505"/>
      <c r="X374" s="505"/>
      <c r="Y374" s="505"/>
      <c r="Z374" s="505"/>
      <c r="AA374" s="505"/>
      <c r="AB374" s="505"/>
    </row>
    <row r="375" spans="1:28" ht="15.6">
      <c r="A375" s="505"/>
      <c r="B375" s="1371" t="s">
        <v>1017</v>
      </c>
      <c r="C375" s="1371"/>
      <c r="D375" s="1361">
        <v>33746.29</v>
      </c>
      <c r="E375" s="508"/>
      <c r="F375" s="1372" t="s">
        <v>1017</v>
      </c>
      <c r="G375" s="1373">
        <v>7169</v>
      </c>
      <c r="H375" s="514"/>
      <c r="I375" s="1323" t="s">
        <v>1018</v>
      </c>
      <c r="J375" s="1376">
        <v>6980</v>
      </c>
      <c r="O375" s="505"/>
      <c r="P375" s="522"/>
      <c r="Q375" s="522"/>
      <c r="R375" s="522"/>
      <c r="S375" s="522"/>
      <c r="T375" s="505"/>
      <c r="U375" s="505"/>
      <c r="V375" s="505"/>
      <c r="W375" s="505"/>
      <c r="X375" s="505"/>
      <c r="Y375" s="505"/>
      <c r="Z375" s="505"/>
      <c r="AA375" s="505"/>
      <c r="AB375" s="505"/>
    </row>
    <row r="376" spans="1:28" ht="15.6">
      <c r="A376" s="505"/>
      <c r="B376" s="1371" t="s">
        <v>1019</v>
      </c>
      <c r="C376" s="1371"/>
      <c r="D376" s="1361">
        <v>9713.2999999999993</v>
      </c>
      <c r="E376" s="508"/>
      <c r="F376" s="1372" t="s">
        <v>1019</v>
      </c>
      <c r="G376" s="1373">
        <v>7169</v>
      </c>
      <c r="H376" s="514"/>
      <c r="I376" s="5"/>
      <c r="J376" s="5"/>
      <c r="O376" s="505"/>
      <c r="P376" s="522"/>
      <c r="Q376" s="522"/>
      <c r="R376" s="522"/>
      <c r="S376" s="522"/>
      <c r="T376" s="505"/>
      <c r="U376" s="505"/>
      <c r="V376" s="505"/>
      <c r="W376" s="505"/>
      <c r="X376" s="505"/>
      <c r="Y376" s="505"/>
      <c r="Z376" s="505"/>
      <c r="AA376" s="505"/>
      <c r="AB376" s="505"/>
    </row>
    <row r="377" spans="1:28" ht="15.6">
      <c r="A377" s="505"/>
      <c r="B377" s="1371" t="s">
        <v>1020</v>
      </c>
      <c r="C377" s="1371"/>
      <c r="D377" s="1361">
        <v>10547.31</v>
      </c>
      <c r="E377" s="508"/>
      <c r="F377" s="1372" t="s">
        <v>1020</v>
      </c>
      <c r="G377" s="1373">
        <v>7169</v>
      </c>
      <c r="H377" s="514"/>
      <c r="I377" s="1310" t="s">
        <v>927</v>
      </c>
      <c r="J377" s="1311"/>
      <c r="O377" s="505"/>
      <c r="P377" s="522"/>
      <c r="Q377" s="522"/>
      <c r="R377" s="522"/>
      <c r="S377" s="522"/>
      <c r="T377" s="505"/>
      <c r="U377" s="505"/>
      <c r="V377" s="505"/>
      <c r="W377" s="505"/>
      <c r="X377" s="505"/>
      <c r="Y377" s="505"/>
      <c r="Z377" s="505"/>
      <c r="AA377" s="505"/>
      <c r="AB377" s="505"/>
    </row>
    <row r="378" spans="1:28" ht="15.6">
      <c r="A378" s="505"/>
      <c r="B378" s="1371" t="s">
        <v>1021</v>
      </c>
      <c r="C378" s="1371"/>
      <c r="D378" s="1361">
        <v>13725.32</v>
      </c>
      <c r="E378" s="508"/>
      <c r="F378" s="1372" t="s">
        <v>1021</v>
      </c>
      <c r="G378" s="1373">
        <v>7169</v>
      </c>
      <c r="H378" s="514"/>
      <c r="I378" s="1322" t="s">
        <v>977</v>
      </c>
      <c r="J378" s="1377" t="s">
        <v>1022</v>
      </c>
      <c r="O378" s="505"/>
      <c r="P378" s="522"/>
      <c r="Q378" s="522"/>
      <c r="R378" s="522"/>
      <c r="S378" s="522"/>
      <c r="T378" s="505"/>
      <c r="U378" s="505"/>
      <c r="V378" s="505"/>
      <c r="W378" s="505"/>
      <c r="X378" s="505"/>
      <c r="Y378" s="505"/>
      <c r="Z378" s="505"/>
      <c r="AA378" s="505"/>
      <c r="AB378" s="505"/>
    </row>
    <row r="379" spans="1:28" ht="15.6">
      <c r="A379" s="505"/>
      <c r="B379" s="1371" t="s">
        <v>1023</v>
      </c>
      <c r="C379" s="1371"/>
      <c r="D379" s="1361">
        <v>8532.33</v>
      </c>
      <c r="E379" s="508"/>
      <c r="F379" s="1372" t="s">
        <v>1023</v>
      </c>
      <c r="G379" s="1373">
        <v>6980</v>
      </c>
      <c r="H379" s="514"/>
      <c r="I379" s="1322" t="s">
        <v>932</v>
      </c>
      <c r="J379" s="1322">
        <v>0.24</v>
      </c>
      <c r="O379" s="505"/>
      <c r="P379" s="522"/>
      <c r="Q379" s="522"/>
      <c r="R379" s="522"/>
      <c r="S379" s="522"/>
      <c r="T379" s="505"/>
      <c r="U379" s="505"/>
      <c r="V379" s="505"/>
      <c r="W379" s="505"/>
      <c r="X379" s="505"/>
      <c r="Y379" s="505"/>
      <c r="Z379" s="505"/>
      <c r="AA379" s="505"/>
      <c r="AB379" s="505"/>
    </row>
    <row r="380" spans="1:28" ht="15.6">
      <c r="A380" s="505"/>
      <c r="B380" s="1371" t="s">
        <v>1024</v>
      </c>
      <c r="C380" s="1371"/>
      <c r="D380" s="1361">
        <v>12286.34</v>
      </c>
      <c r="E380" s="508"/>
      <c r="F380" s="1372" t="s">
        <v>1024</v>
      </c>
      <c r="G380" s="1373">
        <v>7169</v>
      </c>
      <c r="H380" s="514"/>
      <c r="I380" s="1322" t="s">
        <v>1025</v>
      </c>
      <c r="J380" s="1322">
        <v>0.03</v>
      </c>
      <c r="K380" s="5" t="s">
        <v>1026</v>
      </c>
      <c r="O380" s="505"/>
      <c r="P380" s="522"/>
      <c r="Q380" s="522"/>
      <c r="R380" s="522"/>
      <c r="S380" s="522"/>
      <c r="T380" s="505"/>
      <c r="U380" s="505"/>
      <c r="V380" s="505"/>
      <c r="W380" s="505"/>
      <c r="X380" s="505"/>
      <c r="Y380" s="505"/>
      <c r="Z380" s="505"/>
      <c r="AA380" s="505"/>
      <c r="AB380" s="505"/>
    </row>
    <row r="381" spans="1:28" ht="15.6">
      <c r="A381" s="505"/>
      <c r="B381" s="1371" t="s">
        <v>1027</v>
      </c>
      <c r="C381" s="1371"/>
      <c r="D381" s="1361">
        <v>8764.35</v>
      </c>
      <c r="E381" s="508"/>
      <c r="F381" s="1372" t="s">
        <v>1027</v>
      </c>
      <c r="G381" s="1373">
        <v>7169</v>
      </c>
      <c r="H381" s="514"/>
      <c r="I381" s="1322" t="s">
        <v>934</v>
      </c>
      <c r="J381" s="1322">
        <v>0.12</v>
      </c>
      <c r="O381" s="505"/>
      <c r="P381" s="522"/>
      <c r="Q381" s="522"/>
      <c r="R381" s="522"/>
      <c r="S381" s="522"/>
      <c r="T381" s="505"/>
      <c r="U381" s="505"/>
      <c r="V381" s="505"/>
      <c r="W381" s="505"/>
      <c r="X381" s="505"/>
      <c r="Y381" s="505"/>
      <c r="Z381" s="505"/>
      <c r="AA381" s="505"/>
      <c r="AB381" s="505"/>
    </row>
    <row r="382" spans="1:28" ht="15.6">
      <c r="A382" s="505"/>
      <c r="B382" s="1371" t="s">
        <v>1028</v>
      </c>
      <c r="C382" s="1371"/>
      <c r="D382" s="1361">
        <v>11794.36</v>
      </c>
      <c r="E382" s="508"/>
      <c r="F382" s="1372" t="s">
        <v>1028</v>
      </c>
      <c r="G382" s="1373">
        <v>7169</v>
      </c>
      <c r="H382" s="514"/>
      <c r="I382" s="5"/>
      <c r="J382" s="5"/>
      <c r="O382" s="505"/>
      <c r="P382" s="522"/>
      <c r="Q382" s="522"/>
      <c r="R382" s="522"/>
      <c r="S382" s="522"/>
      <c r="T382" s="505"/>
      <c r="U382" s="505"/>
      <c r="V382" s="505"/>
      <c r="W382" s="505"/>
      <c r="X382" s="505"/>
      <c r="Y382" s="505"/>
      <c r="Z382" s="505"/>
      <c r="AA382" s="505"/>
      <c r="AB382" s="505"/>
    </row>
    <row r="383" spans="1:28" ht="15.6">
      <c r="A383" s="505"/>
      <c r="B383" s="1371" t="s">
        <v>1029</v>
      </c>
      <c r="C383" s="1371"/>
      <c r="D383" s="1361">
        <v>23274.37</v>
      </c>
      <c r="E383" s="508"/>
      <c r="F383" s="1372" t="s">
        <v>1029</v>
      </c>
      <c r="G383" s="1373">
        <v>6980</v>
      </c>
      <c r="H383" s="514"/>
      <c r="I383" s="5"/>
      <c r="J383" s="5"/>
      <c r="O383" s="505"/>
      <c r="P383" s="522"/>
      <c r="Q383" s="522"/>
      <c r="R383" s="522"/>
      <c r="S383" s="522"/>
      <c r="T383" s="505"/>
      <c r="U383" s="505"/>
      <c r="V383" s="505"/>
      <c r="W383" s="505"/>
      <c r="X383" s="505"/>
      <c r="Y383" s="505"/>
      <c r="Z383" s="505"/>
      <c r="AA383" s="505"/>
      <c r="AB383" s="505"/>
    </row>
    <row r="384" spans="1:28" ht="15.6">
      <c r="A384" s="505"/>
      <c r="B384" s="1371" t="s">
        <v>910</v>
      </c>
      <c r="C384" s="1371"/>
      <c r="D384" s="1361">
        <v>7222.38</v>
      </c>
      <c r="E384" s="508"/>
      <c r="F384" s="1372" t="s">
        <v>910</v>
      </c>
      <c r="G384" s="1373">
        <v>6980</v>
      </c>
      <c r="H384" s="514"/>
      <c r="I384" s="505"/>
      <c r="J384" s="5"/>
      <c r="O384" s="505"/>
      <c r="P384" s="522"/>
      <c r="Q384" s="522"/>
      <c r="R384" s="522"/>
      <c r="S384" s="522"/>
      <c r="T384" s="505"/>
      <c r="U384" s="505"/>
      <c r="V384" s="505"/>
      <c r="W384" s="505"/>
      <c r="X384" s="505"/>
      <c r="Y384" s="505"/>
      <c r="Z384" s="505"/>
      <c r="AA384" s="505"/>
      <c r="AB384" s="505"/>
    </row>
    <row r="385" spans="1:28" ht="15.6">
      <c r="A385" s="505"/>
      <c r="B385" s="1371" t="s">
        <v>911</v>
      </c>
      <c r="C385" s="1371"/>
      <c r="D385" s="1354">
        <v>11298</v>
      </c>
      <c r="E385" s="513"/>
      <c r="F385" s="1372" t="s">
        <v>911</v>
      </c>
      <c r="G385" s="1373">
        <v>7169</v>
      </c>
      <c r="H385" s="514"/>
      <c r="I385" s="505"/>
      <c r="J385" s="5"/>
      <c r="O385" s="505"/>
      <c r="P385" s="522"/>
      <c r="Q385" s="522"/>
      <c r="R385" s="522"/>
      <c r="S385" s="522"/>
      <c r="T385" s="505"/>
      <c r="U385" s="505"/>
      <c r="V385" s="505"/>
      <c r="W385" s="505"/>
      <c r="X385" s="505"/>
      <c r="Y385" s="505"/>
      <c r="Z385" s="505"/>
      <c r="AA385" s="505"/>
      <c r="AB385" s="505"/>
    </row>
    <row r="386" spans="1:28" ht="15.6">
      <c r="A386" s="505"/>
      <c r="B386" s="505"/>
      <c r="C386" s="505"/>
      <c r="D386" s="505"/>
      <c r="E386" s="505"/>
      <c r="H386" s="509"/>
      <c r="I386" s="505"/>
      <c r="J386" s="5"/>
      <c r="O386" s="505"/>
      <c r="P386" s="522"/>
      <c r="Q386" s="522"/>
      <c r="R386" s="522"/>
      <c r="S386" s="522"/>
      <c r="T386" s="505"/>
      <c r="U386" s="505"/>
      <c r="V386" s="505"/>
      <c r="W386" s="505"/>
      <c r="X386" s="505"/>
      <c r="Y386" s="505"/>
      <c r="Z386" s="505"/>
      <c r="AA386" s="505"/>
      <c r="AB386" s="505"/>
    </row>
    <row r="387" spans="1:28" ht="15.6">
      <c r="A387" s="505"/>
      <c r="B387" s="505"/>
      <c r="C387" s="505"/>
      <c r="D387" s="505"/>
      <c r="E387" s="505"/>
      <c r="F387" s="509"/>
      <c r="G387" s="509"/>
      <c r="H387" s="509"/>
      <c r="I387" s="505"/>
      <c r="J387" s="5"/>
      <c r="O387" s="505"/>
      <c r="P387" s="522"/>
      <c r="Q387" s="522"/>
      <c r="R387" s="522"/>
      <c r="S387" s="522"/>
      <c r="T387" s="505"/>
      <c r="U387" s="505"/>
      <c r="V387" s="505"/>
      <c r="W387" s="505"/>
      <c r="X387" s="505"/>
      <c r="Y387" s="505"/>
      <c r="Z387" s="505"/>
      <c r="AA387" s="505"/>
      <c r="AB387" s="505"/>
    </row>
    <row r="388" spans="1:28" ht="15.6">
      <c r="A388" s="505"/>
      <c r="B388" s="1333" t="s">
        <v>1030</v>
      </c>
      <c r="C388" s="1333"/>
      <c r="D388" s="1334"/>
      <c r="E388" s="1334"/>
      <c r="F388" s="1335"/>
      <c r="G388" s="1335"/>
      <c r="H388" s="1335"/>
      <c r="I388" s="1334"/>
      <c r="J388" s="1336"/>
      <c r="O388" s="505"/>
      <c r="P388" s="522"/>
      <c r="Q388" s="522"/>
      <c r="R388" s="522"/>
      <c r="S388" s="522"/>
      <c r="T388" s="505"/>
      <c r="U388" s="505"/>
      <c r="V388" s="505"/>
      <c r="W388" s="505"/>
      <c r="X388" s="505"/>
      <c r="Y388" s="505"/>
      <c r="Z388" s="505"/>
      <c r="AA388" s="505"/>
      <c r="AB388" s="505"/>
    </row>
    <row r="389" spans="1:28" ht="15.6">
      <c r="A389" s="505"/>
      <c r="B389" s="524" t="s">
        <v>1009</v>
      </c>
      <c r="C389" s="524"/>
      <c r="D389" s="505"/>
      <c r="E389" s="505"/>
      <c r="F389" s="509"/>
      <c r="G389" s="509"/>
      <c r="H389" s="509"/>
      <c r="I389" s="505"/>
      <c r="J389" s="5"/>
      <c r="O389" s="505"/>
      <c r="P389" s="522"/>
      <c r="Q389" s="522"/>
      <c r="R389" s="522"/>
      <c r="S389" s="522"/>
      <c r="T389" s="505"/>
      <c r="U389" s="505"/>
      <c r="V389" s="505"/>
      <c r="W389" s="505"/>
      <c r="X389" s="505"/>
      <c r="Y389" s="505"/>
      <c r="Z389" s="505"/>
      <c r="AA389" s="505"/>
      <c r="AB389" s="505"/>
    </row>
    <row r="390" spans="1:28" ht="15.6">
      <c r="A390" s="505"/>
      <c r="B390" s="513">
        <v>7074</v>
      </c>
      <c r="C390" s="513"/>
      <c r="D390" s="524" t="s">
        <v>1031</v>
      </c>
      <c r="E390" s="524"/>
      <c r="F390" s="509"/>
      <c r="G390" s="509"/>
      <c r="H390" s="509"/>
      <c r="I390" s="505"/>
      <c r="J390" s="5"/>
      <c r="O390" s="523"/>
      <c r="P390" s="522"/>
      <c r="Q390" s="522"/>
      <c r="R390" s="522"/>
      <c r="S390" s="522"/>
      <c r="T390" s="505"/>
      <c r="U390" s="505"/>
      <c r="V390" s="505"/>
      <c r="W390" s="505"/>
      <c r="X390" s="505"/>
      <c r="Y390" s="505"/>
      <c r="Z390" s="505"/>
      <c r="AA390" s="505"/>
      <c r="AB390" s="505"/>
    </row>
    <row r="391" spans="1:28" ht="15.6">
      <c r="A391" s="505"/>
      <c r="B391" s="505"/>
      <c r="C391" s="505"/>
      <c r="D391" s="505"/>
      <c r="E391" s="505"/>
      <c r="F391" s="1312" t="s">
        <v>902</v>
      </c>
      <c r="G391" s="509"/>
      <c r="H391" s="509"/>
      <c r="I391" s="1312" t="s">
        <v>902</v>
      </c>
      <c r="J391" s="5"/>
      <c r="O391" s="523"/>
      <c r="P391" s="522"/>
      <c r="Q391" s="522"/>
      <c r="R391" s="522"/>
      <c r="S391" s="522"/>
      <c r="T391" s="505"/>
      <c r="U391" s="505"/>
      <c r="V391" s="505"/>
      <c r="W391" s="505"/>
      <c r="X391" s="505"/>
      <c r="Y391" s="505"/>
      <c r="Z391" s="505"/>
      <c r="AA391" s="505"/>
      <c r="AB391" s="505"/>
    </row>
    <row r="392" spans="1:28" ht="15.6">
      <c r="A392" s="505"/>
      <c r="B392" s="524" t="s">
        <v>1032</v>
      </c>
      <c r="C392" s="524"/>
      <c r="D392" s="5"/>
      <c r="E392" s="5"/>
      <c r="F392" s="524" t="s">
        <v>1033</v>
      </c>
      <c r="G392" s="509"/>
      <c r="H392" s="509"/>
      <c r="I392" s="524" t="s">
        <v>1034</v>
      </c>
      <c r="J392" s="5"/>
      <c r="O392" s="523"/>
      <c r="P392" s="522"/>
      <c r="Q392" s="522"/>
      <c r="R392" s="522"/>
      <c r="S392" s="522"/>
      <c r="T392" s="505"/>
      <c r="U392" s="505"/>
      <c r="V392" s="505"/>
      <c r="W392" s="505"/>
      <c r="X392" s="505"/>
      <c r="Y392" s="505"/>
      <c r="Z392" s="505"/>
      <c r="AA392" s="505"/>
      <c r="AB392" s="505"/>
    </row>
    <row r="393" spans="1:28" ht="15.6">
      <c r="A393" s="505"/>
      <c r="B393" s="1313" t="s">
        <v>1014</v>
      </c>
      <c r="C393" s="1313"/>
      <c r="D393" s="1318" t="s">
        <v>285</v>
      </c>
      <c r="E393" s="1318"/>
      <c r="F393" s="1315" t="s">
        <v>904</v>
      </c>
      <c r="G393" s="1318" t="s">
        <v>285</v>
      </c>
      <c r="H393" s="1316"/>
      <c r="I393" s="1317" t="s">
        <v>904</v>
      </c>
      <c r="J393" s="1318" t="s">
        <v>285</v>
      </c>
      <c r="O393" s="523" t="s">
        <v>1035</v>
      </c>
      <c r="P393" s="522"/>
      <c r="Q393" s="522"/>
      <c r="R393" s="522"/>
      <c r="S393" s="522"/>
      <c r="T393" s="505"/>
      <c r="U393" s="505"/>
      <c r="V393" s="505"/>
      <c r="W393" s="505"/>
      <c r="X393" s="505"/>
      <c r="Y393" s="505"/>
      <c r="Z393" s="505"/>
      <c r="AA393" s="505"/>
      <c r="AB393" s="505"/>
    </row>
    <row r="394" spans="1:28" ht="15.6">
      <c r="A394" s="505"/>
      <c r="B394" s="1371" t="s">
        <v>906</v>
      </c>
      <c r="C394" s="1371"/>
      <c r="D394" s="1354">
        <v>7753</v>
      </c>
      <c r="E394" s="513"/>
      <c r="F394" s="1372" t="s">
        <v>906</v>
      </c>
      <c r="G394" s="1353">
        <v>7074</v>
      </c>
      <c r="H394" s="509"/>
      <c r="I394" s="1322" t="s">
        <v>906</v>
      </c>
      <c r="J394" s="1374">
        <v>7594</v>
      </c>
      <c r="O394" s="505"/>
      <c r="P394" s="522"/>
      <c r="Q394" s="522"/>
      <c r="R394" s="522"/>
      <c r="S394" s="522"/>
      <c r="T394" s="505"/>
      <c r="U394" s="505"/>
      <c r="V394" s="505"/>
      <c r="W394" s="505"/>
      <c r="X394" s="505"/>
      <c r="Y394" s="505"/>
      <c r="Z394" s="505"/>
      <c r="AA394" s="505"/>
      <c r="AB394" s="505"/>
    </row>
    <row r="395" spans="1:28" ht="15.6">
      <c r="A395" s="505"/>
      <c r="B395" s="1371" t="s">
        <v>907</v>
      </c>
      <c r="C395" s="1371"/>
      <c r="D395" s="1361">
        <v>8197</v>
      </c>
      <c r="E395" s="508"/>
      <c r="F395" s="1372" t="s">
        <v>907</v>
      </c>
      <c r="G395" s="1360">
        <v>7265</v>
      </c>
      <c r="H395" s="509"/>
      <c r="I395" s="1322" t="s">
        <v>907</v>
      </c>
      <c r="J395" s="1375">
        <v>8197</v>
      </c>
      <c r="O395" s="524" t="s">
        <v>1036</v>
      </c>
      <c r="P395" s="505"/>
      <c r="Q395" s="505"/>
      <c r="R395" s="505"/>
      <c r="S395" s="505"/>
      <c r="T395" s="505"/>
      <c r="U395" s="505"/>
      <c r="V395" s="505"/>
      <c r="W395" s="505"/>
      <c r="X395" s="505"/>
      <c r="Y395" s="505"/>
      <c r="Z395" s="505"/>
      <c r="AA395" s="505"/>
      <c r="AB395" s="505"/>
    </row>
    <row r="396" spans="1:28" ht="15.6">
      <c r="A396" s="505"/>
      <c r="B396" s="1371" t="s">
        <v>908</v>
      </c>
      <c r="C396" s="1371"/>
      <c r="D396" s="1361">
        <v>7361</v>
      </c>
      <c r="E396" s="508"/>
      <c r="F396" s="1372" t="s">
        <v>908</v>
      </c>
      <c r="G396" s="1360">
        <v>7293</v>
      </c>
      <c r="H396" s="509"/>
      <c r="I396" s="1322" t="s">
        <v>908</v>
      </c>
      <c r="J396" s="1375">
        <v>7293</v>
      </c>
      <c r="O396" s="524"/>
      <c r="P396" s="524"/>
      <c r="Q396" s="505"/>
      <c r="R396" s="505"/>
      <c r="S396" s="505"/>
      <c r="T396" s="505"/>
      <c r="U396" s="505"/>
      <c r="V396" s="505"/>
      <c r="W396" s="505"/>
      <c r="X396" s="505"/>
      <c r="Y396" s="505"/>
      <c r="Z396" s="505"/>
      <c r="AA396" s="505"/>
      <c r="AB396" s="505"/>
    </row>
    <row r="397" spans="1:28" ht="31.2">
      <c r="A397" s="505"/>
      <c r="B397" s="1371" t="s">
        <v>1015</v>
      </c>
      <c r="C397" s="1371"/>
      <c r="D397" s="1361">
        <v>9165</v>
      </c>
      <c r="E397" s="508"/>
      <c r="F397" s="1372" t="s">
        <v>1015</v>
      </c>
      <c r="G397" s="1360">
        <v>7074</v>
      </c>
      <c r="H397" s="509"/>
      <c r="I397" s="1322" t="s">
        <v>909</v>
      </c>
      <c r="J397" s="1375">
        <v>7818</v>
      </c>
      <c r="O397" s="525" t="s">
        <v>1014</v>
      </c>
      <c r="P397" s="526" t="s">
        <v>1037</v>
      </c>
      <c r="Q397" s="527" t="s">
        <v>1038</v>
      </c>
      <c r="R397" s="505"/>
      <c r="S397" s="505"/>
      <c r="T397" s="505"/>
      <c r="U397" s="505"/>
      <c r="V397" s="505"/>
      <c r="W397" s="505"/>
      <c r="X397" s="505"/>
      <c r="Y397" s="505"/>
      <c r="Z397" s="505"/>
      <c r="AA397" s="505"/>
      <c r="AB397" s="505"/>
    </row>
    <row r="398" spans="1:28" ht="15.6">
      <c r="A398" s="512">
        <f t="shared" ref="A398:A414" si="174">ROW()-39</f>
        <v>359</v>
      </c>
      <c r="B398" s="1371" t="s">
        <v>909</v>
      </c>
      <c r="C398" s="1371"/>
      <c r="D398" s="1361">
        <v>9267</v>
      </c>
      <c r="E398" s="508"/>
      <c r="F398" s="1372" t="s">
        <v>909</v>
      </c>
      <c r="G398" s="1360">
        <v>7265</v>
      </c>
      <c r="H398" s="509"/>
      <c r="I398" s="1322" t="s">
        <v>910</v>
      </c>
      <c r="J398" s="1375">
        <v>7074</v>
      </c>
      <c r="O398" s="528" t="s">
        <v>899</v>
      </c>
      <c r="P398" s="529">
        <f>+R15</f>
        <v>8429.3823475451609</v>
      </c>
      <c r="Q398" s="530">
        <f>500000/(P398/4)</f>
        <v>237.26530812574282</v>
      </c>
      <c r="R398" s="505"/>
      <c r="S398" s="505"/>
      <c r="T398" s="505"/>
      <c r="U398" s="505"/>
      <c r="V398" s="505"/>
      <c r="W398" s="505"/>
      <c r="X398" s="505"/>
      <c r="Y398" s="505"/>
      <c r="Z398" s="505"/>
      <c r="AA398" s="505"/>
      <c r="AB398" s="505"/>
    </row>
    <row r="399" spans="1:28" ht="15.6">
      <c r="A399" s="512">
        <f t="shared" si="174"/>
        <v>360</v>
      </c>
      <c r="B399" s="1371" t="s">
        <v>1016</v>
      </c>
      <c r="C399" s="1371"/>
      <c r="D399" s="1361">
        <v>22331</v>
      </c>
      <c r="E399" s="508"/>
      <c r="F399" s="1372" t="s">
        <v>1016</v>
      </c>
      <c r="G399" s="1360">
        <v>7265</v>
      </c>
      <c r="H399" s="509"/>
      <c r="I399" s="1322" t="s">
        <v>911</v>
      </c>
      <c r="J399" s="1375">
        <v>10501</v>
      </c>
      <c r="O399" s="531" t="s">
        <v>901</v>
      </c>
      <c r="P399" s="532">
        <f>+R17</f>
        <v>8326.4897724523435</v>
      </c>
      <c r="Q399" s="532">
        <f t="shared" ref="Q399:Q414" si="175">500000/(P399/4)</f>
        <v>240.19725654583419</v>
      </c>
      <c r="R399" s="505"/>
      <c r="S399" s="505"/>
      <c r="T399" s="505"/>
      <c r="U399" s="505"/>
      <c r="V399" s="505"/>
      <c r="W399" s="505"/>
      <c r="X399" s="505"/>
      <c r="Y399" s="505"/>
      <c r="Z399" s="505"/>
      <c r="AA399" s="505"/>
      <c r="AB399" s="505"/>
    </row>
    <row r="400" spans="1:28" ht="15.6">
      <c r="A400" s="512">
        <f t="shared" si="174"/>
        <v>361</v>
      </c>
      <c r="B400" s="1371" t="s">
        <v>1017</v>
      </c>
      <c r="C400" s="1371"/>
      <c r="D400" s="1361">
        <v>33701</v>
      </c>
      <c r="E400" s="508"/>
      <c r="F400" s="1372" t="s">
        <v>1017</v>
      </c>
      <c r="G400" s="1373">
        <v>7265</v>
      </c>
      <c r="H400" s="514"/>
      <c r="I400" s="1323" t="s">
        <v>1018</v>
      </c>
      <c r="J400" s="1376">
        <f>+B390</f>
        <v>7074</v>
      </c>
      <c r="O400" s="531" t="s">
        <v>257</v>
      </c>
      <c r="P400" s="532">
        <f>+R28</f>
        <v>7242.9499619081098</v>
      </c>
      <c r="Q400" s="532">
        <f t="shared" si="175"/>
        <v>276.13058360451691</v>
      </c>
      <c r="R400" s="505"/>
      <c r="S400" s="505"/>
      <c r="T400" s="505"/>
      <c r="U400" s="505"/>
      <c r="V400" s="505"/>
      <c r="W400" s="505"/>
      <c r="X400" s="505"/>
      <c r="Y400" s="505"/>
      <c r="Z400" s="505"/>
      <c r="AA400" s="505"/>
      <c r="AB400" s="505"/>
    </row>
    <row r="401" spans="1:28" ht="15.6">
      <c r="A401" s="512">
        <f t="shared" si="174"/>
        <v>362</v>
      </c>
      <c r="B401" s="1371" t="s">
        <v>1019</v>
      </c>
      <c r="C401" s="1371"/>
      <c r="D401" s="1361">
        <v>9701</v>
      </c>
      <c r="E401" s="508"/>
      <c r="F401" s="1372" t="s">
        <v>1019</v>
      </c>
      <c r="G401" s="1373">
        <v>7265</v>
      </c>
      <c r="H401" s="514"/>
      <c r="I401" s="5"/>
      <c r="J401" s="5"/>
      <c r="O401" s="531" t="s">
        <v>913</v>
      </c>
      <c r="P401" s="532">
        <f>+R29</f>
        <v>9339.7290423366921</v>
      </c>
      <c r="Q401" s="532">
        <f t="shared" si="175"/>
        <v>214.13897458203169</v>
      </c>
      <c r="R401" s="505"/>
      <c r="S401" s="505"/>
      <c r="T401" s="505"/>
      <c r="U401" s="505"/>
      <c r="V401" s="505"/>
      <c r="W401" s="505"/>
      <c r="X401" s="505"/>
      <c r="Y401" s="505"/>
      <c r="Z401" s="505"/>
      <c r="AA401" s="505"/>
      <c r="AB401" s="505"/>
    </row>
    <row r="402" spans="1:28" ht="15.6">
      <c r="A402" s="512">
        <f t="shared" si="174"/>
        <v>363</v>
      </c>
      <c r="B402" s="1371" t="s">
        <v>1020</v>
      </c>
      <c r="C402" s="1371"/>
      <c r="D402" s="1361">
        <v>10683</v>
      </c>
      <c r="E402" s="508"/>
      <c r="F402" s="1372" t="s">
        <v>1020</v>
      </c>
      <c r="G402" s="1373">
        <v>7265</v>
      </c>
      <c r="H402" s="514"/>
      <c r="I402" s="1310" t="s">
        <v>927</v>
      </c>
      <c r="J402" s="1311"/>
      <c r="O402" s="531" t="s">
        <v>915</v>
      </c>
      <c r="P402" s="532">
        <f t="shared" ref="P402:P414" si="176">+R31</f>
        <v>9420.3898852952661</v>
      </c>
      <c r="Q402" s="532">
        <f t="shared" si="175"/>
        <v>212.30543792268034</v>
      </c>
      <c r="R402" s="505"/>
      <c r="S402" s="505"/>
      <c r="T402" s="505"/>
      <c r="U402" s="505"/>
      <c r="V402" s="505"/>
      <c r="W402" s="505"/>
      <c r="X402" s="505"/>
      <c r="Y402" s="505"/>
      <c r="Z402" s="505"/>
      <c r="AA402" s="505"/>
      <c r="AB402" s="505"/>
    </row>
    <row r="403" spans="1:28" ht="15.6">
      <c r="A403" s="512">
        <f t="shared" si="174"/>
        <v>364</v>
      </c>
      <c r="B403" s="1371" t="s">
        <v>1021</v>
      </c>
      <c r="C403" s="1371"/>
      <c r="D403" s="1361">
        <v>13707</v>
      </c>
      <c r="E403" s="508"/>
      <c r="F403" s="1372" t="s">
        <v>1021</v>
      </c>
      <c r="G403" s="1373">
        <v>7265</v>
      </c>
      <c r="H403" s="514"/>
      <c r="I403" s="1322" t="s">
        <v>977</v>
      </c>
      <c r="J403" s="1377" t="s">
        <v>1022</v>
      </c>
      <c r="O403" s="531" t="s">
        <v>916</v>
      </c>
      <c r="P403" s="532">
        <f t="shared" si="176"/>
        <v>30219.263550370324</v>
      </c>
      <c r="Q403" s="532">
        <f t="shared" si="175"/>
        <v>66.182949715711743</v>
      </c>
      <c r="R403" s="505"/>
      <c r="S403" s="505"/>
      <c r="T403" s="505"/>
      <c r="U403" s="505"/>
      <c r="V403" s="505"/>
      <c r="W403" s="505"/>
      <c r="X403" s="505"/>
      <c r="Y403" s="505"/>
      <c r="Z403" s="505"/>
      <c r="AA403" s="505"/>
      <c r="AB403" s="505"/>
    </row>
    <row r="404" spans="1:28" ht="15.6">
      <c r="A404" s="512">
        <f t="shared" si="174"/>
        <v>365</v>
      </c>
      <c r="B404" s="1371" t="s">
        <v>1023</v>
      </c>
      <c r="C404" s="1371"/>
      <c r="D404" s="1361">
        <v>8644</v>
      </c>
      <c r="E404" s="508"/>
      <c r="F404" s="1372" t="s">
        <v>1023</v>
      </c>
      <c r="G404" s="1373">
        <v>7074</v>
      </c>
      <c r="H404" s="514"/>
      <c r="I404" s="1322" t="s">
        <v>932</v>
      </c>
      <c r="J404" s="1322">
        <v>0.23</v>
      </c>
      <c r="O404" s="531" t="s">
        <v>917</v>
      </c>
      <c r="P404" s="532">
        <f t="shared" si="176"/>
        <v>31067.774574253475</v>
      </c>
      <c r="Q404" s="532">
        <f t="shared" si="175"/>
        <v>64.375386631569114</v>
      </c>
      <c r="R404" s="505"/>
      <c r="S404" s="505"/>
      <c r="T404" s="505"/>
      <c r="U404" s="505"/>
      <c r="V404" s="505"/>
      <c r="W404" s="505"/>
      <c r="X404" s="505"/>
      <c r="Y404" s="505"/>
      <c r="Z404" s="505"/>
      <c r="AA404" s="505"/>
      <c r="AB404" s="505"/>
    </row>
    <row r="405" spans="1:28" ht="15.6">
      <c r="A405" s="512">
        <f t="shared" si="174"/>
        <v>366</v>
      </c>
      <c r="B405" s="1371" t="s">
        <v>1024</v>
      </c>
      <c r="C405" s="1371"/>
      <c r="D405" s="1361">
        <v>12447</v>
      </c>
      <c r="E405" s="508"/>
      <c r="F405" s="1372" t="s">
        <v>1024</v>
      </c>
      <c r="G405" s="1373">
        <v>7265</v>
      </c>
      <c r="H405" s="514"/>
      <c r="I405" s="1322" t="s">
        <v>1025</v>
      </c>
      <c r="J405" s="1322">
        <v>0.03</v>
      </c>
      <c r="K405" s="5" t="s">
        <v>1026</v>
      </c>
      <c r="O405" s="531" t="s">
        <v>918</v>
      </c>
      <c r="P405" s="532">
        <f t="shared" si="176"/>
        <v>9688.9168173623493</v>
      </c>
      <c r="Q405" s="532">
        <f t="shared" si="175"/>
        <v>206.42142333351848</v>
      </c>
      <c r="R405" s="505"/>
      <c r="S405" s="505"/>
      <c r="T405" s="505"/>
      <c r="U405" s="505"/>
      <c r="V405" s="505"/>
      <c r="W405" s="505"/>
      <c r="X405" s="505"/>
      <c r="Y405" s="505"/>
      <c r="Z405" s="505"/>
      <c r="AA405" s="505"/>
      <c r="AB405" s="505"/>
    </row>
    <row r="406" spans="1:28" ht="15.6">
      <c r="A406" s="512">
        <f t="shared" si="174"/>
        <v>367</v>
      </c>
      <c r="B406" s="1371" t="s">
        <v>1027</v>
      </c>
      <c r="C406" s="1371"/>
      <c r="D406" s="1361">
        <v>8881</v>
      </c>
      <c r="E406" s="508"/>
      <c r="F406" s="1372" t="s">
        <v>1027</v>
      </c>
      <c r="G406" s="1373">
        <v>7265</v>
      </c>
      <c r="H406" s="514"/>
      <c r="I406" s="1322" t="s">
        <v>934</v>
      </c>
      <c r="J406" s="1322">
        <v>0.12</v>
      </c>
      <c r="O406" s="531" t="s">
        <v>919</v>
      </c>
      <c r="P406" s="532">
        <f t="shared" si="176"/>
        <v>12053.338724633586</v>
      </c>
      <c r="Q406" s="532">
        <f t="shared" si="175"/>
        <v>165.92912932186752</v>
      </c>
      <c r="R406" s="505"/>
      <c r="S406" s="505"/>
      <c r="T406" s="505"/>
      <c r="U406" s="505"/>
      <c r="V406" s="505"/>
      <c r="W406" s="505"/>
      <c r="X406" s="505"/>
      <c r="Y406" s="505"/>
      <c r="Z406" s="505"/>
      <c r="AA406" s="505"/>
      <c r="AB406" s="505"/>
    </row>
    <row r="407" spans="1:28" ht="15.6">
      <c r="A407" s="512">
        <f t="shared" si="174"/>
        <v>368</v>
      </c>
      <c r="B407" s="1371" t="s">
        <v>1028</v>
      </c>
      <c r="C407" s="1371"/>
      <c r="D407" s="1361">
        <v>11779</v>
      </c>
      <c r="E407" s="508"/>
      <c r="F407" s="1372" t="s">
        <v>1028</v>
      </c>
      <c r="G407" s="1373">
        <v>7265</v>
      </c>
      <c r="H407" s="514"/>
      <c r="I407" s="5"/>
      <c r="J407" s="5"/>
      <c r="O407" s="531" t="s">
        <v>921</v>
      </c>
      <c r="P407" s="532">
        <f t="shared" si="176"/>
        <v>13816.314817401271</v>
      </c>
      <c r="Q407" s="532">
        <f t="shared" si="175"/>
        <v>144.75640041735693</v>
      </c>
      <c r="R407" s="505"/>
      <c r="S407" s="505"/>
      <c r="T407" s="505"/>
      <c r="U407" s="505"/>
      <c r="V407" s="505"/>
      <c r="W407" s="505"/>
      <c r="X407" s="505"/>
      <c r="Y407" s="505"/>
      <c r="Z407" s="505"/>
      <c r="AA407" s="505"/>
      <c r="AB407" s="505"/>
    </row>
    <row r="408" spans="1:28" ht="15.6">
      <c r="A408" s="512">
        <f t="shared" si="174"/>
        <v>369</v>
      </c>
      <c r="B408" s="1371" t="s">
        <v>1029</v>
      </c>
      <c r="C408" s="1371"/>
      <c r="D408" s="1361">
        <v>23243</v>
      </c>
      <c r="E408" s="508"/>
      <c r="F408" s="1372" t="s">
        <v>1029</v>
      </c>
      <c r="G408" s="1373">
        <v>7074</v>
      </c>
      <c r="H408" s="514"/>
      <c r="I408" s="5"/>
      <c r="J408" s="5"/>
      <c r="O408" s="531" t="s">
        <v>923</v>
      </c>
      <c r="P408" s="532">
        <f t="shared" si="176"/>
        <v>8767.3826380934333</v>
      </c>
      <c r="Q408" s="532">
        <f t="shared" si="175"/>
        <v>228.11825176994017</v>
      </c>
      <c r="R408" s="505"/>
      <c r="S408" s="505"/>
      <c r="T408" s="505"/>
      <c r="U408" s="505"/>
      <c r="V408" s="505"/>
      <c r="W408" s="505"/>
      <c r="X408" s="505"/>
      <c r="Y408" s="505"/>
      <c r="Z408" s="505"/>
      <c r="AA408" s="505"/>
      <c r="AB408" s="505"/>
    </row>
    <row r="409" spans="1:28" ht="15.6">
      <c r="A409" s="512">
        <f t="shared" si="174"/>
        <v>370</v>
      </c>
      <c r="B409" s="1371" t="s">
        <v>910</v>
      </c>
      <c r="C409" s="1371"/>
      <c r="D409" s="1361">
        <v>7318</v>
      </c>
      <c r="E409" s="508"/>
      <c r="F409" s="1372" t="s">
        <v>910</v>
      </c>
      <c r="G409" s="1373">
        <v>7074</v>
      </c>
      <c r="H409" s="514"/>
      <c r="I409" s="505"/>
      <c r="J409" s="5"/>
      <c r="O409" s="531" t="s">
        <v>924</v>
      </c>
      <c r="P409" s="532">
        <f t="shared" si="176"/>
        <v>11805.646509297234</v>
      </c>
      <c r="Q409" s="532">
        <f t="shared" si="175"/>
        <v>169.41045951400895</v>
      </c>
      <c r="R409" s="505"/>
      <c r="S409" s="505"/>
      <c r="T409" s="505"/>
      <c r="U409" s="505"/>
      <c r="V409" s="505"/>
      <c r="W409" s="505"/>
      <c r="X409" s="505"/>
      <c r="Y409" s="505"/>
      <c r="Z409" s="505"/>
      <c r="AA409" s="505"/>
      <c r="AB409" s="505"/>
    </row>
    <row r="410" spans="1:28" ht="15.6">
      <c r="A410" s="512">
        <f t="shared" si="174"/>
        <v>371</v>
      </c>
      <c r="B410" s="1371" t="s">
        <v>911</v>
      </c>
      <c r="C410" s="1371"/>
      <c r="D410" s="1354">
        <v>11444.55</v>
      </c>
      <c r="E410" s="513"/>
      <c r="F410" s="1372" t="s">
        <v>911</v>
      </c>
      <c r="G410" s="1373">
        <v>7265</v>
      </c>
      <c r="H410" s="514"/>
      <c r="I410" s="505"/>
      <c r="J410" s="5"/>
      <c r="O410" s="531" t="s">
        <v>926</v>
      </c>
      <c r="P410" s="532">
        <f t="shared" si="176"/>
        <v>9793.7160516863933</v>
      </c>
      <c r="Q410" s="532">
        <f t="shared" si="175"/>
        <v>204.21257768195323</v>
      </c>
      <c r="R410" s="505"/>
      <c r="S410" s="505"/>
      <c r="T410" s="505"/>
      <c r="U410" s="505"/>
      <c r="V410" s="505"/>
      <c r="W410" s="505"/>
      <c r="X410" s="505"/>
      <c r="Y410" s="505"/>
      <c r="Z410" s="505"/>
      <c r="AA410" s="505"/>
      <c r="AB410" s="505"/>
    </row>
    <row r="411" spans="1:28" ht="15.6">
      <c r="A411" s="512">
        <f t="shared" si="174"/>
        <v>372</v>
      </c>
      <c r="B411" s="505"/>
      <c r="C411" s="505"/>
      <c r="D411" s="505"/>
      <c r="E411" s="505"/>
      <c r="F411" s="509" t="s">
        <v>1018</v>
      </c>
      <c r="G411" s="1320">
        <f>+B390</f>
        <v>7074</v>
      </c>
      <c r="H411" s="509"/>
      <c r="I411" s="505"/>
      <c r="J411" s="5"/>
      <c r="O411" s="531" t="s">
        <v>928</v>
      </c>
      <c r="P411" s="532">
        <f t="shared" si="176"/>
        <v>12894.414156081819</v>
      </c>
      <c r="Q411" s="532">
        <f t="shared" si="175"/>
        <v>155.10592228470293</v>
      </c>
      <c r="R411" s="505"/>
      <c r="S411" s="505"/>
      <c r="T411" s="505"/>
      <c r="U411" s="505"/>
      <c r="V411" s="505"/>
      <c r="W411" s="505"/>
      <c r="X411" s="505"/>
      <c r="Y411" s="505"/>
      <c r="Z411" s="505"/>
      <c r="AA411" s="505"/>
      <c r="AB411" s="505"/>
    </row>
    <row r="412" spans="1:28" ht="15.6">
      <c r="A412" s="512">
        <f t="shared" si="174"/>
        <v>373</v>
      </c>
      <c r="O412" s="531" t="s">
        <v>931</v>
      </c>
      <c r="P412" s="532">
        <f t="shared" si="176"/>
        <v>16352.403262371867</v>
      </c>
      <c r="Q412" s="532">
        <f t="shared" si="175"/>
        <v>122.30618141629085</v>
      </c>
      <c r="R412" s="505"/>
      <c r="S412" s="505"/>
      <c r="T412" s="505"/>
      <c r="U412" s="505"/>
      <c r="V412" s="505"/>
      <c r="W412" s="505"/>
      <c r="X412" s="505"/>
      <c r="Y412" s="505"/>
      <c r="Z412" s="505"/>
      <c r="AA412" s="505"/>
      <c r="AB412" s="505"/>
    </row>
    <row r="413" spans="1:28" ht="15.6">
      <c r="A413" s="512">
        <f t="shared" si="174"/>
        <v>374</v>
      </c>
      <c r="O413" s="531" t="s">
        <v>920</v>
      </c>
      <c r="P413" s="532">
        <f t="shared" si="176"/>
        <v>7451.3102570989922</v>
      </c>
      <c r="Q413" s="532">
        <f t="shared" si="175"/>
        <v>268.4091697959517</v>
      </c>
      <c r="R413" s="505"/>
      <c r="S413" s="505"/>
      <c r="T413" s="505"/>
      <c r="U413" s="505"/>
      <c r="V413" s="505"/>
      <c r="W413" s="505"/>
      <c r="X413" s="505"/>
      <c r="Y413" s="505"/>
      <c r="Z413" s="505"/>
      <c r="AA413" s="505"/>
      <c r="AB413" s="505"/>
    </row>
    <row r="414" spans="1:28" ht="15.6">
      <c r="A414" s="512">
        <f t="shared" si="174"/>
        <v>375</v>
      </c>
      <c r="O414" s="531" t="s">
        <v>922</v>
      </c>
      <c r="P414" s="533">
        <f t="shared" si="176"/>
        <v>11115.885152830571</v>
      </c>
      <c r="Q414" s="532">
        <f t="shared" si="175"/>
        <v>179.92269373984274</v>
      </c>
      <c r="R414" s="505"/>
      <c r="S414" s="505"/>
      <c r="T414" s="505"/>
      <c r="U414" s="505"/>
      <c r="V414" s="505"/>
      <c r="W414" s="505"/>
      <c r="X414" s="505"/>
      <c r="Y414" s="505"/>
      <c r="Z414" s="505"/>
      <c r="AA414" s="505"/>
      <c r="AB414" s="505"/>
    </row>
    <row r="415" spans="1:28" ht="15.6">
      <c r="A415" s="505"/>
      <c r="O415" s="505"/>
      <c r="P415" s="505"/>
      <c r="Q415" s="505"/>
      <c r="R415" s="505"/>
      <c r="S415" s="505"/>
      <c r="T415" s="505"/>
      <c r="U415" s="505"/>
      <c r="V415" s="505"/>
      <c r="W415" s="505"/>
      <c r="X415" s="505"/>
      <c r="Y415" s="505"/>
      <c r="Z415" s="505"/>
      <c r="AA415" s="505"/>
      <c r="AB415" s="505"/>
    </row>
    <row r="416" spans="1:28" ht="15.6">
      <c r="A416" s="505"/>
      <c r="O416" s="534" t="s">
        <v>1039</v>
      </c>
      <c r="P416" s="505"/>
      <c r="Q416" s="505"/>
      <c r="R416" s="505"/>
      <c r="S416" s="505"/>
      <c r="T416" s="505"/>
      <c r="U416" s="505"/>
      <c r="V416" s="505"/>
      <c r="W416" s="505"/>
      <c r="X416" s="505"/>
      <c r="Y416" s="505"/>
      <c r="Z416" s="505"/>
      <c r="AA416" s="505"/>
      <c r="AB416" s="505"/>
    </row>
    <row r="417" spans="1:28" ht="15.6">
      <c r="A417" s="505"/>
      <c r="O417" s="505"/>
      <c r="P417" s="505"/>
      <c r="Q417" s="505"/>
      <c r="R417" s="505"/>
      <c r="S417" s="505"/>
      <c r="T417" s="505"/>
      <c r="U417" s="505"/>
      <c r="V417" s="505"/>
      <c r="W417" s="505"/>
      <c r="X417" s="505"/>
      <c r="Y417" s="505"/>
      <c r="Z417" s="505"/>
      <c r="AA417" s="505"/>
      <c r="AB417" s="505"/>
    </row>
    <row r="418" spans="1:28">
      <c r="O418"/>
      <c r="P418" s="1643"/>
      <c r="Q418" s="1643"/>
      <c r="R418" s="1643"/>
      <c r="S418" s="1643"/>
      <c r="T418"/>
      <c r="U418"/>
      <c r="V418"/>
      <c r="W418"/>
      <c r="X418"/>
      <c r="Y418"/>
      <c r="Z418"/>
      <c r="AA418"/>
    </row>
  </sheetData>
  <sheetProtection algorithmName="SHA-512" hashValue="7OhYwS2em9IX7xZJG4r7OoyX6RYWIinVuKo2GR2hgXCaFCT37NvT6XevNU6O8ONbRQZEpY8i1k/tRECcZDhf2A==" saltValue="sW4/mRBHVlqU+m4QT+rLaQ==" spinCount="100000" sheet="1" objects="1" scenarios="1"/>
  <mergeCells count="2">
    <mergeCell ref="P11:Q11"/>
    <mergeCell ref="V11:W11"/>
  </mergeCells>
  <conditionalFormatting sqref="Z45:Z265">
    <cfRule type="expression" dxfId="9" priority="23" stopIfTrue="1">
      <formula>MOD(ROW(),2)=0</formula>
    </cfRule>
  </conditionalFormatting>
  <conditionalFormatting sqref="O398:Q414">
    <cfRule type="expression" dxfId="8" priority="27" stopIfTrue="1">
      <formula>MOD(ROW(),2)=0</formula>
    </cfRule>
  </conditionalFormatting>
  <conditionalFormatting sqref="Y1">
    <cfRule type="expression" dxfId="7" priority="3" stopIfTrue="1">
      <formula>MOD(ROW(),2)=0</formula>
    </cfRule>
  </conditionalFormatting>
  <conditionalFormatting sqref="Q1">
    <cfRule type="expression" dxfId="6" priority="2" stopIfTrue="1">
      <formula>MOD(ROW(),2)=0</formula>
    </cfRule>
  </conditionalFormatting>
  <hyperlinks>
    <hyperlink ref="Q1" location="HypLink1" display="HypLink1" xr:uid="{9E2FC4C3-8621-475D-8FFA-7FBF029BDE36}"/>
  </hyperlinks>
  <pageMargins left="0.25" right="0.25" top="0.5" bottom="0.45" header="0.25" footer="0.25"/>
  <pageSetup scale="89" orientation="landscape" r:id="rId1"/>
  <headerFooter>
    <oddHeader xml:space="preserve">&amp;L &amp;C &amp;R </oddHeader>
    <oddFooter>&amp;L&amp;7&amp;D  at &amp;T Mike 702.486.8879&amp;C&amp;7&amp;F  &amp;A&amp;R&amp;7Page &amp;P of &amp;N</oddFooter>
  </headerFooter>
  <rowBreaks count="4" manualBreakCount="4">
    <brk id="40" max="13" man="1"/>
    <brk id="85" max="13" man="1"/>
    <brk id="265" max="13" man="1"/>
    <brk id="392" max="13"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9E08-0573-4CC0-9E20-DE8D0F994E8E}">
  <sheetPr codeName="Sheet17">
    <tabColor theme="0" tint="-0.249977111117893"/>
  </sheetPr>
  <dimension ref="A1:N43"/>
  <sheetViews>
    <sheetView workbookViewId="0"/>
  </sheetViews>
  <sheetFormatPr defaultColWidth="9.21875" defaultRowHeight="13.2"/>
  <cols>
    <col min="1" max="1" width="30" style="289" customWidth="1"/>
    <col min="2" max="2" width="30.77734375" style="289" customWidth="1"/>
    <col min="3" max="4" width="9" style="289" customWidth="1"/>
    <col min="5" max="5" width="7.44140625" style="2084" customWidth="1"/>
    <col min="6" max="6" width="7" style="2084" customWidth="1"/>
    <col min="7" max="7" width="12" style="2084" customWidth="1"/>
    <col min="8" max="8" width="8.21875" style="2084" customWidth="1"/>
    <col min="9" max="9" width="12.5546875" style="2084" customWidth="1"/>
    <col min="10" max="10" width="8.5546875" style="2084" customWidth="1"/>
    <col min="11" max="11" width="12.77734375" style="2084" customWidth="1"/>
    <col min="12" max="12" width="11.44140625" style="2084" customWidth="1"/>
    <col min="13" max="13" width="10.5546875" style="2084" customWidth="1"/>
    <col min="14" max="14" width="2.77734375" style="289" customWidth="1"/>
    <col min="15" max="16384" width="9.21875" style="289"/>
  </cols>
  <sheetData>
    <row r="1" spans="1:14" ht="15.6">
      <c r="A1" s="292" t="s">
        <v>1040</v>
      </c>
      <c r="B1" s="292"/>
      <c r="D1" s="558" t="s">
        <v>2</v>
      </c>
      <c r="H1" s="2085" t="s">
        <v>701</v>
      </c>
      <c r="I1" s="2085" t="s">
        <v>702</v>
      </c>
      <c r="J1" s="2085" t="s">
        <v>703</v>
      </c>
      <c r="K1" s="2085" t="s">
        <v>704</v>
      </c>
      <c r="L1" s="2085" t="s">
        <v>705</v>
      </c>
      <c r="M1" s="2086" t="s">
        <v>706</v>
      </c>
    </row>
    <row r="2" spans="1:14" ht="15.6">
      <c r="A2" s="293" t="str">
        <f>SchoolName</f>
        <v>Southern Nevada Trades High School</v>
      </c>
      <c r="B2" s="293"/>
      <c r="H2" s="2087">
        <f>+' Enrol &amp; Rev'!G10</f>
        <v>2023</v>
      </c>
      <c r="I2" s="2088">
        <f>+H3</f>
        <v>2024</v>
      </c>
      <c r="J2" s="2088">
        <f>+I3</f>
        <v>2025</v>
      </c>
      <c r="K2" s="2088">
        <f>+J3</f>
        <v>2026</v>
      </c>
      <c r="L2" s="2088">
        <f>+K3</f>
        <v>2027</v>
      </c>
      <c r="M2" s="2089">
        <f>+L3</f>
        <v>2028</v>
      </c>
    </row>
    <row r="3" spans="1:14" ht="15.6">
      <c r="A3" s="290" t="s">
        <v>72</v>
      </c>
      <c r="H3" s="2090">
        <f t="shared" ref="H3:M3" si="0">+H2+1</f>
        <v>2024</v>
      </c>
      <c r="I3" s="2091">
        <f t="shared" si="0"/>
        <v>2025</v>
      </c>
      <c r="J3" s="2091">
        <f t="shared" si="0"/>
        <v>2026</v>
      </c>
      <c r="K3" s="2091">
        <f t="shared" si="0"/>
        <v>2027</v>
      </c>
      <c r="L3" s="2091">
        <f t="shared" si="0"/>
        <v>2028</v>
      </c>
      <c r="M3" s="2092">
        <f t="shared" si="0"/>
        <v>2029</v>
      </c>
    </row>
    <row r="4" spans="1:14" ht="13.8">
      <c r="A4" s="291" t="s">
        <v>73</v>
      </c>
      <c r="F4" s="2084" t="s">
        <v>1041</v>
      </c>
      <c r="H4" s="2093">
        <f>+' Enrol &amp; Rev'!G35</f>
        <v>200</v>
      </c>
      <c r="I4" s="2093">
        <f>+' Enrol &amp; Rev'!H35</f>
        <v>300</v>
      </c>
      <c r="J4" s="2093">
        <f>+' Enrol &amp; Rev'!I35</f>
        <v>400</v>
      </c>
      <c r="K4" s="2093">
        <f>+' Enrol &amp; Rev'!J35</f>
        <v>450</v>
      </c>
      <c r="L4" s="2093">
        <f>+' Enrol &amp; Rev'!K35</f>
        <v>500</v>
      </c>
      <c r="M4" s="2093">
        <f>+' Enrol &amp; Rev'!L35</f>
        <v>550</v>
      </c>
    </row>
    <row r="5" spans="1:14" ht="13.8">
      <c r="A5" s="311" t="str">
        <f ca="1">CELL("filename")</f>
        <v>C:\Users\jewel\Documents\SNTHS\CHARTER APP FINAL\FINAL COMPILED\[SNTHS Budget Worksheet.xlsx]Summary</v>
      </c>
      <c r="F5" s="2084" t="s">
        <v>1042</v>
      </c>
      <c r="H5" s="2094">
        <f>+' Enrol &amp; Rev'!G18</f>
        <v>6.8965517241379306</v>
      </c>
      <c r="I5" s="2094">
        <f>+' Enrol &amp; Rev'!H18</f>
        <v>14.285714285714286</v>
      </c>
      <c r="J5" s="2094">
        <f>+' Enrol &amp; Rev'!I18</f>
        <v>21.05263157894737</v>
      </c>
      <c r="K5" s="2094">
        <f>+' Enrol &amp; Rev'!J18</f>
        <v>25</v>
      </c>
      <c r="L5" s="2094">
        <f>+' Enrol &amp; Rev'!K18</f>
        <v>29.411764705882351</v>
      </c>
      <c r="M5" s="2094">
        <f>+' Enrol &amp; Rev'!L18</f>
        <v>28.94736842105263</v>
      </c>
    </row>
    <row r="6" spans="1:14" ht="13.8">
      <c r="F6" s="2084" t="s">
        <v>1043</v>
      </c>
      <c r="H6" s="2094">
        <f>IFERROR(H4/H5,0)</f>
        <v>29.000000000000004</v>
      </c>
      <c r="I6" s="2094">
        <f t="shared" ref="I6:M6" si="1">IFERROR(I4/I5,0)</f>
        <v>21</v>
      </c>
      <c r="J6" s="2094">
        <f t="shared" si="1"/>
        <v>19</v>
      </c>
      <c r="K6" s="2094">
        <f t="shared" si="1"/>
        <v>18</v>
      </c>
      <c r="L6" s="2094">
        <f t="shared" si="1"/>
        <v>17</v>
      </c>
      <c r="M6" s="2094">
        <f t="shared" si="1"/>
        <v>19</v>
      </c>
    </row>
    <row r="7" spans="1:14" ht="17.25" customHeight="1">
      <c r="A7" s="1024" t="s">
        <v>1044</v>
      </c>
      <c r="B7" s="1025"/>
      <c r="C7" s="1025"/>
      <c r="D7" s="1025"/>
      <c r="E7" s="2095"/>
      <c r="F7" s="2095"/>
      <c r="G7" s="2095"/>
      <c r="H7" s="2095"/>
      <c r="I7" s="2095"/>
      <c r="J7" s="2095"/>
      <c r="K7" s="2095"/>
      <c r="L7" s="2095"/>
      <c r="M7" s="2095"/>
      <c r="N7" s="310"/>
    </row>
    <row r="8" spans="1:14" ht="19.5" customHeight="1">
      <c r="A8" s="305" t="s">
        <v>1045</v>
      </c>
      <c r="B8" s="307" t="s">
        <v>1046</v>
      </c>
      <c r="C8" s="308" t="s">
        <v>1047</v>
      </c>
      <c r="D8" s="308" t="s">
        <v>1048</v>
      </c>
      <c r="E8" s="2096" t="s">
        <v>1049</v>
      </c>
      <c r="F8" s="2211" t="s">
        <v>1050</v>
      </c>
      <c r="G8" s="2212"/>
      <c r="H8" s="2211" t="s">
        <v>1051</v>
      </c>
      <c r="I8" s="2212"/>
      <c r="J8" s="2211" t="s">
        <v>1052</v>
      </c>
      <c r="K8" s="2212"/>
      <c r="L8" s="2211" t="s">
        <v>1053</v>
      </c>
      <c r="M8" s="2212"/>
    </row>
    <row r="9" spans="1:14" ht="13.8">
      <c r="A9" s="319" t="s">
        <v>405</v>
      </c>
      <c r="B9" s="322" t="s">
        <v>1054</v>
      </c>
      <c r="C9" s="306"/>
      <c r="D9" s="306"/>
      <c r="E9" s="2097"/>
      <c r="F9" s="371">
        <v>500</v>
      </c>
      <c r="G9" s="2098"/>
      <c r="H9" s="371">
        <v>400</v>
      </c>
      <c r="I9" s="2099"/>
      <c r="J9" s="371">
        <f>+H4</f>
        <v>200</v>
      </c>
      <c r="K9" s="2099"/>
      <c r="L9" s="371">
        <f>+K4</f>
        <v>450</v>
      </c>
      <c r="M9" s="2099"/>
    </row>
    <row r="10" spans="1:14" ht="13.8">
      <c r="A10" s="320" t="s">
        <v>1055</v>
      </c>
      <c r="B10" s="323" t="s">
        <v>1056</v>
      </c>
      <c r="C10" s="298"/>
      <c r="D10" s="298"/>
      <c r="E10" s="2100"/>
      <c r="F10" s="2101"/>
      <c r="G10" s="2102"/>
      <c r="H10" s="2103"/>
      <c r="I10" s="2104"/>
      <c r="J10" s="2103"/>
      <c r="K10" s="2104"/>
      <c r="L10" s="2103"/>
      <c r="M10" s="2099"/>
    </row>
    <row r="11" spans="1:14" ht="13.8">
      <c r="A11" s="320" t="s">
        <v>1057</v>
      </c>
      <c r="B11" s="323" t="s">
        <v>1058</v>
      </c>
      <c r="C11" s="298"/>
      <c r="D11" s="298"/>
      <c r="E11" s="2100"/>
      <c r="F11" s="371">
        <v>25</v>
      </c>
      <c r="G11" s="2102"/>
      <c r="H11" s="380">
        <v>25</v>
      </c>
      <c r="I11" s="2104"/>
      <c r="J11" s="385">
        <v>25</v>
      </c>
      <c r="K11" s="2104"/>
      <c r="L11" s="385">
        <f>+K6</f>
        <v>18</v>
      </c>
      <c r="M11" s="2099"/>
    </row>
    <row r="12" spans="1:14" ht="13.8">
      <c r="A12" s="320" t="s">
        <v>1059</v>
      </c>
      <c r="B12" s="323" t="s">
        <v>1060</v>
      </c>
      <c r="C12" s="309">
        <v>55</v>
      </c>
      <c r="D12" s="309">
        <v>100</v>
      </c>
      <c r="E12" s="373">
        <f>AVERAGE(C12:D12)</f>
        <v>77.5</v>
      </c>
      <c r="F12" s="372">
        <v>600</v>
      </c>
      <c r="G12" s="2105">
        <f>+F12*$E$12</f>
        <v>46500</v>
      </c>
      <c r="H12" s="381">
        <v>800</v>
      </c>
      <c r="I12" s="2105">
        <f>+H12*$E$12</f>
        <v>62000</v>
      </c>
      <c r="J12" s="381">
        <v>45000</v>
      </c>
      <c r="K12" s="2105">
        <f>+J12*$E$12</f>
        <v>3487500</v>
      </c>
      <c r="L12" s="381">
        <v>700</v>
      </c>
      <c r="M12" s="2105">
        <f>+L12*$E$12</f>
        <v>54250</v>
      </c>
    </row>
    <row r="13" spans="1:14" ht="13.8">
      <c r="A13" s="320"/>
      <c r="B13" s="323"/>
      <c r="C13" s="298"/>
      <c r="D13" s="298"/>
      <c r="E13" s="2106"/>
      <c r="F13" s="2107"/>
      <c r="G13" s="2098"/>
      <c r="H13" s="2107"/>
      <c r="I13" s="2099"/>
      <c r="J13" s="2107"/>
      <c r="K13" s="2099"/>
      <c r="L13" s="2107"/>
      <c r="M13" s="2099"/>
    </row>
    <row r="14" spans="1:14" ht="13.8">
      <c r="A14" s="319" t="s">
        <v>1061</v>
      </c>
      <c r="B14" s="323"/>
      <c r="C14" s="298"/>
      <c r="D14" s="298"/>
      <c r="E14" s="2106"/>
      <c r="F14" s="2101"/>
      <c r="G14" s="2098"/>
      <c r="H14" s="2101"/>
      <c r="I14" s="2099"/>
      <c r="J14" s="2101"/>
      <c r="K14" s="2099"/>
      <c r="L14" s="2101"/>
      <c r="M14" s="2099"/>
    </row>
    <row r="15" spans="1:14" ht="24" customHeight="1">
      <c r="A15" s="320" t="s">
        <v>1062</v>
      </c>
      <c r="B15" s="323" t="s">
        <v>1063</v>
      </c>
      <c r="C15" s="299">
        <v>750</v>
      </c>
      <c r="D15" s="299">
        <v>1000</v>
      </c>
      <c r="E15" s="374">
        <v>850</v>
      </c>
      <c r="F15" s="2101">
        <f>+F9/F11</f>
        <v>20</v>
      </c>
      <c r="G15" s="2108">
        <f>+F15*$E15</f>
        <v>17000</v>
      </c>
      <c r="H15" s="2101">
        <f>+H9/H11</f>
        <v>16</v>
      </c>
      <c r="I15" s="2108">
        <f>+H15*$E15</f>
        <v>13600</v>
      </c>
      <c r="J15" s="2109">
        <f>IFERROR(J9/J11,0)</f>
        <v>8</v>
      </c>
      <c r="K15" s="2108">
        <f>+J15*$E15</f>
        <v>6800</v>
      </c>
      <c r="L15" s="2109">
        <f>IFERROR(L9/L11,0)</f>
        <v>25</v>
      </c>
      <c r="M15" s="2108">
        <f>+L15*$E15</f>
        <v>21250</v>
      </c>
    </row>
    <row r="16" spans="1:14" ht="13.8">
      <c r="A16" s="320" t="s">
        <v>1064</v>
      </c>
      <c r="B16" s="323" t="s">
        <v>1065</v>
      </c>
      <c r="C16" s="299">
        <v>850</v>
      </c>
      <c r="D16" s="299">
        <v>1200</v>
      </c>
      <c r="E16" s="374">
        <v>1000</v>
      </c>
      <c r="F16" s="375">
        <v>2</v>
      </c>
      <c r="G16" s="2110">
        <f t="shared" ref="G16:G28" si="2">+$E16*F16</f>
        <v>2000</v>
      </c>
      <c r="H16" s="371">
        <v>2</v>
      </c>
      <c r="I16" s="2110">
        <f t="shared" ref="I16:I28" si="3">+$E16*H16</f>
        <v>2000</v>
      </c>
      <c r="J16" s="383">
        <v>2</v>
      </c>
      <c r="K16" s="2110">
        <f t="shared" ref="K16:K28" si="4">+$E16*J16</f>
        <v>2000</v>
      </c>
      <c r="L16" s="383">
        <v>2</v>
      </c>
      <c r="M16" s="2110">
        <f t="shared" ref="M16:M28" si="5">+$E16*L16</f>
        <v>2000</v>
      </c>
    </row>
    <row r="17" spans="1:13" ht="13.8">
      <c r="A17" s="320" t="s">
        <v>1066</v>
      </c>
      <c r="B17" s="323" t="s">
        <v>1067</v>
      </c>
      <c r="C17" s="299">
        <v>850</v>
      </c>
      <c r="D17" s="299">
        <v>1200</v>
      </c>
      <c r="E17" s="374">
        <v>1000</v>
      </c>
      <c r="F17" s="376">
        <v>1</v>
      </c>
      <c r="G17" s="2110">
        <f t="shared" si="2"/>
        <v>1000</v>
      </c>
      <c r="H17" s="371">
        <v>1</v>
      </c>
      <c r="I17" s="2110">
        <f t="shared" si="3"/>
        <v>1000</v>
      </c>
      <c r="J17" s="383">
        <v>1</v>
      </c>
      <c r="K17" s="2110">
        <f t="shared" si="4"/>
        <v>1000</v>
      </c>
      <c r="L17" s="383">
        <v>1</v>
      </c>
      <c r="M17" s="2110">
        <f t="shared" si="5"/>
        <v>1000</v>
      </c>
    </row>
    <row r="18" spans="1:13" ht="31.5" customHeight="1">
      <c r="A18" s="320" t="s">
        <v>1068</v>
      </c>
      <c r="B18" s="323" t="s">
        <v>1069</v>
      </c>
      <c r="C18" s="299"/>
      <c r="D18" s="299"/>
      <c r="E18" s="374">
        <v>400</v>
      </c>
      <c r="F18" s="376">
        <v>2</v>
      </c>
      <c r="G18" s="2110">
        <f t="shared" si="2"/>
        <v>800</v>
      </c>
      <c r="H18" s="371">
        <v>2</v>
      </c>
      <c r="I18" s="2110">
        <f t="shared" si="3"/>
        <v>800</v>
      </c>
      <c r="J18" s="383">
        <v>2</v>
      </c>
      <c r="K18" s="2110">
        <f t="shared" si="4"/>
        <v>800</v>
      </c>
      <c r="L18" s="383">
        <v>2</v>
      </c>
      <c r="M18" s="2110">
        <f t="shared" si="5"/>
        <v>800</v>
      </c>
    </row>
    <row r="19" spans="1:13" ht="27.75" customHeight="1">
      <c r="A19" s="320" t="s">
        <v>1070</v>
      </c>
      <c r="B19" s="323" t="s">
        <v>1071</v>
      </c>
      <c r="C19" s="299"/>
      <c r="D19" s="299"/>
      <c r="E19" s="374">
        <v>100</v>
      </c>
      <c r="F19" s="376">
        <v>4</v>
      </c>
      <c r="G19" s="2110">
        <f t="shared" si="2"/>
        <v>400</v>
      </c>
      <c r="H19" s="371">
        <v>4</v>
      </c>
      <c r="I19" s="2110">
        <f t="shared" si="3"/>
        <v>400</v>
      </c>
      <c r="J19" s="383">
        <v>4</v>
      </c>
      <c r="K19" s="2110">
        <f t="shared" si="4"/>
        <v>400</v>
      </c>
      <c r="L19" s="383">
        <v>4</v>
      </c>
      <c r="M19" s="2110">
        <f t="shared" si="5"/>
        <v>400</v>
      </c>
    </row>
    <row r="20" spans="1:13" ht="13.8">
      <c r="A20" s="320" t="s">
        <v>1072</v>
      </c>
      <c r="B20" s="323" t="s">
        <v>1073</v>
      </c>
      <c r="C20" s="299"/>
      <c r="D20" s="299"/>
      <c r="E20" s="374">
        <v>400</v>
      </c>
      <c r="F20" s="376">
        <v>1</v>
      </c>
      <c r="G20" s="2110">
        <f t="shared" si="2"/>
        <v>400</v>
      </c>
      <c r="H20" s="371">
        <v>1</v>
      </c>
      <c r="I20" s="2110">
        <f t="shared" si="3"/>
        <v>400</v>
      </c>
      <c r="J20" s="383">
        <v>0.25</v>
      </c>
      <c r="K20" s="2110">
        <f t="shared" si="4"/>
        <v>100</v>
      </c>
      <c r="L20" s="383">
        <v>1</v>
      </c>
      <c r="M20" s="2110">
        <f t="shared" si="5"/>
        <v>400</v>
      </c>
    </row>
    <row r="21" spans="1:13" ht="13.8">
      <c r="A21" s="320" t="s">
        <v>1074</v>
      </c>
      <c r="B21" s="323" t="s">
        <v>1075</v>
      </c>
      <c r="C21" s="299">
        <v>70</v>
      </c>
      <c r="D21" s="299">
        <v>100</v>
      </c>
      <c r="E21" s="374">
        <v>100</v>
      </c>
      <c r="F21" s="376">
        <v>4</v>
      </c>
      <c r="G21" s="2110">
        <f t="shared" si="2"/>
        <v>400</v>
      </c>
      <c r="H21" s="371">
        <v>4</v>
      </c>
      <c r="I21" s="2110">
        <f t="shared" si="3"/>
        <v>400</v>
      </c>
      <c r="J21" s="383">
        <v>2</v>
      </c>
      <c r="K21" s="2110">
        <f t="shared" si="4"/>
        <v>200</v>
      </c>
      <c r="L21" s="383">
        <v>4</v>
      </c>
      <c r="M21" s="2110">
        <f t="shared" si="5"/>
        <v>400</v>
      </c>
    </row>
    <row r="22" spans="1:13" ht="13.8">
      <c r="A22" s="320" t="s">
        <v>1076</v>
      </c>
      <c r="B22" s="323" t="s">
        <v>1077</v>
      </c>
      <c r="C22" s="299"/>
      <c r="D22" s="299"/>
      <c r="E22" s="374">
        <v>400</v>
      </c>
      <c r="F22" s="376">
        <v>1</v>
      </c>
      <c r="G22" s="2110">
        <f t="shared" si="2"/>
        <v>400</v>
      </c>
      <c r="H22" s="371">
        <v>1</v>
      </c>
      <c r="I22" s="2110">
        <f t="shared" si="3"/>
        <v>400</v>
      </c>
      <c r="J22" s="383">
        <v>1</v>
      </c>
      <c r="K22" s="2110">
        <f t="shared" si="4"/>
        <v>400</v>
      </c>
      <c r="L22" s="383">
        <v>1</v>
      </c>
      <c r="M22" s="2110">
        <f t="shared" si="5"/>
        <v>400</v>
      </c>
    </row>
    <row r="23" spans="1:13" ht="13.8">
      <c r="A23" s="320" t="s">
        <v>1078</v>
      </c>
      <c r="B23" s="323" t="s">
        <v>1079</v>
      </c>
      <c r="C23" s="299"/>
      <c r="D23" s="299"/>
      <c r="E23" s="374">
        <v>600</v>
      </c>
      <c r="F23" s="376">
        <v>1</v>
      </c>
      <c r="G23" s="2110">
        <f t="shared" si="2"/>
        <v>600</v>
      </c>
      <c r="H23" s="371">
        <v>1</v>
      </c>
      <c r="I23" s="2110">
        <f t="shared" si="3"/>
        <v>600</v>
      </c>
      <c r="J23" s="383">
        <v>0</v>
      </c>
      <c r="K23" s="2110">
        <f t="shared" si="4"/>
        <v>0</v>
      </c>
      <c r="L23" s="383">
        <v>1</v>
      </c>
      <c r="M23" s="2110">
        <f t="shared" si="5"/>
        <v>600</v>
      </c>
    </row>
    <row r="24" spans="1:13" ht="13.8">
      <c r="A24" s="320" t="s">
        <v>1080</v>
      </c>
      <c r="B24" s="323" t="s">
        <v>1081</v>
      </c>
      <c r="C24" s="299"/>
      <c r="D24" s="299"/>
      <c r="E24" s="374">
        <v>1500</v>
      </c>
      <c r="F24" s="376">
        <v>1</v>
      </c>
      <c r="G24" s="2110">
        <f t="shared" si="2"/>
        <v>1500</v>
      </c>
      <c r="H24" s="371">
        <v>1</v>
      </c>
      <c r="I24" s="2110">
        <f t="shared" si="3"/>
        <v>1500</v>
      </c>
      <c r="J24" s="383">
        <v>1</v>
      </c>
      <c r="K24" s="2110">
        <f t="shared" si="4"/>
        <v>1500</v>
      </c>
      <c r="L24" s="383">
        <v>1</v>
      </c>
      <c r="M24" s="2110">
        <f t="shared" si="5"/>
        <v>1500</v>
      </c>
    </row>
    <row r="25" spans="1:13" ht="13.8">
      <c r="A25" s="320" t="s">
        <v>1082</v>
      </c>
      <c r="B25" s="323" t="s">
        <v>1083</v>
      </c>
      <c r="C25" s="299"/>
      <c r="D25" s="299"/>
      <c r="E25" s="374">
        <v>200</v>
      </c>
      <c r="F25" s="376">
        <v>1</v>
      </c>
      <c r="G25" s="2110">
        <f t="shared" si="2"/>
        <v>200</v>
      </c>
      <c r="H25" s="371">
        <v>1</v>
      </c>
      <c r="I25" s="2110">
        <f t="shared" si="3"/>
        <v>200</v>
      </c>
      <c r="J25" s="383">
        <v>0.5</v>
      </c>
      <c r="K25" s="2110">
        <f t="shared" si="4"/>
        <v>100</v>
      </c>
      <c r="L25" s="383">
        <v>1</v>
      </c>
      <c r="M25" s="2110">
        <f t="shared" si="5"/>
        <v>200</v>
      </c>
    </row>
    <row r="26" spans="1:13" ht="13.8">
      <c r="A26" s="320" t="s">
        <v>1084</v>
      </c>
      <c r="B26" s="323" t="s">
        <v>1085</v>
      </c>
      <c r="C26" s="299"/>
      <c r="D26" s="299"/>
      <c r="E26" s="374">
        <v>400</v>
      </c>
      <c r="F26" s="376">
        <v>2</v>
      </c>
      <c r="G26" s="2110">
        <f t="shared" si="2"/>
        <v>800</v>
      </c>
      <c r="H26" s="371">
        <v>2</v>
      </c>
      <c r="I26" s="2110">
        <f t="shared" si="3"/>
        <v>800</v>
      </c>
      <c r="J26" s="383">
        <v>2</v>
      </c>
      <c r="K26" s="2110">
        <f t="shared" si="4"/>
        <v>800</v>
      </c>
      <c r="L26" s="383">
        <v>2</v>
      </c>
      <c r="M26" s="2110">
        <f t="shared" si="5"/>
        <v>800</v>
      </c>
    </row>
    <row r="27" spans="1:13" ht="13.8">
      <c r="A27" s="320" t="s">
        <v>1086</v>
      </c>
      <c r="B27" s="323" t="s">
        <v>1087</v>
      </c>
      <c r="C27" s="299"/>
      <c r="D27" s="299"/>
      <c r="E27" s="374">
        <v>100</v>
      </c>
      <c r="F27" s="376">
        <v>3</v>
      </c>
      <c r="G27" s="2110">
        <f t="shared" si="2"/>
        <v>300</v>
      </c>
      <c r="H27" s="371">
        <v>3</v>
      </c>
      <c r="I27" s="2110">
        <f t="shared" si="3"/>
        <v>300</v>
      </c>
      <c r="J27" s="383">
        <v>3</v>
      </c>
      <c r="K27" s="2110">
        <f t="shared" si="4"/>
        <v>300</v>
      </c>
      <c r="L27" s="383">
        <v>3</v>
      </c>
      <c r="M27" s="2110">
        <f t="shared" si="5"/>
        <v>300</v>
      </c>
    </row>
    <row r="28" spans="1:13" ht="27.6">
      <c r="A28" s="320" t="s">
        <v>1088</v>
      </c>
      <c r="B28" s="323" t="s">
        <v>1089</v>
      </c>
      <c r="C28" s="299"/>
      <c r="D28" s="299"/>
      <c r="E28" s="374">
        <v>4000</v>
      </c>
      <c r="F28" s="376">
        <v>1</v>
      </c>
      <c r="G28" s="2110">
        <f t="shared" si="2"/>
        <v>4000</v>
      </c>
      <c r="H28" s="371">
        <v>0</v>
      </c>
      <c r="I28" s="2110">
        <f t="shared" si="3"/>
        <v>0</v>
      </c>
      <c r="J28" s="383">
        <v>0</v>
      </c>
      <c r="K28" s="2110">
        <f t="shared" si="4"/>
        <v>0</v>
      </c>
      <c r="L28" s="383">
        <v>0</v>
      </c>
      <c r="M28" s="2110">
        <f t="shared" si="5"/>
        <v>0</v>
      </c>
    </row>
    <row r="29" spans="1:13" ht="27.6">
      <c r="A29" s="320" t="s">
        <v>1090</v>
      </c>
      <c r="B29" s="323" t="s">
        <v>1091</v>
      </c>
      <c r="C29" s="299">
        <v>7</v>
      </c>
      <c r="D29" s="299">
        <v>10</v>
      </c>
      <c r="E29" s="2111" t="s">
        <v>1092</v>
      </c>
      <c r="F29" s="377">
        <v>0</v>
      </c>
      <c r="G29" s="2110">
        <f>+F29*F9</f>
        <v>0</v>
      </c>
      <c r="H29" s="377">
        <v>7</v>
      </c>
      <c r="I29" s="2110">
        <f>+H29*H9</f>
        <v>2800</v>
      </c>
      <c r="J29" s="377">
        <v>7</v>
      </c>
      <c r="K29" s="2110">
        <f>+J29*J9</f>
        <v>1400</v>
      </c>
      <c r="L29" s="377">
        <v>7</v>
      </c>
      <c r="M29" s="2110">
        <f>+L29*L9</f>
        <v>3150</v>
      </c>
    </row>
    <row r="30" spans="1:13" ht="13.8">
      <c r="A30" s="320" t="s">
        <v>1093</v>
      </c>
      <c r="B30" s="323" t="s">
        <v>1094</v>
      </c>
      <c r="C30" s="299"/>
      <c r="D30" s="299"/>
      <c r="E30" s="374">
        <v>1000</v>
      </c>
      <c r="F30" s="376">
        <v>1</v>
      </c>
      <c r="G30" s="2110">
        <f>+$E30*F30</f>
        <v>1000</v>
      </c>
      <c r="H30" s="371">
        <v>1</v>
      </c>
      <c r="I30" s="2110">
        <f>+$E30*H30</f>
        <v>1000</v>
      </c>
      <c r="J30" s="383">
        <v>1</v>
      </c>
      <c r="K30" s="2110">
        <f>+$E30*J30</f>
        <v>1000</v>
      </c>
      <c r="L30" s="383">
        <v>1</v>
      </c>
      <c r="M30" s="2110">
        <f>+$E30*L30</f>
        <v>1000</v>
      </c>
    </row>
    <row r="31" spans="1:13" ht="13.8">
      <c r="A31" s="320" t="s">
        <v>1095</v>
      </c>
      <c r="B31" s="323" t="s">
        <v>1096</v>
      </c>
      <c r="C31" s="299"/>
      <c r="D31" s="299"/>
      <c r="E31" s="374">
        <v>300</v>
      </c>
      <c r="F31" s="376">
        <v>2</v>
      </c>
      <c r="G31" s="2110">
        <f>+$E31*F31</f>
        <v>600</v>
      </c>
      <c r="H31" s="371">
        <v>2</v>
      </c>
      <c r="I31" s="2110">
        <f>+$E31*H31</f>
        <v>600</v>
      </c>
      <c r="J31" s="383">
        <v>1</v>
      </c>
      <c r="K31" s="2110">
        <f>+$E31*J31</f>
        <v>300</v>
      </c>
      <c r="L31" s="383">
        <v>2</v>
      </c>
      <c r="M31" s="2110">
        <f>+$E31*L31</f>
        <v>600</v>
      </c>
    </row>
    <row r="32" spans="1:13" ht="13.8">
      <c r="A32" s="320" t="s">
        <v>1097</v>
      </c>
      <c r="B32" s="323" t="s">
        <v>1098</v>
      </c>
      <c r="C32" s="299"/>
      <c r="D32" s="299"/>
      <c r="E32" s="374">
        <v>150</v>
      </c>
      <c r="F32" s="376">
        <v>1</v>
      </c>
      <c r="G32" s="2110">
        <f>+$E32*F32</f>
        <v>150</v>
      </c>
      <c r="H32" s="371">
        <v>1</v>
      </c>
      <c r="I32" s="2110">
        <f>+$E32*H32</f>
        <v>150</v>
      </c>
      <c r="J32" s="383">
        <v>0.2</v>
      </c>
      <c r="K32" s="2110">
        <f>+$E32*J32</f>
        <v>30</v>
      </c>
      <c r="L32" s="383">
        <v>1</v>
      </c>
      <c r="M32" s="2110">
        <f>+$E32*L32</f>
        <v>150</v>
      </c>
    </row>
    <row r="33" spans="1:13" ht="13.8">
      <c r="A33" s="320" t="s">
        <v>1099</v>
      </c>
      <c r="B33" s="323" t="s">
        <v>1100</v>
      </c>
      <c r="C33" s="299"/>
      <c r="D33" s="299"/>
      <c r="E33" s="374">
        <v>250</v>
      </c>
      <c r="F33" s="376">
        <v>1</v>
      </c>
      <c r="G33" s="2110">
        <f>+$E33*F33</f>
        <v>250</v>
      </c>
      <c r="H33" s="371">
        <v>1</v>
      </c>
      <c r="I33" s="2110">
        <f>+$E33*H33</f>
        <v>250</v>
      </c>
      <c r="J33" s="383">
        <v>0.2</v>
      </c>
      <c r="K33" s="2110">
        <f>+$E33*J33</f>
        <v>50</v>
      </c>
      <c r="L33" s="383">
        <v>1</v>
      </c>
      <c r="M33" s="2110">
        <f>+$E33*L33</f>
        <v>250</v>
      </c>
    </row>
    <row r="34" spans="1:13" ht="27.6">
      <c r="A34" s="321" t="s">
        <v>1101</v>
      </c>
      <c r="B34" s="324" t="s">
        <v>1102</v>
      </c>
      <c r="C34" s="300"/>
      <c r="D34" s="300"/>
      <c r="E34" s="379">
        <v>200</v>
      </c>
      <c r="F34" s="378">
        <v>1</v>
      </c>
      <c r="G34" s="2112">
        <f>+$E34*F34</f>
        <v>200</v>
      </c>
      <c r="H34" s="382">
        <v>1</v>
      </c>
      <c r="I34" s="2112">
        <f>+$E34*H34</f>
        <v>200</v>
      </c>
      <c r="J34" s="384">
        <v>0.5</v>
      </c>
      <c r="K34" s="2112">
        <f>+$E34*J34</f>
        <v>100</v>
      </c>
      <c r="L34" s="384">
        <v>1</v>
      </c>
      <c r="M34" s="2112">
        <f>+$E34*L34</f>
        <v>200</v>
      </c>
    </row>
    <row r="35" spans="1:13" ht="13.8">
      <c r="A35" s="294" t="s">
        <v>1103</v>
      </c>
      <c r="B35" s="325"/>
      <c r="C35" s="297"/>
      <c r="D35" s="297"/>
      <c r="E35" s="2113"/>
      <c r="F35" s="2114"/>
      <c r="G35" s="2115">
        <f>SUM(G15:G34)</f>
        <v>32000</v>
      </c>
      <c r="H35" s="2116"/>
      <c r="I35" s="2115">
        <f>SUM(I15:I34)</f>
        <v>27400</v>
      </c>
      <c r="J35" s="2116"/>
      <c r="K35" s="2115">
        <f>SUM(K15:K34)</f>
        <v>17280</v>
      </c>
      <c r="L35" s="2116"/>
      <c r="M35" s="2115">
        <f>SUM(M15:M34)</f>
        <v>35400</v>
      </c>
    </row>
    <row r="36" spans="1:13" ht="13.8">
      <c r="A36" s="295" t="s">
        <v>1104</v>
      </c>
      <c r="B36" s="327" t="s">
        <v>1105</v>
      </c>
      <c r="C36" s="328"/>
      <c r="D36" s="328"/>
      <c r="E36" s="386">
        <v>0.15</v>
      </c>
      <c r="F36" s="2117"/>
      <c r="G36" s="2118">
        <f>+G35*$E36</f>
        <v>4800</v>
      </c>
      <c r="H36" s="2119"/>
      <c r="I36" s="2118">
        <f>+I35*$E36</f>
        <v>4110</v>
      </c>
      <c r="J36" s="2119"/>
      <c r="K36" s="2118">
        <f>+K35*$E36</f>
        <v>2592</v>
      </c>
      <c r="L36" s="2119"/>
      <c r="M36" s="2118">
        <f>+M35*$E36</f>
        <v>5310</v>
      </c>
    </row>
    <row r="37" spans="1:13" ht="13.8">
      <c r="A37" s="301" t="s">
        <v>1106</v>
      </c>
      <c r="B37" s="302" t="s">
        <v>1107</v>
      </c>
      <c r="C37" s="296"/>
      <c r="D37" s="296"/>
      <c r="E37" s="2120"/>
      <c r="F37" s="2120"/>
      <c r="G37" s="2121">
        <f>+G35+G36</f>
        <v>36800</v>
      </c>
      <c r="H37" s="2122"/>
      <c r="I37" s="2121">
        <f>+I35+I36</f>
        <v>31510</v>
      </c>
      <c r="J37" s="2122"/>
      <c r="K37" s="2121">
        <f>+K35+K36</f>
        <v>19872</v>
      </c>
      <c r="L37" s="2122"/>
      <c r="M37" s="2121">
        <f>+M35+M36</f>
        <v>40710</v>
      </c>
    </row>
    <row r="38" spans="1:13" ht="13.8">
      <c r="A38" s="303" t="s">
        <v>1108</v>
      </c>
      <c r="B38" s="304" t="s">
        <v>1109</v>
      </c>
      <c r="C38" s="296"/>
      <c r="D38" s="296"/>
      <c r="E38" s="2120"/>
      <c r="F38" s="2120"/>
      <c r="G38" s="2123">
        <f>+G37/F9</f>
        <v>73.599999999999994</v>
      </c>
      <c r="H38" s="2124"/>
      <c r="I38" s="2123">
        <f>+I37/H9</f>
        <v>78.775000000000006</v>
      </c>
      <c r="J38" s="2124"/>
      <c r="K38" s="2123">
        <f>+K37/J9</f>
        <v>99.36</v>
      </c>
      <c r="L38" s="2124"/>
      <c r="M38" s="2123">
        <f>+M37/L9</f>
        <v>90.466666666666669</v>
      </c>
    </row>
    <row r="39" spans="1:13" ht="15.6">
      <c r="C39" s="450" t="s">
        <v>1110</v>
      </c>
      <c r="D39" s="450"/>
      <c r="E39" s="2125">
        <v>1.2</v>
      </c>
      <c r="F39" s="2126"/>
      <c r="G39" s="2127">
        <f>+$E39*G$37*12</f>
        <v>529920</v>
      </c>
      <c r="H39" s="2128" t="s">
        <v>655</v>
      </c>
      <c r="I39" s="2127">
        <f>+$E39*I$37*12</f>
        <v>453744</v>
      </c>
      <c r="J39" s="2128" t="s">
        <v>655</v>
      </c>
      <c r="K39" s="2129">
        <f>+$E39*K$37</f>
        <v>23846.399999999998</v>
      </c>
      <c r="M39" s="2129">
        <f>+$E39*M$37</f>
        <v>48852</v>
      </c>
    </row>
    <row r="40" spans="1:13" ht="15.6">
      <c r="A40" s="326" t="s">
        <v>1111</v>
      </c>
      <c r="C40" s="450" t="s">
        <v>1112</v>
      </c>
      <c r="D40" s="450"/>
      <c r="E40" s="2125">
        <v>1.5</v>
      </c>
      <c r="F40" s="2126"/>
      <c r="G40" s="2127">
        <f t="shared" ref="G40:I40" si="6">+$E40*G$37*12</f>
        <v>662400</v>
      </c>
      <c r="H40" s="2128" t="s">
        <v>655</v>
      </c>
      <c r="I40" s="2127">
        <f t="shared" si="6"/>
        <v>567180</v>
      </c>
      <c r="J40" s="2128" t="s">
        <v>655</v>
      </c>
      <c r="K40" s="2129">
        <f>+$E40*K$37</f>
        <v>29808</v>
      </c>
      <c r="M40" s="2129">
        <f>+$E40*M$37</f>
        <v>61065</v>
      </c>
    </row>
    <row r="41" spans="1:13">
      <c r="A41" s="289" t="s">
        <v>1113</v>
      </c>
    </row>
    <row r="42" spans="1:13">
      <c r="A42" s="289" t="s">
        <v>1114</v>
      </c>
    </row>
    <row r="43" spans="1:13">
      <c r="A43" s="289" t="s">
        <v>1115</v>
      </c>
    </row>
  </sheetData>
  <sheetProtection algorithmName="SHA-512" hashValue="dPdFGoPPEnBOb7cvnbOaT6HG9qDv0IwZVWEYUb5xepBvOgYbIhNWFeIP+ouLk9bMcu7DyLzM3HgPdqaNnoCh0Q==" saltValue="DN4n5egAbCra3ItBq0eLTQ==" spinCount="100000" sheet="1" objects="1" scenarios="1"/>
  <mergeCells count="4">
    <mergeCell ref="F8:G8"/>
    <mergeCell ref="H8:I8"/>
    <mergeCell ref="J8:K8"/>
    <mergeCell ref="L8:M8"/>
  </mergeCells>
  <conditionalFormatting sqref="D1">
    <cfRule type="expression" dxfId="5" priority="2" stopIfTrue="1">
      <formula>MOD(ROW(),2)=0</formula>
    </cfRule>
  </conditionalFormatting>
  <hyperlinks>
    <hyperlink ref="D1" location="HypLink1" display="HypLink1" xr:uid="{50E317FE-1D40-462D-BA80-07D89AD0AAEE}"/>
  </hyperlinks>
  <pageMargins left="0.25" right="0.25" top="0.5" bottom="0.44999999999999996" header="0.25" footer="0.25"/>
  <pageSetup scale="69" orientation="landscape" r:id="rId1"/>
  <headerFooter>
    <oddHeader xml:space="preserve">&amp;L &amp;C &amp;R </oddHeader>
    <oddFooter>&amp;L&amp;7&amp;D  at &amp;T Mike 702.486.8879&amp;C&amp;7&amp;F  &amp;A&amp;R&amp;7Page &amp;P of &amp;N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27527-B61A-43B9-B961-6241615C3083}">
  <sheetPr codeName="Sheet20">
    <tabColor theme="0" tint="-0.34998626667073579"/>
  </sheetPr>
  <dimension ref="A1:U98"/>
  <sheetViews>
    <sheetView workbookViewId="0"/>
  </sheetViews>
  <sheetFormatPr defaultColWidth="9.21875" defaultRowHeight="13.2"/>
  <cols>
    <col min="1" max="1" width="5.21875" style="7" customWidth="1"/>
    <col min="2" max="16384" width="9.21875" style="7"/>
  </cols>
  <sheetData>
    <row r="1" spans="1:11" ht="15.6">
      <c r="A1" s="414" t="s">
        <v>1116</v>
      </c>
      <c r="B1" s="414"/>
      <c r="C1" s="414"/>
      <c r="K1" s="499" t="s">
        <v>2</v>
      </c>
    </row>
    <row r="2" spans="1:11" ht="15.6">
      <c r="A2" s="30" t="str">
        <f>SchoolName</f>
        <v>Southern Nevada Trades High School</v>
      </c>
      <c r="B2" s="33"/>
      <c r="C2" s="33"/>
    </row>
    <row r="3" spans="1:11">
      <c r="A3" s="11" t="s">
        <v>72</v>
      </c>
    </row>
    <row r="4" spans="1:11">
      <c r="A4" s="10" t="s">
        <v>73</v>
      </c>
    </row>
    <row r="5" spans="1:11">
      <c r="A5" s="9" t="str">
        <f ca="1">CELL("filename")</f>
        <v>C:\Users\jewel\Documents\SNTHS\CHARTER APP FINAL\FINAL COMPILED\[SNTHS Budget Worksheet.xlsx]Summary</v>
      </c>
    </row>
    <row r="7" spans="1:11">
      <c r="B7" s="490" t="s">
        <v>1117</v>
      </c>
      <c r="C7" s="7" t="s">
        <v>1118</v>
      </c>
    </row>
    <row r="8" spans="1:11">
      <c r="B8" s="490" t="s">
        <v>1119</v>
      </c>
      <c r="C8" s="7" t="s">
        <v>1120</v>
      </c>
    </row>
    <row r="9" spans="1:11">
      <c r="C9" s="7" t="s">
        <v>1121</v>
      </c>
    </row>
    <row r="10" spans="1:11">
      <c r="C10" s="7" t="s">
        <v>1122</v>
      </c>
    </row>
    <row r="11" spans="1:11">
      <c r="C11" s="7" t="s">
        <v>1123</v>
      </c>
    </row>
    <row r="12" spans="1:11">
      <c r="C12" s="7" t="s">
        <v>1124</v>
      </c>
    </row>
    <row r="25" spans="1:21">
      <c r="A25" s="8" t="s">
        <v>1125</v>
      </c>
      <c r="B25" s="8"/>
      <c r="C25" s="8"/>
      <c r="D25" s="8"/>
      <c r="E25" s="8" t="s">
        <v>1126</v>
      </c>
      <c r="F25" s="8"/>
      <c r="G25" s="8"/>
      <c r="H25" s="8"/>
      <c r="I25" s="8"/>
      <c r="J25" s="8"/>
      <c r="K25" s="8"/>
      <c r="L25" s="8"/>
      <c r="M25" s="8"/>
      <c r="N25" s="8"/>
      <c r="O25" s="8"/>
      <c r="P25" s="8"/>
    </row>
    <row r="26" spans="1:21">
      <c r="A26" s="8"/>
      <c r="B26" s="8"/>
      <c r="C26" s="8"/>
      <c r="D26" s="8"/>
      <c r="E26" s="8"/>
      <c r="F26" s="8"/>
      <c r="G26" s="8"/>
      <c r="H26" s="8"/>
      <c r="I26" s="8"/>
      <c r="J26" s="8"/>
      <c r="K26" s="8"/>
      <c r="L26" s="8"/>
      <c r="M26" s="8"/>
      <c r="N26" s="8"/>
      <c r="O26" s="8"/>
      <c r="P26" s="8"/>
    </row>
    <row r="27" spans="1:21">
      <c r="A27" s="8"/>
      <c r="B27" s="8"/>
      <c r="C27" s="8"/>
      <c r="D27" s="8"/>
      <c r="E27" s="8"/>
      <c r="F27" s="8"/>
      <c r="G27" s="8"/>
      <c r="H27" s="8"/>
      <c r="I27" s="8"/>
      <c r="J27" s="8"/>
      <c r="K27" s="8"/>
      <c r="L27" s="8"/>
      <c r="M27" s="8"/>
      <c r="N27" s="8"/>
      <c r="O27" s="8"/>
      <c r="P27" s="8"/>
    </row>
    <row r="28" spans="1:21">
      <c r="A28" s="8" t="s">
        <v>1127</v>
      </c>
      <c r="B28" s="461">
        <v>1</v>
      </c>
      <c r="C28" s="8"/>
      <c r="D28" s="8"/>
      <c r="E28" s="8"/>
      <c r="F28" s="8"/>
      <c r="G28" s="8"/>
      <c r="H28" s="8"/>
      <c r="I28" s="8"/>
      <c r="J28" s="8"/>
      <c r="K28" s="8"/>
      <c r="L28" s="8"/>
      <c r="M28" s="8"/>
      <c r="N28" s="8"/>
      <c r="O28" s="8"/>
      <c r="P28" s="8"/>
    </row>
    <row r="29" spans="1:21">
      <c r="A29" s="8" t="s">
        <v>1127</v>
      </c>
      <c r="B29" s="461">
        <v>2</v>
      </c>
      <c r="C29" s="8"/>
      <c r="D29" s="8"/>
      <c r="E29" s="8"/>
      <c r="F29" s="8"/>
      <c r="G29" s="8"/>
      <c r="H29" s="8"/>
      <c r="I29" s="8"/>
      <c r="J29" s="8"/>
      <c r="K29" s="8"/>
      <c r="L29" s="8"/>
      <c r="M29" s="8"/>
      <c r="N29" s="8"/>
      <c r="O29" s="8"/>
      <c r="P29" s="8"/>
      <c r="U29" s="7" t="s">
        <v>1128</v>
      </c>
    </row>
    <row r="30" spans="1:21">
      <c r="A30" s="8" t="s">
        <v>1127</v>
      </c>
      <c r="B30" s="461">
        <v>3</v>
      </c>
      <c r="C30" s="8"/>
      <c r="D30" s="8"/>
      <c r="E30" s="8"/>
      <c r="F30" s="8"/>
      <c r="G30" s="8"/>
      <c r="H30" s="8"/>
      <c r="I30" s="8"/>
      <c r="J30" s="8"/>
      <c r="K30" s="8"/>
      <c r="L30" s="8"/>
      <c r="M30" s="8"/>
      <c r="N30" s="8"/>
      <c r="O30" s="8"/>
      <c r="P30" s="8"/>
    </row>
    <row r="31" spans="1:21">
      <c r="A31" s="8" t="s">
        <v>1127</v>
      </c>
      <c r="B31" s="461">
        <v>4</v>
      </c>
      <c r="C31" s="8"/>
      <c r="D31" s="8"/>
      <c r="E31" s="8"/>
      <c r="F31" s="8"/>
      <c r="G31" s="8"/>
      <c r="H31" s="8"/>
      <c r="I31" s="8"/>
      <c r="J31" s="8"/>
      <c r="K31" s="8"/>
      <c r="L31" s="8"/>
      <c r="M31" s="8"/>
      <c r="N31" s="8"/>
      <c r="O31" s="8"/>
      <c r="P31" s="8"/>
    </row>
    <row r="32" spans="1:21">
      <c r="A32" s="8" t="s">
        <v>1127</v>
      </c>
      <c r="B32" s="461">
        <v>5</v>
      </c>
      <c r="C32" s="8"/>
      <c r="D32" s="8"/>
      <c r="E32" s="8"/>
      <c r="F32" s="8"/>
      <c r="G32" s="8"/>
      <c r="H32" s="8"/>
      <c r="I32" s="8"/>
      <c r="J32" s="8"/>
      <c r="K32" s="8"/>
      <c r="L32" s="8"/>
      <c r="M32" s="8"/>
      <c r="N32" s="8"/>
      <c r="O32" s="8"/>
      <c r="P32" s="8"/>
    </row>
    <row r="33" spans="1:16">
      <c r="A33" s="8" t="s">
        <v>1129</v>
      </c>
      <c r="B33" s="8"/>
      <c r="C33" s="8"/>
      <c r="D33" s="8"/>
      <c r="E33" s="8"/>
      <c r="F33" s="8"/>
      <c r="G33" s="8"/>
      <c r="H33" s="8"/>
      <c r="I33" s="8"/>
      <c r="J33" s="8"/>
      <c r="K33" s="8"/>
      <c r="L33" s="8"/>
      <c r="M33" s="8"/>
      <c r="N33" s="8"/>
      <c r="O33" s="8"/>
      <c r="P33" s="8"/>
    </row>
    <row r="34" spans="1:16">
      <c r="A34" s="8" t="s">
        <v>1129</v>
      </c>
      <c r="B34" s="8"/>
      <c r="C34" s="8"/>
      <c r="D34" s="8"/>
      <c r="E34" s="8"/>
      <c r="F34" s="8"/>
      <c r="G34" s="8"/>
      <c r="H34" s="8"/>
      <c r="I34" s="8"/>
      <c r="J34" s="8"/>
      <c r="K34" s="8"/>
      <c r="L34" s="8"/>
      <c r="M34" s="8"/>
      <c r="N34" s="8"/>
      <c r="O34" s="8"/>
      <c r="P34" s="8"/>
    </row>
    <row r="35" spans="1:16">
      <c r="A35" s="8" t="s">
        <v>1130</v>
      </c>
      <c r="B35" s="8"/>
      <c r="C35" s="8"/>
      <c r="D35" s="8"/>
      <c r="E35" s="8"/>
      <c r="F35" s="8"/>
      <c r="G35" s="8"/>
      <c r="H35" s="8"/>
      <c r="I35" s="8"/>
      <c r="J35" s="8"/>
      <c r="K35" s="8"/>
      <c r="L35" s="8"/>
      <c r="M35" s="8"/>
      <c r="N35" s="8"/>
      <c r="O35" s="8"/>
      <c r="P35" s="8"/>
    </row>
    <row r="36" spans="1:16">
      <c r="A36" s="8" t="s">
        <v>1131</v>
      </c>
      <c r="B36" s="8"/>
      <c r="C36" s="8"/>
      <c r="D36" s="8"/>
      <c r="E36" s="8"/>
      <c r="F36" s="8"/>
      <c r="G36" s="8"/>
      <c r="H36" s="8"/>
      <c r="I36" s="8"/>
      <c r="J36" s="8"/>
      <c r="K36" s="8"/>
      <c r="L36" s="8"/>
      <c r="M36" s="8"/>
      <c r="N36" s="8"/>
      <c r="O36" s="8"/>
      <c r="P36" s="8"/>
    </row>
    <row r="37" spans="1:16">
      <c r="A37" s="8" t="s">
        <v>1132</v>
      </c>
      <c r="B37" s="8"/>
      <c r="C37" s="8"/>
      <c r="D37" s="8"/>
      <c r="E37" s="8"/>
      <c r="F37" s="8"/>
      <c r="G37" s="8"/>
      <c r="H37" s="8"/>
      <c r="I37" s="8"/>
      <c r="J37" s="8"/>
      <c r="K37" s="8"/>
      <c r="L37" s="8"/>
      <c r="M37" s="8"/>
      <c r="N37" s="8"/>
      <c r="O37" s="8"/>
      <c r="P37" s="8"/>
    </row>
    <row r="38" spans="1:16">
      <c r="A38" s="8" t="s">
        <v>1133</v>
      </c>
      <c r="B38" s="8"/>
      <c r="C38" s="8"/>
      <c r="D38" s="8"/>
      <c r="E38" s="8"/>
      <c r="F38" s="8"/>
      <c r="G38" s="8"/>
      <c r="H38" s="8"/>
      <c r="I38" s="8"/>
      <c r="J38" s="8"/>
      <c r="K38" s="8"/>
      <c r="L38" s="8"/>
      <c r="M38" s="8"/>
      <c r="N38" s="8"/>
      <c r="O38" s="8"/>
      <c r="P38" s="8"/>
    </row>
    <row r="39" spans="1:16">
      <c r="A39" s="8" t="s">
        <v>480</v>
      </c>
      <c r="B39" s="8"/>
      <c r="C39" s="8"/>
      <c r="D39" s="8"/>
      <c r="E39" s="8"/>
      <c r="F39" s="8"/>
      <c r="G39" s="8"/>
      <c r="H39" s="8"/>
      <c r="I39" s="8"/>
      <c r="J39" s="8"/>
      <c r="K39" s="8"/>
      <c r="L39" s="8"/>
      <c r="M39" s="8"/>
      <c r="N39" s="8"/>
      <c r="O39" s="8"/>
      <c r="P39" s="8"/>
    </row>
    <row r="40" spans="1:16">
      <c r="A40" s="460" t="s">
        <v>1134</v>
      </c>
      <c r="B40" s="8"/>
      <c r="C40" s="8"/>
      <c r="D40" s="8"/>
      <c r="E40" s="8"/>
      <c r="F40" s="8"/>
      <c r="G40" s="8"/>
      <c r="H40" s="8"/>
      <c r="I40" s="8"/>
      <c r="J40" s="8"/>
      <c r="K40" s="8"/>
      <c r="L40" s="8"/>
      <c r="M40" s="8"/>
      <c r="N40" s="8"/>
      <c r="O40" s="8"/>
      <c r="P40" s="8"/>
    </row>
    <row r="41" spans="1:16">
      <c r="A41" s="8" t="s">
        <v>1135</v>
      </c>
      <c r="B41" s="8"/>
      <c r="C41" s="8"/>
      <c r="D41" s="8"/>
      <c r="E41" s="8"/>
      <c r="F41" s="8"/>
      <c r="G41" s="8"/>
      <c r="H41" s="8"/>
      <c r="I41" s="8"/>
      <c r="J41" s="8"/>
      <c r="K41" s="8"/>
      <c r="L41" s="8"/>
      <c r="M41" s="8"/>
      <c r="N41" s="8"/>
      <c r="O41" s="8"/>
      <c r="P41" s="8"/>
    </row>
    <row r="42" spans="1:16">
      <c r="A42" s="8" t="s">
        <v>1136</v>
      </c>
      <c r="B42" s="8"/>
      <c r="C42" s="8"/>
      <c r="D42" s="8"/>
      <c r="E42" s="8"/>
      <c r="F42" s="8"/>
      <c r="G42" s="8"/>
      <c r="H42" s="8"/>
      <c r="I42" s="8"/>
      <c r="J42" s="8"/>
      <c r="K42" s="8"/>
      <c r="L42" s="8"/>
      <c r="M42" s="8"/>
      <c r="N42" s="8"/>
      <c r="O42" s="8"/>
      <c r="P42" s="8"/>
    </row>
    <row r="43" spans="1:16">
      <c r="A43" s="8" t="s">
        <v>1131</v>
      </c>
      <c r="B43" s="8"/>
      <c r="C43" s="8"/>
      <c r="D43" s="8"/>
      <c r="E43" s="8"/>
      <c r="F43" s="8"/>
      <c r="G43" s="8"/>
      <c r="H43" s="8"/>
      <c r="I43" s="8"/>
      <c r="J43" s="8"/>
      <c r="K43" s="8"/>
      <c r="L43" s="8"/>
      <c r="M43" s="8"/>
      <c r="N43" s="8"/>
      <c r="O43" s="8"/>
      <c r="P43" s="8"/>
    </row>
    <row r="44" spans="1:16">
      <c r="A44" s="8"/>
      <c r="B44" s="8"/>
      <c r="C44" s="8"/>
      <c r="D44" s="8"/>
      <c r="E44" s="8"/>
      <c r="F44" s="8"/>
      <c r="G44" s="8"/>
      <c r="H44" s="8"/>
      <c r="I44" s="8"/>
      <c r="J44" s="8"/>
      <c r="K44" s="8"/>
      <c r="L44" s="8"/>
      <c r="M44" s="8"/>
      <c r="N44" s="8"/>
      <c r="O44" s="8"/>
      <c r="P44" s="8"/>
    </row>
    <row r="45" spans="1:16">
      <c r="A45" s="8"/>
      <c r="B45" s="8"/>
      <c r="C45" s="8"/>
      <c r="D45" s="8"/>
      <c r="E45" s="8"/>
      <c r="F45" s="8"/>
      <c r="G45" s="8"/>
      <c r="H45" s="8"/>
      <c r="I45" s="8"/>
      <c r="J45" s="8"/>
      <c r="K45" s="8"/>
      <c r="L45" s="8"/>
      <c r="M45" s="8"/>
      <c r="N45" s="8"/>
      <c r="O45" s="8"/>
      <c r="P45" s="8"/>
    </row>
    <row r="46" spans="1:16">
      <c r="A46" s="8"/>
      <c r="B46" s="8"/>
      <c r="C46" s="8"/>
      <c r="D46" s="8"/>
      <c r="E46" s="8"/>
      <c r="F46" s="8"/>
      <c r="G46" s="8"/>
      <c r="H46" s="8"/>
      <c r="I46" s="8"/>
      <c r="J46" s="8"/>
      <c r="K46" s="8"/>
      <c r="L46" s="8"/>
      <c r="M46" s="8"/>
      <c r="N46" s="8"/>
      <c r="O46" s="8"/>
      <c r="P46" s="8"/>
    </row>
    <row r="47" spans="1:16">
      <c r="A47" s="8"/>
      <c r="B47" s="8"/>
      <c r="C47" s="8"/>
      <c r="D47" s="8"/>
      <c r="E47" s="8"/>
      <c r="F47" s="8"/>
      <c r="G47" s="8"/>
      <c r="H47" s="8"/>
      <c r="I47" s="8"/>
      <c r="J47" s="8"/>
      <c r="K47" s="8"/>
      <c r="L47" s="8"/>
      <c r="M47" s="8"/>
      <c r="N47" s="8"/>
      <c r="O47" s="8"/>
      <c r="P47" s="8"/>
    </row>
    <row r="48" spans="1:16">
      <c r="A48" s="8"/>
      <c r="B48" s="8"/>
      <c r="C48" s="8"/>
      <c r="D48" s="8"/>
      <c r="E48" s="8"/>
      <c r="F48" s="8"/>
      <c r="G48" s="8"/>
      <c r="H48" s="8"/>
      <c r="I48" s="8"/>
      <c r="J48" s="8"/>
      <c r="K48" s="8"/>
      <c r="L48" s="8"/>
      <c r="M48" s="8"/>
      <c r="N48" s="8"/>
      <c r="O48" s="8"/>
      <c r="P48" s="8"/>
    </row>
    <row r="49" spans="1:16">
      <c r="A49" s="8"/>
      <c r="B49" s="8"/>
      <c r="C49" s="8"/>
      <c r="D49" s="8"/>
      <c r="E49" s="8"/>
      <c r="F49" s="8"/>
      <c r="G49" s="8"/>
      <c r="H49" s="8"/>
      <c r="I49" s="8"/>
      <c r="J49" s="8"/>
      <c r="K49" s="8"/>
      <c r="L49" s="8"/>
      <c r="M49" s="8"/>
      <c r="N49" s="8"/>
      <c r="O49" s="8"/>
      <c r="P49" s="8"/>
    </row>
    <row r="50" spans="1:16">
      <c r="A50" s="8"/>
      <c r="B50" s="8"/>
      <c r="C50" s="8"/>
      <c r="D50" s="8"/>
      <c r="E50" s="8"/>
      <c r="F50" s="8"/>
      <c r="G50" s="8"/>
      <c r="H50" s="8"/>
      <c r="I50" s="8"/>
      <c r="J50" s="8"/>
      <c r="K50" s="8"/>
      <c r="L50" s="8"/>
      <c r="M50" s="8"/>
      <c r="N50" s="8"/>
      <c r="O50" s="8"/>
      <c r="P50" s="8"/>
    </row>
    <row r="51" spans="1:16">
      <c r="A51" s="8"/>
      <c r="B51" s="8"/>
      <c r="C51" s="8"/>
      <c r="D51" s="8"/>
      <c r="E51" s="8"/>
      <c r="F51" s="8"/>
      <c r="G51" s="8"/>
      <c r="H51" s="8"/>
      <c r="I51" s="8"/>
      <c r="J51" s="8"/>
      <c r="K51" s="8"/>
      <c r="L51" s="8"/>
      <c r="M51" s="8"/>
      <c r="N51" s="8"/>
      <c r="O51" s="8"/>
      <c r="P51" s="8"/>
    </row>
    <row r="52" spans="1:16">
      <c r="A52" s="8"/>
      <c r="B52" s="8"/>
      <c r="C52" s="8"/>
      <c r="D52" s="8"/>
      <c r="E52" s="8"/>
      <c r="F52" s="8"/>
      <c r="G52" s="8"/>
      <c r="H52" s="8"/>
      <c r="I52" s="8"/>
      <c r="J52" s="8"/>
      <c r="K52" s="8"/>
      <c r="L52" s="8"/>
      <c r="M52" s="8"/>
      <c r="N52" s="8"/>
      <c r="O52" s="8"/>
      <c r="P52" s="8"/>
    </row>
    <row r="53" spans="1:16">
      <c r="A53" s="8"/>
      <c r="B53" s="8"/>
      <c r="C53" s="8"/>
      <c r="D53" s="8"/>
      <c r="E53" s="8"/>
      <c r="F53" s="8"/>
      <c r="G53" s="8"/>
      <c r="H53" s="8"/>
      <c r="I53" s="8"/>
      <c r="J53" s="8"/>
      <c r="K53" s="8"/>
      <c r="L53" s="8"/>
      <c r="M53" s="8"/>
      <c r="N53" s="8"/>
      <c r="O53" s="8"/>
      <c r="P53" s="8"/>
    </row>
    <row r="54" spans="1:16">
      <c r="A54" s="8"/>
      <c r="B54" s="8"/>
      <c r="C54" s="8"/>
      <c r="D54" s="8"/>
      <c r="E54" s="8"/>
      <c r="F54" s="8"/>
      <c r="G54" s="8"/>
      <c r="H54" s="8"/>
      <c r="I54" s="8"/>
      <c r="J54" s="8"/>
      <c r="K54" s="8"/>
      <c r="L54" s="8"/>
      <c r="M54" s="8"/>
      <c r="N54" s="8"/>
      <c r="O54" s="8"/>
      <c r="P54" s="8"/>
    </row>
    <row r="55" spans="1:16">
      <c r="A55" s="8"/>
      <c r="B55" s="8"/>
      <c r="C55" s="8"/>
      <c r="D55" s="8"/>
      <c r="E55" s="8"/>
      <c r="F55" s="8"/>
      <c r="G55" s="8"/>
      <c r="H55" s="8"/>
      <c r="I55" s="8"/>
      <c r="J55" s="8"/>
      <c r="K55" s="8"/>
      <c r="L55" s="8"/>
      <c r="M55" s="8"/>
      <c r="N55" s="8"/>
      <c r="O55" s="8"/>
      <c r="P55" s="8"/>
    </row>
    <row r="56" spans="1:16">
      <c r="A56" s="8"/>
      <c r="B56" s="8"/>
      <c r="C56" s="8"/>
      <c r="D56" s="8"/>
      <c r="E56" s="8"/>
      <c r="F56" s="8"/>
      <c r="G56" s="8"/>
      <c r="H56" s="8"/>
      <c r="I56" s="8"/>
      <c r="J56" s="8"/>
      <c r="K56" s="8"/>
      <c r="L56" s="8"/>
      <c r="M56" s="8"/>
      <c r="N56" s="8"/>
      <c r="O56" s="8"/>
      <c r="P56" s="8"/>
    </row>
    <row r="57" spans="1:16">
      <c r="A57" s="8"/>
      <c r="B57" s="8"/>
      <c r="C57" s="8"/>
      <c r="D57" s="8"/>
      <c r="E57" s="8"/>
      <c r="F57" s="8"/>
      <c r="G57" s="8"/>
      <c r="H57" s="8"/>
      <c r="I57" s="8"/>
      <c r="J57" s="8"/>
      <c r="K57" s="8"/>
      <c r="L57" s="8"/>
      <c r="M57" s="8"/>
      <c r="N57" s="8"/>
      <c r="O57" s="8"/>
      <c r="P57" s="8"/>
    </row>
    <row r="58" spans="1:16">
      <c r="A58" s="8"/>
      <c r="B58" s="8" t="s">
        <v>1137</v>
      </c>
      <c r="C58" s="8"/>
      <c r="D58" s="8"/>
      <c r="E58" s="8"/>
      <c r="F58" s="8"/>
      <c r="G58" s="8"/>
      <c r="H58" s="8"/>
      <c r="I58" s="8"/>
      <c r="J58" s="8"/>
      <c r="K58" s="8"/>
      <c r="L58" s="8"/>
      <c r="M58" s="8"/>
      <c r="N58" s="8"/>
      <c r="O58" s="8"/>
      <c r="P58" s="8"/>
    </row>
    <row r="59" spans="1:16">
      <c r="A59" s="8"/>
      <c r="B59" s="8" t="s">
        <v>1138</v>
      </c>
      <c r="C59" s="8"/>
      <c r="D59" s="8"/>
      <c r="E59" s="8"/>
      <c r="F59" s="8"/>
      <c r="G59" s="8"/>
      <c r="H59" s="8"/>
      <c r="I59" s="8"/>
      <c r="J59" s="8"/>
      <c r="K59" s="8"/>
      <c r="L59" s="8"/>
      <c r="M59" s="8"/>
      <c r="N59" s="8"/>
      <c r="O59" s="8"/>
      <c r="P59" s="8"/>
    </row>
    <row r="60" spans="1:16">
      <c r="A60" s="8"/>
      <c r="B60" s="7" t="s">
        <v>1139</v>
      </c>
      <c r="D60" s="8" t="s">
        <v>1140</v>
      </c>
      <c r="E60" s="8"/>
      <c r="F60" s="8"/>
      <c r="G60" s="8"/>
      <c r="H60" s="8"/>
      <c r="I60" s="8"/>
      <c r="J60" s="8"/>
      <c r="K60" s="8"/>
      <c r="L60" s="8"/>
      <c r="M60" s="8"/>
      <c r="N60" s="8"/>
      <c r="O60" s="8"/>
      <c r="P60" s="8"/>
    </row>
    <row r="61" spans="1:16">
      <c r="A61" s="8"/>
      <c r="B61" s="8"/>
      <c r="C61" s="8"/>
      <c r="D61" s="8"/>
      <c r="E61" s="8"/>
      <c r="F61" s="8"/>
      <c r="G61" s="8"/>
      <c r="H61" s="8"/>
      <c r="I61" s="8"/>
      <c r="J61" s="8"/>
      <c r="K61" s="8"/>
      <c r="L61" s="8"/>
      <c r="M61" s="8"/>
      <c r="N61" s="8"/>
      <c r="O61" s="8"/>
      <c r="P61" s="8"/>
    </row>
    <row r="62" spans="1:16">
      <c r="A62" s="8"/>
      <c r="B62" s="8"/>
      <c r="C62" s="8"/>
      <c r="D62" s="8"/>
      <c r="E62" s="8"/>
      <c r="F62" s="8"/>
      <c r="G62" s="8"/>
      <c r="H62" s="8"/>
      <c r="I62" s="8"/>
      <c r="J62" s="8"/>
      <c r="K62" s="8"/>
      <c r="L62" s="8"/>
      <c r="M62" s="8"/>
      <c r="N62" s="8"/>
      <c r="O62" s="8"/>
      <c r="P62" s="8"/>
    </row>
    <row r="63" spans="1:16">
      <c r="A63" s="8"/>
      <c r="B63" s="8"/>
      <c r="C63" s="8"/>
      <c r="D63" s="8"/>
      <c r="E63" s="8"/>
      <c r="F63" s="8"/>
      <c r="G63" s="8"/>
      <c r="H63" s="8"/>
      <c r="I63" s="8"/>
      <c r="J63" s="8"/>
      <c r="K63" s="8"/>
      <c r="L63" s="8"/>
      <c r="M63" s="8"/>
      <c r="N63" s="8"/>
      <c r="O63" s="8"/>
      <c r="P63" s="8"/>
    </row>
    <row r="64" spans="1:16">
      <c r="A64" s="8"/>
      <c r="B64" s="8"/>
      <c r="C64" s="8"/>
      <c r="D64" s="8"/>
      <c r="E64" s="8"/>
      <c r="F64" s="8"/>
      <c r="G64" s="8"/>
      <c r="H64" s="8"/>
      <c r="I64" s="8"/>
      <c r="J64" s="8"/>
      <c r="K64" s="8"/>
      <c r="L64" s="8"/>
      <c r="M64" s="8"/>
      <c r="N64" s="8"/>
      <c r="O64" s="8"/>
      <c r="P64" s="8"/>
    </row>
    <row r="65" spans="1:16">
      <c r="A65" s="460"/>
      <c r="B65" s="8"/>
      <c r="C65" s="8"/>
      <c r="D65" s="8"/>
      <c r="E65" s="8"/>
      <c r="F65" s="8"/>
      <c r="G65" s="8"/>
      <c r="H65" s="8"/>
      <c r="I65" s="8"/>
      <c r="J65" s="8"/>
      <c r="K65" s="8"/>
      <c r="L65" s="8"/>
      <c r="M65" s="8"/>
      <c r="N65" s="8"/>
      <c r="O65" s="8"/>
      <c r="P65" s="8"/>
    </row>
    <row r="66" spans="1:16">
      <c r="A66" s="8"/>
      <c r="B66" s="8"/>
      <c r="C66" s="8"/>
      <c r="D66" s="8"/>
      <c r="E66" s="8"/>
      <c r="F66" s="8"/>
      <c r="G66" s="8"/>
      <c r="H66" s="8"/>
      <c r="I66" s="8"/>
      <c r="J66" s="8"/>
      <c r="K66" s="8"/>
      <c r="L66" s="8"/>
      <c r="M66" s="8"/>
      <c r="N66" s="8"/>
      <c r="O66" s="8"/>
      <c r="P66" s="8"/>
    </row>
    <row r="67" spans="1:16">
      <c r="A67" s="8"/>
      <c r="B67" s="8"/>
      <c r="C67" s="8"/>
      <c r="D67" s="8"/>
      <c r="E67" s="8"/>
      <c r="F67" s="8"/>
      <c r="G67" s="8"/>
      <c r="H67" s="8"/>
      <c r="I67" s="8"/>
      <c r="J67" s="8"/>
      <c r="K67" s="8"/>
      <c r="L67" s="8"/>
      <c r="M67" s="8"/>
      <c r="N67" s="8"/>
      <c r="O67" s="8"/>
      <c r="P67" s="8"/>
    </row>
    <row r="68" spans="1:16">
      <c r="A68" s="8"/>
      <c r="B68" s="8"/>
      <c r="C68" s="8"/>
      <c r="D68" s="8"/>
      <c r="E68" s="8"/>
      <c r="F68" s="8"/>
      <c r="G68" s="8"/>
      <c r="H68" s="8"/>
      <c r="I68" s="8"/>
      <c r="J68" s="8"/>
      <c r="K68" s="8"/>
      <c r="L68" s="8"/>
      <c r="M68" s="8"/>
      <c r="N68" s="8"/>
      <c r="O68" s="8"/>
      <c r="P68" s="8"/>
    </row>
    <row r="69" spans="1:16">
      <c r="A69" s="8"/>
      <c r="B69" s="8"/>
      <c r="C69" s="8"/>
      <c r="D69" s="8"/>
      <c r="E69" s="8"/>
      <c r="F69" s="8"/>
      <c r="G69" s="8"/>
      <c r="H69" s="8"/>
      <c r="I69" s="8"/>
      <c r="J69" s="8"/>
      <c r="K69" s="8"/>
      <c r="L69" s="8"/>
      <c r="M69" s="8"/>
      <c r="N69" s="8"/>
      <c r="O69" s="8"/>
      <c r="P69" s="8"/>
    </row>
    <row r="70" spans="1:16">
      <c r="A70" s="8"/>
      <c r="B70" s="8"/>
      <c r="C70" s="8"/>
      <c r="D70" s="8"/>
      <c r="E70" s="8"/>
      <c r="F70" s="8"/>
      <c r="G70" s="8"/>
      <c r="H70" s="8"/>
      <c r="I70" s="8"/>
      <c r="J70" s="8"/>
      <c r="K70" s="8"/>
      <c r="L70" s="8"/>
      <c r="M70" s="8"/>
      <c r="N70" s="8"/>
      <c r="O70" s="8"/>
      <c r="P70" s="8"/>
    </row>
    <row r="71" spans="1:16">
      <c r="A71" s="8"/>
      <c r="B71" s="8"/>
      <c r="C71" s="8"/>
      <c r="D71" s="8"/>
      <c r="E71" s="8"/>
      <c r="F71" s="8"/>
      <c r="G71" s="8"/>
      <c r="H71" s="8"/>
      <c r="I71" s="8"/>
      <c r="J71" s="8"/>
      <c r="K71" s="8"/>
      <c r="L71" s="8"/>
      <c r="M71" s="8"/>
      <c r="N71" s="8"/>
      <c r="O71" s="8"/>
      <c r="P71" s="8"/>
    </row>
    <row r="72" spans="1:16">
      <c r="A72" s="8"/>
      <c r="B72" s="8"/>
      <c r="C72" s="8"/>
      <c r="D72" s="8"/>
      <c r="E72" s="8"/>
      <c r="F72" s="8"/>
      <c r="G72" s="8"/>
      <c r="H72" s="8"/>
      <c r="I72" s="8"/>
      <c r="J72" s="8"/>
      <c r="K72" s="8"/>
      <c r="L72" s="8"/>
      <c r="M72" s="8"/>
      <c r="N72" s="8"/>
      <c r="O72" s="8"/>
      <c r="P72" s="8"/>
    </row>
    <row r="73" spans="1:16">
      <c r="A73" s="8"/>
      <c r="B73" s="8"/>
      <c r="C73" s="8"/>
      <c r="D73" s="8"/>
      <c r="E73" s="8"/>
      <c r="F73" s="8"/>
      <c r="G73" s="8"/>
      <c r="H73" s="8"/>
      <c r="I73" s="8"/>
      <c r="J73" s="8"/>
      <c r="K73" s="8"/>
      <c r="L73" s="8"/>
      <c r="M73" s="8"/>
      <c r="N73" s="8"/>
      <c r="O73" s="8"/>
      <c r="P73" s="8"/>
    </row>
    <row r="74" spans="1:16">
      <c r="A74" s="8"/>
      <c r="B74" s="8"/>
      <c r="C74" s="8"/>
      <c r="D74" s="8"/>
      <c r="E74" s="8"/>
      <c r="F74" s="8"/>
      <c r="G74" s="8"/>
      <c r="H74" s="8"/>
      <c r="I74" s="8"/>
      <c r="J74" s="8"/>
      <c r="K74" s="8"/>
      <c r="L74" s="8"/>
      <c r="M74" s="8"/>
      <c r="N74" s="8"/>
      <c r="O74" s="8"/>
      <c r="P74" s="8"/>
    </row>
    <row r="75" spans="1:16">
      <c r="A75" s="8"/>
      <c r="B75" s="8"/>
      <c r="C75" s="8"/>
      <c r="D75" s="8"/>
      <c r="E75" s="8"/>
      <c r="F75" s="8"/>
      <c r="G75" s="8"/>
      <c r="H75" s="8"/>
      <c r="I75" s="8"/>
      <c r="J75" s="8"/>
      <c r="K75" s="8"/>
      <c r="L75" s="8"/>
      <c r="M75" s="8"/>
      <c r="N75" s="8"/>
      <c r="O75" s="8"/>
      <c r="P75" s="8"/>
    </row>
    <row r="76" spans="1:16">
      <c r="A76" s="8"/>
      <c r="B76" s="8"/>
      <c r="C76" s="8"/>
      <c r="D76" s="8"/>
      <c r="E76" s="8"/>
      <c r="F76" s="8"/>
      <c r="G76" s="8"/>
      <c r="H76" s="8"/>
      <c r="I76" s="8"/>
      <c r="J76" s="8"/>
      <c r="K76" s="8"/>
      <c r="L76" s="8"/>
      <c r="M76" s="8"/>
      <c r="N76" s="8"/>
      <c r="O76" s="8"/>
      <c r="P76" s="8"/>
    </row>
    <row r="77" spans="1:16">
      <c r="A77" s="8"/>
      <c r="B77" s="8"/>
      <c r="C77" s="8"/>
      <c r="D77" s="8"/>
      <c r="E77" s="8"/>
      <c r="F77" s="8"/>
      <c r="G77" s="8"/>
      <c r="H77" s="8"/>
      <c r="I77" s="8"/>
      <c r="J77" s="8"/>
      <c r="K77" s="8"/>
      <c r="L77" s="8"/>
      <c r="M77" s="8"/>
      <c r="N77" s="8"/>
      <c r="O77" s="8"/>
      <c r="P77" s="8"/>
    </row>
    <row r="78" spans="1:16">
      <c r="A78" s="8"/>
      <c r="B78" s="8"/>
      <c r="C78" s="8"/>
      <c r="D78" s="8"/>
      <c r="E78" s="8"/>
      <c r="F78" s="8"/>
      <c r="G78" s="8"/>
      <c r="H78" s="8"/>
      <c r="I78" s="8"/>
      <c r="J78" s="8"/>
      <c r="K78" s="8"/>
      <c r="L78" s="8"/>
      <c r="M78" s="8"/>
      <c r="N78" s="8"/>
      <c r="O78" s="8"/>
      <c r="P78" s="8"/>
    </row>
    <row r="79" spans="1:16">
      <c r="A79" s="8"/>
      <c r="B79" s="8"/>
      <c r="C79" s="8"/>
      <c r="D79" s="8"/>
      <c r="E79" s="8"/>
      <c r="F79" s="8"/>
      <c r="G79" s="8"/>
      <c r="H79" s="8"/>
      <c r="I79" s="8"/>
      <c r="J79" s="8"/>
      <c r="K79" s="8"/>
      <c r="L79" s="8"/>
      <c r="M79" s="8"/>
      <c r="N79" s="8"/>
      <c r="O79" s="8"/>
      <c r="P79" s="8"/>
    </row>
    <row r="80" spans="1:16">
      <c r="A80" s="8"/>
      <c r="B80" s="8"/>
      <c r="C80" s="8"/>
      <c r="D80" s="8"/>
      <c r="E80" s="8"/>
      <c r="F80" s="8"/>
      <c r="G80" s="8"/>
      <c r="H80" s="8"/>
      <c r="I80" s="8"/>
      <c r="J80" s="8"/>
      <c r="K80" s="8"/>
      <c r="L80" s="8"/>
      <c r="M80" s="8"/>
      <c r="N80" s="8"/>
      <c r="O80" s="8"/>
      <c r="P80" s="8"/>
    </row>
    <row r="81" spans="1:21">
      <c r="A81" s="8"/>
      <c r="B81" s="8"/>
      <c r="C81" s="8"/>
      <c r="D81" s="8"/>
      <c r="E81" s="8"/>
      <c r="F81" s="8"/>
      <c r="G81" s="8"/>
      <c r="H81" s="8"/>
      <c r="I81" s="8"/>
      <c r="J81" s="8"/>
      <c r="K81" s="8"/>
      <c r="L81" s="8"/>
      <c r="M81" s="8"/>
      <c r="N81" s="8"/>
      <c r="O81" s="8"/>
      <c r="P81" s="8"/>
    </row>
    <row r="82" spans="1:21">
      <c r="A82" s="8"/>
      <c r="B82" s="8"/>
      <c r="C82" s="8"/>
      <c r="D82" s="8"/>
      <c r="E82" s="8"/>
      <c r="F82" s="8"/>
      <c r="G82" s="8"/>
      <c r="H82" s="8"/>
      <c r="I82" s="8"/>
      <c r="J82" s="8"/>
      <c r="K82" s="8"/>
      <c r="L82" s="8"/>
      <c r="M82" s="8"/>
      <c r="N82" s="8"/>
      <c r="O82" s="8"/>
      <c r="P82" s="8"/>
      <c r="U82" s="7" t="s">
        <v>1141</v>
      </c>
    </row>
    <row r="83" spans="1:21">
      <c r="A83" s="8"/>
      <c r="B83" s="8"/>
      <c r="C83" s="8"/>
      <c r="D83" s="8"/>
      <c r="E83" s="8"/>
      <c r="F83" s="8"/>
      <c r="G83" s="8"/>
      <c r="H83" s="8"/>
      <c r="I83" s="8"/>
      <c r="J83" s="8"/>
      <c r="K83" s="8"/>
      <c r="L83" s="8"/>
      <c r="M83" s="8"/>
      <c r="N83" s="8"/>
      <c r="O83" s="8"/>
      <c r="P83" s="8"/>
    </row>
    <row r="84" spans="1:21">
      <c r="A84" s="8"/>
      <c r="B84" s="8"/>
      <c r="C84" s="8"/>
      <c r="D84" s="8"/>
      <c r="E84" s="8"/>
      <c r="F84" s="8"/>
      <c r="G84" s="8"/>
      <c r="H84" s="8"/>
      <c r="I84" s="8"/>
      <c r="J84" s="8"/>
      <c r="K84" s="8"/>
      <c r="L84" s="8"/>
      <c r="M84" s="8"/>
      <c r="N84" s="8"/>
      <c r="O84" s="8"/>
      <c r="P84" s="8"/>
    </row>
    <row r="85" spans="1:21">
      <c r="A85" s="8"/>
      <c r="B85" s="8"/>
      <c r="C85" s="8"/>
      <c r="D85" s="8"/>
      <c r="E85" s="8"/>
      <c r="F85" s="8"/>
      <c r="G85" s="8"/>
      <c r="H85" s="8"/>
      <c r="I85" s="8"/>
      <c r="J85" s="8"/>
      <c r="K85" s="8"/>
      <c r="L85" s="8"/>
      <c r="M85" s="8"/>
      <c r="N85" s="8"/>
      <c r="O85" s="8"/>
      <c r="P85" s="8"/>
    </row>
    <row r="86" spans="1:21">
      <c r="A86" s="8"/>
      <c r="B86" s="8"/>
      <c r="C86" s="8"/>
      <c r="D86" s="8"/>
      <c r="E86" s="8"/>
      <c r="F86" s="8"/>
      <c r="G86" s="8"/>
      <c r="H86" s="8"/>
      <c r="I86" s="8"/>
      <c r="J86" s="8"/>
      <c r="K86" s="8"/>
      <c r="L86" s="8"/>
      <c r="M86" s="8"/>
      <c r="N86" s="8"/>
      <c r="O86" s="8"/>
      <c r="P86" s="8"/>
    </row>
    <row r="87" spans="1:21">
      <c r="A87" s="8"/>
      <c r="B87" s="8"/>
      <c r="C87" s="8"/>
      <c r="D87" s="8"/>
      <c r="E87" s="8"/>
      <c r="F87" s="8"/>
      <c r="G87" s="8"/>
      <c r="H87" s="8"/>
      <c r="I87" s="8"/>
      <c r="J87" s="8"/>
      <c r="K87" s="8"/>
      <c r="L87" s="8"/>
      <c r="M87" s="8"/>
      <c r="N87" s="8"/>
      <c r="O87" s="8"/>
      <c r="P87" s="8"/>
    </row>
    <row r="88" spans="1:21">
      <c r="A88" s="8"/>
      <c r="B88" s="8"/>
      <c r="C88" s="8"/>
      <c r="D88" s="8"/>
      <c r="E88" s="8"/>
      <c r="F88" s="8"/>
      <c r="G88" s="8"/>
      <c r="H88" s="8"/>
      <c r="I88" s="8"/>
      <c r="J88" s="8"/>
      <c r="K88" s="8"/>
      <c r="L88" s="8"/>
      <c r="M88" s="8"/>
      <c r="N88" s="8"/>
      <c r="O88" s="8"/>
      <c r="P88" s="8"/>
    </row>
    <row r="89" spans="1:21">
      <c r="A89" s="8" t="s">
        <v>1142</v>
      </c>
      <c r="B89" s="8"/>
      <c r="C89" s="8"/>
      <c r="D89" s="8"/>
      <c r="E89" s="8"/>
      <c r="F89" s="8"/>
      <c r="G89" s="8"/>
      <c r="H89" s="8"/>
      <c r="I89" s="8"/>
      <c r="J89" s="8"/>
      <c r="K89" s="8"/>
      <c r="L89" s="8"/>
      <c r="M89" s="8"/>
      <c r="N89" s="8"/>
      <c r="O89" s="8"/>
      <c r="P89" s="8"/>
    </row>
    <row r="90" spans="1:21">
      <c r="A90" s="8" t="s">
        <v>1143</v>
      </c>
      <c r="B90" s="8"/>
      <c r="C90" s="8"/>
      <c r="D90" s="8"/>
      <c r="E90" s="8"/>
      <c r="F90" s="8"/>
      <c r="G90" s="8"/>
      <c r="H90" s="8"/>
      <c r="I90" s="8"/>
      <c r="J90" s="8"/>
      <c r="K90" s="8"/>
      <c r="L90" s="8"/>
      <c r="M90" s="8"/>
      <c r="N90" s="8"/>
      <c r="O90" s="8"/>
      <c r="P90" s="8"/>
    </row>
    <row r="91" spans="1:21">
      <c r="A91" s="8"/>
      <c r="B91" s="8"/>
      <c r="C91" s="8"/>
      <c r="D91" s="8"/>
      <c r="E91" s="8"/>
      <c r="F91" s="8"/>
      <c r="G91" s="8"/>
      <c r="H91" s="8"/>
      <c r="I91" s="8"/>
      <c r="J91" s="8"/>
      <c r="K91" s="8"/>
      <c r="L91" s="8"/>
      <c r="M91" s="8"/>
      <c r="N91" s="8"/>
      <c r="O91" s="8"/>
      <c r="P91" s="8"/>
    </row>
    <row r="92" spans="1:21">
      <c r="A92" s="8"/>
      <c r="B92" s="8"/>
      <c r="C92" s="8"/>
      <c r="D92" s="8"/>
      <c r="E92" s="8"/>
      <c r="F92" s="8"/>
      <c r="G92" s="8"/>
      <c r="H92" s="8"/>
      <c r="I92" s="8"/>
      <c r="J92" s="8"/>
      <c r="K92" s="8"/>
      <c r="L92" s="8"/>
      <c r="M92" s="8"/>
      <c r="N92" s="8"/>
      <c r="O92" s="8"/>
      <c r="P92" s="8"/>
    </row>
    <row r="93" spans="1:21">
      <c r="A93" s="8"/>
      <c r="B93" s="8"/>
      <c r="C93" s="8"/>
      <c r="D93" s="8"/>
      <c r="E93" s="8"/>
      <c r="F93" s="8"/>
      <c r="G93" s="8"/>
      <c r="H93" s="8"/>
      <c r="I93" s="8"/>
      <c r="J93" s="8"/>
      <c r="K93" s="8"/>
      <c r="L93" s="8"/>
      <c r="M93" s="8"/>
      <c r="N93" s="8"/>
      <c r="O93" s="8"/>
      <c r="P93" s="8"/>
    </row>
    <row r="94" spans="1:21">
      <c r="A94" s="8"/>
      <c r="B94" s="8"/>
      <c r="C94" s="8"/>
      <c r="D94" s="8"/>
      <c r="E94" s="8"/>
      <c r="F94" s="8"/>
      <c r="G94" s="8"/>
      <c r="H94" s="8"/>
      <c r="I94" s="8"/>
      <c r="J94" s="8"/>
      <c r="K94" s="8"/>
      <c r="L94" s="8"/>
      <c r="M94" s="8"/>
      <c r="N94" s="8"/>
      <c r="O94" s="8"/>
      <c r="P94" s="8"/>
    </row>
    <row r="95" spans="1:21">
      <c r="A95" s="8"/>
      <c r="B95" s="8"/>
      <c r="C95" s="8"/>
      <c r="D95" s="8"/>
      <c r="E95" s="8"/>
      <c r="F95" s="8"/>
      <c r="G95" s="8"/>
      <c r="H95" s="8"/>
      <c r="I95" s="8"/>
      <c r="J95" s="8"/>
      <c r="K95" s="8"/>
      <c r="L95" s="8"/>
      <c r="M95" s="8"/>
      <c r="N95" s="8"/>
      <c r="O95" s="8"/>
      <c r="P95" s="8"/>
    </row>
    <row r="96" spans="1:21">
      <c r="A96" s="8"/>
      <c r="B96" s="8"/>
      <c r="C96" s="8"/>
      <c r="D96" s="8"/>
      <c r="E96" s="8"/>
      <c r="F96" s="8"/>
      <c r="G96" s="8"/>
      <c r="H96" s="8"/>
      <c r="I96" s="8"/>
      <c r="J96" s="8"/>
      <c r="K96" s="8"/>
      <c r="L96" s="8"/>
      <c r="M96" s="8"/>
      <c r="N96" s="8"/>
      <c r="O96" s="8"/>
      <c r="P96" s="8"/>
    </row>
    <row r="97" spans="1:16">
      <c r="A97" s="8"/>
      <c r="B97" s="8"/>
      <c r="C97" s="8"/>
      <c r="D97" s="8"/>
      <c r="E97" s="8"/>
      <c r="F97" s="8"/>
      <c r="G97" s="8"/>
      <c r="H97" s="8"/>
      <c r="I97" s="8"/>
      <c r="J97" s="8"/>
      <c r="K97" s="8"/>
      <c r="L97" s="8"/>
      <c r="M97" s="8"/>
      <c r="N97" s="8"/>
      <c r="O97" s="8"/>
      <c r="P97" s="8"/>
    </row>
    <row r="98" spans="1:16">
      <c r="A98" s="8"/>
      <c r="B98" s="8"/>
      <c r="C98" s="8"/>
      <c r="D98" s="8"/>
      <c r="E98" s="8"/>
      <c r="F98" s="8"/>
      <c r="G98" s="8"/>
      <c r="H98" s="8"/>
      <c r="I98" s="8"/>
      <c r="J98" s="8"/>
      <c r="K98" s="8"/>
      <c r="L98" s="8"/>
      <c r="M98" s="8"/>
      <c r="N98" s="8"/>
      <c r="O98" s="8"/>
      <c r="P98" s="8"/>
    </row>
  </sheetData>
  <sheetProtection algorithmName="SHA-512" hashValue="6++fo8rN0LxWADVSz1oOxj8rg7usD/mq0LMXKdpUX07JYuRUbYAosYBaF0lCQPmqjk/x84moemRCwbZ2aGuKMA==" saltValue="KHp8ymHOgD1sBvpHS5rcsA==" spinCount="100000" sheet="1" objects="1" scenarios="1"/>
  <conditionalFormatting sqref="K1">
    <cfRule type="expression" dxfId="4" priority="1" stopIfTrue="1">
      <formula>MOD(ROW(),2)=0</formula>
    </cfRule>
  </conditionalFormatting>
  <hyperlinks>
    <hyperlink ref="K1" location="HypLink1" display="HypLink1" xr:uid="{D4C50C46-9FD4-41DC-9616-2CDDF62982E7}"/>
  </hyperlinks>
  <pageMargins left="0.35" right="0.25" top="0.32" bottom="0.5" header="0.32" footer="0.3"/>
  <pageSetup orientation="portrait" r:id="rId1"/>
  <headerFooter alignWithMargins="0">
    <oddFooter>&amp;L&amp;7&amp;D  at &amp;T Mike 702.486.8879&amp;C&amp;7Page &amp;P of &amp;N&amp;R&amp;7&amp;F  &amp;A</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D807-2CAD-4923-8FCE-A69239E669ED}">
  <sheetPr codeName="Sheet6">
    <tabColor theme="0" tint="-0.34998626667073579"/>
  </sheetPr>
  <dimension ref="A1:T80"/>
  <sheetViews>
    <sheetView workbookViewId="0"/>
  </sheetViews>
  <sheetFormatPr defaultColWidth="9.21875" defaultRowHeight="13.2"/>
  <cols>
    <col min="1" max="1" width="10.77734375" style="7" bestFit="1" customWidth="1"/>
    <col min="2" max="16384" width="9.21875" style="7"/>
  </cols>
  <sheetData>
    <row r="1" spans="1:20" ht="15.6">
      <c r="A1" s="414" t="s">
        <v>1144</v>
      </c>
      <c r="B1" s="414"/>
      <c r="C1" s="414"/>
      <c r="E1" s="558" t="s">
        <v>2</v>
      </c>
      <c r="P1" s="8"/>
      <c r="Q1" s="8"/>
      <c r="R1" s="8"/>
      <c r="S1" s="8"/>
      <c r="T1" s="8"/>
    </row>
    <row r="2" spans="1:20" ht="15.6">
      <c r="A2" s="30" t="str">
        <f>SchoolName</f>
        <v>Southern Nevada Trades High School</v>
      </c>
      <c r="B2" s="33"/>
      <c r="C2" s="33"/>
      <c r="P2" s="8"/>
      <c r="Q2" s="8"/>
      <c r="R2" s="8"/>
      <c r="S2" s="8"/>
      <c r="T2" s="8"/>
    </row>
    <row r="3" spans="1:20">
      <c r="A3" s="11" t="s">
        <v>72</v>
      </c>
      <c r="P3" s="8"/>
      <c r="Q3" s="8"/>
      <c r="R3" s="8"/>
      <c r="S3" s="8"/>
      <c r="T3" s="8"/>
    </row>
    <row r="4" spans="1:20">
      <c r="A4" s="10" t="s">
        <v>73</v>
      </c>
      <c r="P4" s="8"/>
      <c r="Q4" s="8"/>
      <c r="R4" s="8"/>
      <c r="S4" s="8"/>
      <c r="T4" s="8"/>
    </row>
    <row r="5" spans="1:20">
      <c r="A5" s="9" t="str">
        <f ca="1">CELL("filename")</f>
        <v>C:\Users\jewel\Documents\SNTHS\CHARTER APP FINAL\FINAL COMPILED\[SNTHS Budget Worksheet.xlsx]Summary</v>
      </c>
      <c r="P5" s="8"/>
      <c r="Q5" s="8"/>
      <c r="R5" s="8"/>
      <c r="S5" s="8"/>
      <c r="T5" s="8"/>
    </row>
    <row r="6" spans="1:20">
      <c r="P6" s="8"/>
      <c r="Q6" s="8"/>
      <c r="R6" s="8"/>
      <c r="S6" s="8"/>
      <c r="T6" s="8"/>
    </row>
    <row r="7" spans="1:20">
      <c r="A7" s="8"/>
      <c r="B7" s="8"/>
      <c r="C7" s="8"/>
      <c r="D7" s="8"/>
      <c r="E7" s="8"/>
      <c r="F7" s="8"/>
      <c r="G7" s="8"/>
      <c r="H7" s="8"/>
      <c r="I7" s="8"/>
      <c r="J7" s="8"/>
      <c r="K7" s="8"/>
      <c r="L7" s="8"/>
      <c r="M7" s="8"/>
      <c r="N7" s="8"/>
      <c r="O7" s="8"/>
      <c r="P7" s="8"/>
      <c r="Q7" s="8"/>
      <c r="R7" s="8"/>
      <c r="S7" s="8"/>
      <c r="T7" s="8"/>
    </row>
    <row r="8" spans="1:20">
      <c r="A8" s="8"/>
      <c r="B8" s="8"/>
      <c r="C8" s="8"/>
      <c r="D8" s="8"/>
      <c r="E8" s="8"/>
      <c r="F8" s="8"/>
      <c r="G8" s="8"/>
      <c r="H8" s="8"/>
      <c r="I8" s="8"/>
      <c r="J8" s="8"/>
      <c r="K8" s="8"/>
      <c r="L8" s="8"/>
      <c r="M8" s="8"/>
      <c r="N8" s="8"/>
      <c r="O8" s="8"/>
      <c r="P8" s="8"/>
      <c r="Q8" s="8"/>
      <c r="R8" s="8"/>
      <c r="S8" s="8"/>
      <c r="T8" s="8"/>
    </row>
    <row r="9" spans="1:20">
      <c r="A9" s="8"/>
      <c r="B9" s="8"/>
      <c r="C9" s="8"/>
      <c r="D9" s="8"/>
      <c r="E9" s="8"/>
      <c r="F9" s="8"/>
      <c r="G9" s="8"/>
      <c r="H9" s="8"/>
      <c r="I9" s="8"/>
      <c r="J9" s="8"/>
      <c r="K9" s="8"/>
      <c r="L9" s="8"/>
      <c r="M9" s="8"/>
      <c r="N9" s="8"/>
      <c r="O9" s="8"/>
      <c r="P9" s="8"/>
      <c r="Q9" s="8"/>
      <c r="R9" s="8"/>
      <c r="S9" s="8"/>
      <c r="T9" s="8"/>
    </row>
    <row r="10" spans="1:20">
      <c r="A10" s="8"/>
      <c r="B10" s="8"/>
      <c r="C10" s="8"/>
      <c r="D10" s="8"/>
      <c r="E10" s="8"/>
      <c r="F10" s="8"/>
      <c r="G10" s="8"/>
      <c r="H10" s="8"/>
      <c r="I10" s="8"/>
      <c r="J10" s="8"/>
      <c r="K10" s="8"/>
      <c r="L10" s="8"/>
      <c r="M10" s="8"/>
      <c r="N10" s="8"/>
      <c r="O10" s="8"/>
      <c r="P10" s="8"/>
      <c r="Q10" s="8"/>
      <c r="R10" s="8"/>
      <c r="S10" s="8"/>
      <c r="T10" s="8"/>
    </row>
    <row r="11" spans="1:20">
      <c r="A11" s="8"/>
      <c r="B11" s="8"/>
      <c r="C11" s="8"/>
      <c r="D11" s="8"/>
      <c r="E11" s="8"/>
      <c r="F11" s="8"/>
      <c r="G11" s="8"/>
      <c r="H11" s="8"/>
      <c r="I11" s="8"/>
      <c r="J11" s="8"/>
      <c r="K11" s="8"/>
      <c r="L11" s="8"/>
      <c r="M11" s="8"/>
      <c r="N11" s="8"/>
      <c r="O11" s="8"/>
      <c r="P11" s="8"/>
      <c r="Q11" s="8"/>
      <c r="R11" s="8"/>
      <c r="S11" s="8"/>
      <c r="T11" s="8"/>
    </row>
    <row r="12" spans="1:20">
      <c r="A12" s="8"/>
      <c r="B12" s="8"/>
      <c r="C12" s="8"/>
      <c r="D12" s="8"/>
      <c r="E12" s="8"/>
      <c r="F12" s="8"/>
      <c r="G12" s="8"/>
      <c r="H12" s="8"/>
      <c r="I12" s="8"/>
      <c r="J12" s="8"/>
      <c r="K12" s="8"/>
      <c r="L12" s="8"/>
      <c r="M12" s="8"/>
      <c r="N12" s="8"/>
      <c r="O12" s="8"/>
      <c r="P12" s="8"/>
      <c r="Q12" s="8"/>
      <c r="R12" s="8"/>
      <c r="S12" s="8"/>
      <c r="T12" s="8"/>
    </row>
    <row r="13" spans="1:20">
      <c r="A13" s="8"/>
      <c r="B13" s="8"/>
      <c r="C13" s="8"/>
      <c r="D13" s="8"/>
      <c r="E13" s="8"/>
      <c r="F13" s="8"/>
      <c r="G13" s="8"/>
      <c r="H13" s="8"/>
      <c r="I13" s="8"/>
      <c r="J13" s="8"/>
      <c r="K13" s="8"/>
      <c r="L13" s="8"/>
      <c r="M13" s="8"/>
      <c r="N13" s="8"/>
      <c r="O13" s="8"/>
      <c r="P13" s="8"/>
      <c r="Q13" s="8"/>
      <c r="R13" s="8"/>
      <c r="S13" s="8"/>
      <c r="T13" s="8"/>
    </row>
    <row r="14" spans="1:20">
      <c r="A14" s="8"/>
      <c r="B14" s="8"/>
      <c r="C14" s="8"/>
      <c r="D14" s="8"/>
      <c r="E14" s="8"/>
      <c r="F14" s="8"/>
      <c r="G14" s="8"/>
      <c r="H14" s="8"/>
      <c r="I14" s="8"/>
      <c r="J14" s="8"/>
      <c r="K14" s="8"/>
      <c r="L14" s="8"/>
      <c r="M14" s="8"/>
      <c r="N14" s="8"/>
      <c r="O14" s="8"/>
      <c r="P14" s="8"/>
      <c r="Q14" s="8"/>
      <c r="R14" s="8"/>
      <c r="S14" s="8"/>
      <c r="T14" s="8"/>
    </row>
    <row r="15" spans="1:20">
      <c r="A15" s="8"/>
      <c r="B15" s="8"/>
      <c r="C15" s="8"/>
      <c r="D15" s="8"/>
      <c r="E15" s="8"/>
      <c r="F15" s="8"/>
      <c r="G15" s="8"/>
      <c r="H15" s="8"/>
      <c r="I15" s="8"/>
      <c r="J15" s="8"/>
      <c r="K15" s="8"/>
      <c r="L15" s="8"/>
      <c r="M15" s="8"/>
      <c r="N15" s="8"/>
      <c r="O15" s="8"/>
      <c r="P15" s="8"/>
      <c r="Q15" s="8"/>
      <c r="R15" s="8"/>
      <c r="S15" s="8"/>
      <c r="T15" s="8"/>
    </row>
    <row r="16" spans="1:20">
      <c r="A16" s="8"/>
      <c r="B16" s="8"/>
      <c r="C16" s="8"/>
      <c r="D16" s="8"/>
      <c r="E16" s="8"/>
      <c r="F16" s="8"/>
      <c r="G16" s="8"/>
      <c r="H16" s="8"/>
      <c r="I16" s="8"/>
      <c r="J16" s="8"/>
      <c r="K16" s="8"/>
      <c r="L16" s="8"/>
      <c r="M16" s="8"/>
      <c r="N16" s="8"/>
      <c r="O16" s="8"/>
      <c r="P16" s="8"/>
      <c r="Q16" s="8"/>
      <c r="R16" s="8"/>
      <c r="S16" s="8"/>
      <c r="T16" s="8"/>
    </row>
    <row r="17" spans="1:20">
      <c r="A17" s="8"/>
      <c r="B17" s="8"/>
      <c r="C17" s="8"/>
      <c r="D17" s="8"/>
      <c r="E17" s="8"/>
      <c r="F17" s="8"/>
      <c r="G17" s="8"/>
      <c r="H17" s="8"/>
      <c r="I17" s="8"/>
      <c r="J17" s="8"/>
      <c r="K17" s="8"/>
      <c r="L17" s="8"/>
      <c r="M17" s="8"/>
      <c r="N17" s="8"/>
      <c r="O17" s="8"/>
      <c r="P17" s="8"/>
      <c r="Q17" s="8"/>
      <c r="R17" s="8"/>
      <c r="S17" s="8"/>
      <c r="T17" s="8"/>
    </row>
    <row r="18" spans="1:20">
      <c r="A18" s="8"/>
      <c r="B18" s="8"/>
      <c r="C18" s="8"/>
      <c r="D18" s="8"/>
      <c r="E18" s="8"/>
      <c r="F18" s="8"/>
      <c r="G18" s="8"/>
      <c r="H18" s="8"/>
      <c r="I18" s="8"/>
      <c r="J18" s="8"/>
      <c r="K18" s="8"/>
      <c r="L18" s="8"/>
      <c r="M18" s="8"/>
      <c r="N18" s="8"/>
      <c r="O18" s="8"/>
      <c r="P18" s="8"/>
      <c r="Q18" s="8"/>
      <c r="R18" s="8"/>
      <c r="S18" s="8"/>
      <c r="T18" s="8"/>
    </row>
    <row r="19" spans="1:20">
      <c r="A19" s="8"/>
      <c r="B19" s="8"/>
      <c r="C19" s="8"/>
      <c r="D19" s="8"/>
      <c r="E19" s="8"/>
      <c r="F19" s="8"/>
      <c r="G19" s="8"/>
      <c r="H19" s="8"/>
      <c r="I19" s="8"/>
      <c r="J19" s="8"/>
      <c r="K19" s="8"/>
      <c r="L19" s="8"/>
      <c r="M19" s="8"/>
      <c r="N19" s="8"/>
      <c r="O19" s="8"/>
      <c r="P19" s="8"/>
      <c r="Q19" s="8"/>
      <c r="R19" s="8"/>
      <c r="S19" s="8"/>
      <c r="T19" s="8"/>
    </row>
    <row r="20" spans="1:20">
      <c r="A20" s="8"/>
      <c r="B20" s="8"/>
      <c r="C20" s="8"/>
      <c r="D20" s="8"/>
      <c r="E20" s="8"/>
      <c r="F20" s="8"/>
      <c r="G20" s="8"/>
      <c r="H20" s="8"/>
      <c r="I20" s="8"/>
      <c r="J20" s="8"/>
      <c r="K20" s="8"/>
      <c r="L20" s="8"/>
      <c r="M20" s="8"/>
      <c r="N20" s="8"/>
      <c r="O20" s="8"/>
      <c r="P20" s="8"/>
      <c r="Q20" s="8"/>
      <c r="R20" s="8"/>
      <c r="S20" s="8"/>
      <c r="T20" s="8"/>
    </row>
    <row r="21" spans="1:20">
      <c r="A21" s="8"/>
      <c r="B21" s="8"/>
      <c r="C21" s="8"/>
      <c r="D21" s="8"/>
      <c r="E21" s="8"/>
      <c r="F21" s="8"/>
      <c r="G21" s="8"/>
      <c r="H21" s="8"/>
      <c r="I21" s="8"/>
      <c r="J21" s="8"/>
      <c r="K21" s="8"/>
      <c r="L21" s="8"/>
      <c r="M21" s="8"/>
      <c r="N21" s="8"/>
      <c r="O21" s="8"/>
      <c r="P21" s="8"/>
      <c r="Q21" s="8"/>
      <c r="R21" s="8"/>
      <c r="S21" s="8"/>
      <c r="T21" s="8"/>
    </row>
    <row r="22" spans="1:20">
      <c r="A22" s="8"/>
      <c r="B22" s="8"/>
      <c r="C22" s="8"/>
      <c r="D22" s="8"/>
      <c r="E22" s="8"/>
      <c r="F22" s="8"/>
      <c r="G22" s="8"/>
      <c r="H22" s="8"/>
      <c r="I22" s="8"/>
      <c r="J22" s="8"/>
      <c r="K22" s="8"/>
      <c r="L22" s="8"/>
      <c r="M22" s="8"/>
      <c r="N22" s="8"/>
      <c r="O22" s="8"/>
      <c r="P22" s="8"/>
      <c r="Q22" s="8"/>
      <c r="R22" s="8"/>
      <c r="S22" s="8"/>
      <c r="T22" s="8"/>
    </row>
    <row r="23" spans="1:20">
      <c r="A23" s="8"/>
      <c r="B23" s="8"/>
      <c r="C23" s="8"/>
      <c r="D23" s="8"/>
      <c r="E23" s="8"/>
      <c r="F23" s="8"/>
      <c r="G23" s="8"/>
      <c r="H23" s="8"/>
      <c r="I23" s="8"/>
      <c r="J23" s="8"/>
      <c r="K23" s="8"/>
      <c r="L23" s="8"/>
      <c r="M23" s="8"/>
      <c r="N23" s="8"/>
      <c r="O23" s="8"/>
      <c r="P23" s="8"/>
      <c r="Q23" s="8"/>
      <c r="R23" s="8"/>
      <c r="S23" s="8"/>
      <c r="T23" s="8"/>
    </row>
    <row r="24" spans="1:20">
      <c r="A24" s="8"/>
      <c r="B24" s="8"/>
      <c r="C24" s="8"/>
      <c r="D24" s="8"/>
      <c r="E24" s="8"/>
      <c r="F24" s="8"/>
      <c r="G24" s="8"/>
      <c r="H24" s="8"/>
      <c r="I24" s="8"/>
      <c r="J24" s="8"/>
      <c r="K24" s="8"/>
      <c r="L24" s="8"/>
      <c r="M24" s="8"/>
      <c r="N24" s="8"/>
      <c r="O24" s="8"/>
      <c r="P24" s="8"/>
      <c r="Q24" s="8"/>
      <c r="R24" s="8"/>
      <c r="S24" s="8"/>
      <c r="T24" s="8"/>
    </row>
    <row r="25" spans="1:20">
      <c r="A25" s="8"/>
      <c r="B25" s="8"/>
      <c r="C25" s="8"/>
      <c r="D25" s="8"/>
      <c r="E25" s="8"/>
      <c r="F25" s="8"/>
      <c r="G25" s="8"/>
      <c r="H25" s="8"/>
      <c r="I25" s="8"/>
      <c r="J25" s="8"/>
      <c r="K25" s="8"/>
      <c r="L25" s="8"/>
      <c r="M25" s="8"/>
      <c r="N25" s="8"/>
      <c r="O25" s="8"/>
      <c r="P25" s="8"/>
      <c r="Q25" s="8"/>
      <c r="R25" s="8"/>
      <c r="S25" s="8"/>
      <c r="T25" s="8"/>
    </row>
    <row r="26" spans="1:20">
      <c r="A26" s="8"/>
      <c r="B26" s="8"/>
      <c r="C26" s="8"/>
      <c r="D26" s="8"/>
      <c r="E26" s="8"/>
      <c r="F26" s="8"/>
      <c r="G26" s="8"/>
      <c r="H26" s="8"/>
      <c r="I26" s="8"/>
      <c r="J26" s="8"/>
      <c r="K26" s="8"/>
      <c r="L26" s="8"/>
      <c r="M26" s="8"/>
      <c r="N26" s="8"/>
      <c r="O26" s="8"/>
      <c r="P26" s="8"/>
      <c r="Q26" s="8"/>
      <c r="R26" s="8"/>
      <c r="S26" s="8"/>
      <c r="T26" s="8"/>
    </row>
    <row r="27" spans="1:20">
      <c r="A27" s="8"/>
      <c r="B27" s="8"/>
      <c r="C27" s="8"/>
      <c r="D27" s="8"/>
      <c r="E27" s="8"/>
      <c r="F27" s="8"/>
      <c r="G27" s="8"/>
      <c r="H27" s="8"/>
      <c r="I27" s="8"/>
      <c r="J27" s="8"/>
      <c r="K27" s="8"/>
      <c r="L27" s="8"/>
      <c r="M27" s="8"/>
      <c r="N27" s="8"/>
      <c r="O27" s="8"/>
      <c r="P27" s="8"/>
      <c r="Q27" s="8"/>
      <c r="R27" s="8"/>
      <c r="S27" s="8"/>
      <c r="T27" s="8"/>
    </row>
    <row r="28" spans="1:20">
      <c r="A28" s="8"/>
      <c r="B28" s="8"/>
      <c r="C28" s="8"/>
      <c r="D28" s="8"/>
      <c r="E28" s="8"/>
      <c r="F28" s="8"/>
      <c r="G28" s="8"/>
      <c r="H28" s="8"/>
      <c r="I28" s="8"/>
      <c r="J28" s="8"/>
      <c r="K28" s="8"/>
      <c r="L28" s="8"/>
      <c r="M28" s="8"/>
      <c r="N28" s="8"/>
      <c r="O28" s="8"/>
      <c r="P28" s="8"/>
      <c r="Q28" s="8"/>
      <c r="R28" s="8"/>
      <c r="S28" s="8"/>
      <c r="T28" s="8"/>
    </row>
    <row r="29" spans="1:20">
      <c r="A29" s="8"/>
      <c r="B29" s="8"/>
      <c r="C29" s="8"/>
      <c r="D29" s="8"/>
      <c r="E29" s="8"/>
      <c r="F29" s="8"/>
      <c r="G29" s="8"/>
      <c r="H29" s="8"/>
      <c r="I29" s="8"/>
      <c r="J29" s="8"/>
      <c r="K29" s="8"/>
      <c r="L29" s="8"/>
      <c r="M29" s="8"/>
      <c r="N29" s="8"/>
      <c r="O29" s="8"/>
      <c r="P29" s="8"/>
      <c r="Q29" s="8"/>
      <c r="R29" s="8"/>
      <c r="S29" s="8"/>
      <c r="T29" s="8"/>
    </row>
    <row r="30" spans="1:20">
      <c r="A30" s="8"/>
      <c r="B30" s="8"/>
      <c r="C30" s="8"/>
      <c r="D30" s="8"/>
      <c r="E30" s="8"/>
      <c r="F30" s="8"/>
      <c r="G30" s="8"/>
      <c r="H30" s="8"/>
      <c r="I30" s="8"/>
      <c r="J30" s="8"/>
      <c r="K30" s="8"/>
      <c r="L30" s="8"/>
      <c r="M30" s="8"/>
      <c r="N30" s="8"/>
      <c r="O30" s="8"/>
      <c r="P30" s="8"/>
    </row>
    <row r="31" spans="1:20">
      <c r="A31" s="8"/>
      <c r="B31" s="8"/>
      <c r="C31" s="8"/>
      <c r="D31" s="8"/>
      <c r="E31" s="8"/>
      <c r="F31" s="8"/>
      <c r="G31" s="8"/>
      <c r="H31" s="8"/>
      <c r="I31" s="8"/>
      <c r="J31" s="8"/>
      <c r="K31" s="8"/>
      <c r="L31" s="8"/>
      <c r="M31" s="8"/>
      <c r="N31" s="8"/>
      <c r="O31" s="8"/>
      <c r="P31" s="8"/>
    </row>
    <row r="32" spans="1:20">
      <c r="A32" s="8"/>
      <c r="B32" s="8"/>
      <c r="C32" s="8"/>
      <c r="D32" s="8"/>
      <c r="E32" s="8"/>
      <c r="F32" s="8"/>
      <c r="G32" s="8"/>
      <c r="H32" s="8"/>
      <c r="I32" s="8"/>
      <c r="J32" s="8"/>
      <c r="K32" s="8"/>
      <c r="L32" s="8"/>
      <c r="M32" s="8"/>
      <c r="N32" s="8"/>
      <c r="O32" s="8"/>
      <c r="P32" s="8"/>
    </row>
    <row r="33" spans="1:16">
      <c r="A33" s="8"/>
      <c r="B33" s="8"/>
      <c r="C33" s="8"/>
      <c r="D33" s="8"/>
      <c r="E33" s="8"/>
      <c r="F33" s="8"/>
      <c r="G33" s="8"/>
      <c r="H33" s="8"/>
      <c r="I33" s="8"/>
      <c r="J33" s="8"/>
      <c r="K33" s="8"/>
      <c r="L33" s="8"/>
      <c r="M33" s="8"/>
      <c r="N33" s="8"/>
      <c r="O33" s="8"/>
      <c r="P33" s="8"/>
    </row>
    <row r="34" spans="1:16">
      <c r="A34" s="8"/>
      <c r="B34" s="8"/>
      <c r="C34" s="8"/>
      <c r="D34" s="8"/>
      <c r="E34" s="8"/>
      <c r="F34" s="8"/>
      <c r="G34" s="8"/>
      <c r="H34" s="8"/>
      <c r="I34" s="8"/>
      <c r="J34" s="8"/>
      <c r="K34" s="8"/>
      <c r="L34" s="8"/>
      <c r="M34" s="8"/>
      <c r="N34" s="8"/>
      <c r="O34" s="8"/>
      <c r="P34" s="8"/>
    </row>
    <row r="35" spans="1:16">
      <c r="A35" s="8"/>
      <c r="B35" s="8"/>
      <c r="C35" s="8"/>
      <c r="D35" s="8"/>
      <c r="E35" s="8"/>
      <c r="F35" s="8"/>
      <c r="G35" s="8"/>
      <c r="H35" s="8"/>
      <c r="I35" s="8"/>
      <c r="J35" s="8"/>
      <c r="K35" s="8"/>
      <c r="L35" s="8"/>
      <c r="M35" s="8"/>
      <c r="N35" s="8"/>
      <c r="O35" s="8"/>
      <c r="P35" s="8"/>
    </row>
    <row r="36" spans="1:16">
      <c r="A36" s="8"/>
      <c r="B36" s="8"/>
      <c r="C36" s="8"/>
      <c r="D36" s="8"/>
      <c r="E36" s="8"/>
      <c r="F36" s="8"/>
      <c r="G36" s="8"/>
      <c r="H36" s="8"/>
      <c r="I36" s="8"/>
      <c r="J36" s="8"/>
      <c r="K36" s="8"/>
      <c r="L36" s="8"/>
      <c r="M36" s="8"/>
      <c r="N36" s="8"/>
      <c r="O36" s="8"/>
      <c r="P36" s="8"/>
    </row>
    <row r="37" spans="1:16">
      <c r="A37" s="8"/>
      <c r="B37" s="8"/>
      <c r="C37" s="8"/>
      <c r="D37" s="8"/>
      <c r="E37" s="8"/>
      <c r="F37" s="8"/>
      <c r="G37" s="8"/>
      <c r="H37" s="8"/>
      <c r="I37" s="8"/>
      <c r="J37" s="8"/>
      <c r="K37" s="8"/>
      <c r="L37" s="8"/>
      <c r="M37" s="8"/>
      <c r="N37" s="8"/>
      <c r="O37" s="8"/>
      <c r="P37" s="8"/>
    </row>
    <row r="38" spans="1:16">
      <c r="A38" s="8"/>
      <c r="B38" s="8"/>
      <c r="C38" s="8"/>
      <c r="D38" s="8"/>
      <c r="E38" s="8"/>
      <c r="F38" s="8"/>
      <c r="G38" s="8"/>
      <c r="H38" s="8"/>
      <c r="I38" s="8"/>
      <c r="J38" s="8"/>
      <c r="K38" s="8"/>
      <c r="L38" s="8"/>
      <c r="M38" s="8"/>
      <c r="N38" s="8"/>
      <c r="O38" s="8"/>
      <c r="P38" s="8"/>
    </row>
    <row r="39" spans="1:16">
      <c r="A39" s="8"/>
      <c r="B39" s="8"/>
      <c r="C39" s="8"/>
      <c r="D39" s="8"/>
      <c r="E39" s="8"/>
      <c r="F39" s="8"/>
      <c r="G39" s="8"/>
      <c r="H39" s="8"/>
      <c r="I39" s="8"/>
      <c r="J39" s="8"/>
      <c r="K39" s="8"/>
      <c r="L39" s="8"/>
      <c r="M39" s="8"/>
      <c r="N39" s="8"/>
      <c r="O39" s="8"/>
      <c r="P39" s="8"/>
    </row>
    <row r="40" spans="1:16">
      <c r="A40" s="8"/>
      <c r="B40" s="8"/>
      <c r="C40" s="8"/>
      <c r="D40" s="8"/>
      <c r="E40" s="8"/>
      <c r="F40" s="8"/>
      <c r="G40" s="8"/>
      <c r="H40" s="8"/>
      <c r="I40" s="8"/>
      <c r="J40" s="8"/>
      <c r="K40" s="8"/>
      <c r="L40" s="8"/>
      <c r="M40" s="8"/>
      <c r="N40" s="8"/>
      <c r="O40" s="8"/>
      <c r="P40" s="8"/>
    </row>
    <row r="41" spans="1:16">
      <c r="A41" s="8"/>
      <c r="B41" s="8"/>
      <c r="C41" s="8"/>
      <c r="D41" s="8"/>
      <c r="E41" s="8"/>
      <c r="F41" s="8"/>
      <c r="G41" s="8"/>
      <c r="H41" s="8"/>
      <c r="I41" s="8"/>
      <c r="J41" s="8"/>
      <c r="K41" s="8"/>
      <c r="L41" s="8"/>
      <c r="M41" s="8"/>
      <c r="N41" s="8"/>
      <c r="O41" s="8"/>
      <c r="P41" s="8"/>
    </row>
    <row r="42" spans="1:16">
      <c r="A42" s="8"/>
      <c r="B42" s="8"/>
      <c r="C42" s="8"/>
      <c r="D42" s="8"/>
      <c r="E42" s="8"/>
      <c r="F42" s="8"/>
      <c r="G42" s="8"/>
      <c r="H42" s="8"/>
      <c r="I42" s="8"/>
      <c r="J42" s="8"/>
      <c r="K42" s="8"/>
      <c r="L42" s="8"/>
      <c r="M42" s="8"/>
      <c r="N42" s="8"/>
      <c r="O42" s="8"/>
      <c r="P42" s="8"/>
    </row>
    <row r="43" spans="1:16">
      <c r="A43" s="8"/>
      <c r="B43" s="8"/>
      <c r="C43" s="8"/>
      <c r="D43" s="8"/>
      <c r="E43" s="8"/>
      <c r="F43" s="8"/>
      <c r="G43" s="8"/>
      <c r="H43" s="8"/>
      <c r="I43" s="8"/>
      <c r="J43" s="8"/>
      <c r="K43" s="8"/>
      <c r="L43" s="8"/>
      <c r="M43" s="8"/>
      <c r="N43" s="8"/>
      <c r="O43" s="8"/>
      <c r="P43" s="8"/>
    </row>
    <row r="44" spans="1:16">
      <c r="A44" s="8"/>
      <c r="B44" s="8"/>
      <c r="C44" s="8"/>
      <c r="D44" s="8"/>
      <c r="E44" s="8"/>
      <c r="F44" s="8"/>
      <c r="G44" s="8"/>
      <c r="H44" s="8"/>
      <c r="I44" s="8"/>
      <c r="J44" s="8"/>
      <c r="K44" s="8"/>
      <c r="L44" s="8"/>
      <c r="M44" s="8"/>
      <c r="N44" s="8"/>
      <c r="O44" s="8"/>
      <c r="P44" s="8"/>
    </row>
    <row r="45" spans="1:16">
      <c r="A45" s="8"/>
      <c r="B45" s="8"/>
      <c r="C45" s="8"/>
      <c r="D45" s="8"/>
      <c r="E45" s="8"/>
      <c r="F45" s="8"/>
      <c r="G45" s="8"/>
      <c r="H45" s="8"/>
      <c r="I45" s="8"/>
      <c r="J45" s="8"/>
      <c r="K45" s="8"/>
      <c r="L45" s="8"/>
      <c r="M45" s="8"/>
      <c r="N45" s="8"/>
      <c r="O45" s="8"/>
      <c r="P45" s="8"/>
    </row>
    <row r="46" spans="1:16">
      <c r="A46" s="8"/>
      <c r="B46" s="8"/>
      <c r="C46" s="8"/>
      <c r="D46" s="8"/>
      <c r="E46" s="8"/>
      <c r="F46" s="8"/>
      <c r="G46" s="8"/>
      <c r="H46" s="8"/>
      <c r="I46" s="8"/>
      <c r="J46" s="8"/>
      <c r="K46" s="8"/>
      <c r="L46" s="8"/>
      <c r="M46" s="8"/>
      <c r="N46" s="8"/>
      <c r="O46" s="8"/>
      <c r="P46" s="8"/>
    </row>
    <row r="47" spans="1:16">
      <c r="A47" s="8"/>
      <c r="B47" s="8"/>
      <c r="C47" s="8"/>
      <c r="D47" s="8"/>
      <c r="E47" s="8"/>
      <c r="F47" s="8"/>
      <c r="G47" s="8"/>
      <c r="H47" s="8"/>
      <c r="I47" s="8"/>
      <c r="J47" s="8"/>
      <c r="K47" s="8"/>
      <c r="L47" s="8"/>
      <c r="M47" s="8"/>
      <c r="N47" s="8"/>
      <c r="O47" s="8"/>
      <c r="P47" s="8"/>
    </row>
    <row r="48" spans="1:16">
      <c r="A48" s="8"/>
      <c r="B48" s="8"/>
      <c r="C48" s="8"/>
      <c r="D48" s="8"/>
      <c r="E48" s="8"/>
      <c r="F48" s="8"/>
      <c r="G48" s="8"/>
      <c r="H48" s="8"/>
      <c r="I48" s="8"/>
      <c r="J48" s="8"/>
      <c r="K48" s="8"/>
      <c r="L48" s="8"/>
      <c r="M48" s="8"/>
      <c r="N48" s="8"/>
      <c r="O48" s="8"/>
      <c r="P48" s="8"/>
    </row>
    <row r="49" spans="1:16">
      <c r="A49" s="8"/>
      <c r="B49" s="8"/>
      <c r="C49" s="8"/>
      <c r="D49" s="8"/>
      <c r="E49" s="8"/>
      <c r="F49" s="8"/>
      <c r="G49" s="8"/>
      <c r="H49" s="8"/>
      <c r="I49" s="8"/>
      <c r="J49" s="8"/>
      <c r="K49" s="8"/>
      <c r="L49" s="8"/>
      <c r="M49" s="8"/>
      <c r="N49" s="8"/>
      <c r="O49" s="8"/>
      <c r="P49" s="8"/>
    </row>
    <row r="50" spans="1:16">
      <c r="A50" s="8"/>
      <c r="B50" s="8"/>
      <c r="C50" s="8"/>
      <c r="D50" s="8"/>
      <c r="E50" s="8"/>
      <c r="F50" s="8"/>
      <c r="G50" s="8"/>
      <c r="H50" s="8"/>
      <c r="I50" s="8"/>
      <c r="J50" s="8"/>
      <c r="K50" s="8"/>
      <c r="L50" s="8"/>
      <c r="M50" s="8"/>
      <c r="N50" s="8"/>
      <c r="O50" s="8"/>
      <c r="P50" s="8"/>
    </row>
    <row r="51" spans="1:16">
      <c r="A51" s="8"/>
      <c r="B51" s="8"/>
      <c r="C51" s="8"/>
      <c r="D51" s="8"/>
      <c r="E51" s="8"/>
      <c r="F51" s="8"/>
      <c r="G51" s="8"/>
      <c r="H51" s="8"/>
      <c r="I51" s="8"/>
      <c r="J51" s="8"/>
      <c r="K51" s="8"/>
      <c r="L51" s="8"/>
      <c r="M51" s="8"/>
      <c r="N51" s="8"/>
      <c r="O51" s="8"/>
      <c r="P51" s="8"/>
    </row>
    <row r="52" spans="1:16">
      <c r="A52" s="8"/>
      <c r="B52" s="8"/>
      <c r="C52" s="8"/>
      <c r="D52" s="8"/>
      <c r="E52" s="8"/>
      <c r="F52" s="8"/>
      <c r="G52" s="8"/>
      <c r="H52" s="8"/>
      <c r="I52" s="8"/>
      <c r="J52" s="8"/>
      <c r="K52" s="8"/>
      <c r="L52" s="8"/>
      <c r="M52" s="8"/>
      <c r="N52" s="8"/>
      <c r="O52" s="8"/>
      <c r="P52" s="8"/>
    </row>
    <row r="53" spans="1:16">
      <c r="A53" s="8"/>
      <c r="B53" s="8"/>
      <c r="C53" s="8"/>
      <c r="D53" s="8"/>
      <c r="E53" s="8"/>
      <c r="F53" s="8"/>
      <c r="G53" s="8"/>
      <c r="H53" s="8"/>
      <c r="I53" s="8"/>
      <c r="J53" s="8"/>
      <c r="K53" s="8"/>
      <c r="L53" s="8"/>
      <c r="M53" s="8"/>
      <c r="N53" s="8"/>
      <c r="O53" s="8"/>
      <c r="P53" s="8"/>
    </row>
    <row r="54" spans="1:16">
      <c r="A54" s="8"/>
      <c r="B54" s="8"/>
      <c r="C54" s="8"/>
      <c r="D54" s="8"/>
      <c r="E54" s="8"/>
      <c r="F54" s="8"/>
      <c r="G54" s="8"/>
      <c r="H54" s="8"/>
      <c r="I54" s="8"/>
      <c r="J54" s="8"/>
      <c r="K54" s="8"/>
      <c r="L54" s="8"/>
      <c r="M54" s="8"/>
      <c r="N54" s="8"/>
      <c r="O54" s="8"/>
      <c r="P54" s="8"/>
    </row>
    <row r="55" spans="1:16">
      <c r="A55" s="8"/>
      <c r="B55" s="8"/>
      <c r="C55" s="8"/>
      <c r="D55" s="8"/>
      <c r="E55" s="8"/>
      <c r="F55" s="8"/>
      <c r="G55" s="8"/>
      <c r="H55" s="8"/>
      <c r="I55" s="8"/>
      <c r="J55" s="8"/>
      <c r="K55" s="8"/>
      <c r="L55" s="8"/>
      <c r="M55" s="8"/>
      <c r="N55" s="8"/>
      <c r="O55" s="8"/>
      <c r="P55" s="8"/>
    </row>
    <row r="56" spans="1:16">
      <c r="A56" s="8"/>
      <c r="B56" s="8"/>
      <c r="C56" s="8"/>
      <c r="D56" s="8"/>
      <c r="E56" s="8"/>
      <c r="F56" s="8"/>
      <c r="G56" s="8"/>
      <c r="H56" s="8"/>
      <c r="I56" s="8"/>
      <c r="J56" s="8"/>
      <c r="K56" s="8"/>
      <c r="L56" s="8"/>
      <c r="M56" s="8"/>
      <c r="N56" s="8"/>
      <c r="O56" s="8"/>
      <c r="P56" s="8"/>
    </row>
    <row r="57" spans="1:16">
      <c r="A57" s="8"/>
      <c r="B57" s="8"/>
      <c r="C57" s="8"/>
      <c r="D57" s="8"/>
      <c r="E57" s="8"/>
      <c r="F57" s="8"/>
      <c r="G57" s="8"/>
      <c r="H57" s="8"/>
      <c r="I57" s="8"/>
      <c r="J57" s="8"/>
      <c r="K57" s="8"/>
      <c r="L57" s="8"/>
      <c r="M57" s="8"/>
      <c r="N57" s="8"/>
      <c r="O57" s="8"/>
      <c r="P57" s="8"/>
    </row>
    <row r="58" spans="1:16">
      <c r="A58" s="8"/>
      <c r="B58" s="8"/>
      <c r="C58" s="8"/>
      <c r="D58" s="8"/>
      <c r="E58" s="8"/>
      <c r="F58" s="8"/>
      <c r="G58" s="8"/>
      <c r="H58" s="8"/>
      <c r="I58" s="8"/>
      <c r="J58" s="8"/>
      <c r="K58" s="8"/>
      <c r="L58" s="8"/>
      <c r="M58" s="8"/>
      <c r="N58" s="8"/>
      <c r="O58" s="8"/>
      <c r="P58" s="8"/>
    </row>
    <row r="59" spans="1:16">
      <c r="A59" s="8"/>
      <c r="B59" s="8"/>
      <c r="C59" s="8"/>
      <c r="D59" s="8"/>
      <c r="E59" s="8"/>
      <c r="F59" s="8"/>
      <c r="G59" s="8"/>
      <c r="H59" s="8"/>
      <c r="I59" s="8"/>
      <c r="J59" s="8"/>
      <c r="K59" s="8"/>
      <c r="L59" s="8"/>
      <c r="M59" s="8"/>
      <c r="N59" s="8"/>
      <c r="O59" s="8"/>
      <c r="P59" s="8"/>
    </row>
    <row r="60" spans="1:16">
      <c r="A60" s="8"/>
      <c r="B60" s="8"/>
      <c r="C60" s="8"/>
      <c r="D60" s="8"/>
      <c r="E60" s="8"/>
      <c r="F60" s="8"/>
      <c r="G60" s="8"/>
      <c r="H60" s="8"/>
      <c r="I60" s="8"/>
      <c r="J60" s="8"/>
      <c r="K60" s="8"/>
      <c r="L60" s="8"/>
      <c r="M60" s="8"/>
      <c r="N60" s="8"/>
      <c r="O60" s="8"/>
      <c r="P60" s="8"/>
    </row>
    <row r="61" spans="1:16">
      <c r="A61" s="8"/>
      <c r="B61" s="8"/>
      <c r="C61" s="8"/>
      <c r="D61" s="8"/>
      <c r="E61" s="8"/>
      <c r="F61" s="8"/>
      <c r="G61" s="8"/>
      <c r="H61" s="8"/>
      <c r="I61" s="8"/>
      <c r="J61" s="8"/>
      <c r="K61" s="8"/>
      <c r="L61" s="8"/>
      <c r="M61" s="8"/>
      <c r="N61" s="8"/>
      <c r="O61" s="8"/>
      <c r="P61" s="8"/>
    </row>
    <row r="62" spans="1:16">
      <c r="A62" s="8"/>
      <c r="B62" s="8"/>
      <c r="C62" s="8"/>
      <c r="D62" s="8"/>
      <c r="E62" s="8"/>
      <c r="F62" s="8"/>
      <c r="G62" s="8"/>
      <c r="H62" s="8"/>
      <c r="I62" s="8"/>
      <c r="J62" s="8"/>
      <c r="K62" s="8"/>
      <c r="L62" s="8"/>
      <c r="M62" s="8"/>
      <c r="N62" s="8"/>
      <c r="O62" s="8"/>
      <c r="P62" s="8"/>
    </row>
    <row r="63" spans="1:16">
      <c r="A63" s="8"/>
      <c r="B63" s="8"/>
      <c r="C63" s="8"/>
      <c r="D63" s="8"/>
      <c r="E63" s="8"/>
      <c r="F63" s="8"/>
      <c r="G63" s="8"/>
      <c r="H63" s="8"/>
      <c r="I63" s="8"/>
      <c r="J63" s="8"/>
      <c r="K63" s="8"/>
      <c r="L63" s="8"/>
      <c r="M63" s="8"/>
      <c r="N63" s="8"/>
      <c r="O63" s="8"/>
      <c r="P63" s="8"/>
    </row>
    <row r="64" spans="1:16">
      <c r="A64" s="8"/>
      <c r="B64" s="8"/>
      <c r="C64" s="8"/>
      <c r="D64" s="8"/>
      <c r="E64" s="8"/>
      <c r="F64" s="8"/>
      <c r="G64" s="8"/>
      <c r="H64" s="8"/>
      <c r="I64" s="8"/>
      <c r="J64" s="8"/>
      <c r="K64" s="8"/>
      <c r="L64" s="8"/>
      <c r="M64" s="8"/>
      <c r="N64" s="8"/>
      <c r="O64" s="8"/>
      <c r="P64" s="8"/>
    </row>
    <row r="65" spans="1:16">
      <c r="A65" s="8"/>
      <c r="B65" s="8"/>
      <c r="C65" s="8"/>
      <c r="D65" s="8"/>
      <c r="E65" s="8"/>
      <c r="F65" s="8"/>
      <c r="G65" s="8"/>
      <c r="H65" s="8"/>
      <c r="I65" s="8"/>
      <c r="J65" s="8"/>
      <c r="K65" s="8"/>
      <c r="L65" s="8"/>
      <c r="M65" s="8"/>
      <c r="N65" s="8"/>
      <c r="O65" s="8"/>
      <c r="P65" s="8"/>
    </row>
    <row r="66" spans="1:16">
      <c r="A66" s="8"/>
      <c r="B66" s="8"/>
      <c r="C66" s="8"/>
      <c r="D66" s="8"/>
      <c r="E66" s="8"/>
      <c r="F66" s="8"/>
      <c r="G66" s="8"/>
      <c r="H66" s="8"/>
      <c r="I66" s="8"/>
      <c r="J66" s="8"/>
      <c r="K66" s="8"/>
      <c r="L66" s="8"/>
      <c r="M66" s="8"/>
      <c r="N66" s="8"/>
      <c r="O66" s="8"/>
      <c r="P66" s="8"/>
    </row>
    <row r="67" spans="1:16">
      <c r="A67" s="8"/>
      <c r="B67" s="8"/>
      <c r="C67" s="8"/>
      <c r="D67" s="8"/>
      <c r="E67" s="8"/>
      <c r="F67" s="8"/>
      <c r="G67" s="8"/>
      <c r="H67" s="8"/>
      <c r="I67" s="8"/>
      <c r="J67" s="8"/>
      <c r="K67" s="8"/>
      <c r="L67" s="8"/>
      <c r="M67" s="8"/>
      <c r="N67" s="8"/>
      <c r="O67" s="8"/>
      <c r="P67" s="8"/>
    </row>
    <row r="68" spans="1:16">
      <c r="A68" s="8"/>
      <c r="B68" s="8"/>
      <c r="C68" s="8"/>
      <c r="D68" s="8"/>
      <c r="E68" s="8"/>
      <c r="F68" s="8"/>
      <c r="G68" s="8"/>
      <c r="H68" s="8"/>
      <c r="I68" s="8"/>
      <c r="J68" s="8"/>
      <c r="K68" s="8"/>
      <c r="L68" s="8"/>
      <c r="M68" s="8"/>
      <c r="N68" s="8"/>
      <c r="O68" s="8"/>
      <c r="P68" s="8"/>
    </row>
    <row r="69" spans="1:16">
      <c r="A69" s="8"/>
      <c r="B69" s="8"/>
      <c r="C69" s="8"/>
      <c r="D69" s="8"/>
      <c r="E69" s="8"/>
      <c r="F69" s="8"/>
      <c r="G69" s="8"/>
      <c r="H69" s="8"/>
      <c r="I69" s="8"/>
      <c r="J69" s="8"/>
      <c r="K69" s="8"/>
      <c r="L69" s="8"/>
      <c r="M69" s="8"/>
      <c r="N69" s="8"/>
      <c r="O69" s="8"/>
      <c r="P69" s="8"/>
    </row>
    <row r="70" spans="1:16">
      <c r="A70" s="8"/>
      <c r="B70" s="8"/>
      <c r="C70" s="8"/>
      <c r="D70" s="8"/>
      <c r="E70" s="8"/>
      <c r="F70" s="8"/>
      <c r="G70" s="8"/>
      <c r="H70" s="8"/>
      <c r="I70" s="8"/>
      <c r="J70" s="8"/>
      <c r="K70" s="8"/>
      <c r="L70" s="8"/>
      <c r="M70" s="8"/>
      <c r="N70" s="8"/>
      <c r="O70" s="8"/>
      <c r="P70" s="8"/>
    </row>
    <row r="71" spans="1:16">
      <c r="A71" s="8"/>
      <c r="B71" s="8"/>
      <c r="C71" s="8"/>
      <c r="D71" s="8"/>
      <c r="E71" s="8"/>
      <c r="F71" s="8"/>
      <c r="G71" s="8"/>
      <c r="H71" s="8"/>
      <c r="I71" s="8"/>
      <c r="J71" s="8"/>
      <c r="K71" s="8"/>
      <c r="L71" s="8"/>
      <c r="M71" s="8"/>
      <c r="N71" s="8"/>
      <c r="O71" s="8"/>
      <c r="P71" s="8"/>
    </row>
    <row r="72" spans="1:16">
      <c r="A72" s="8"/>
      <c r="B72" s="8"/>
      <c r="C72" s="8"/>
      <c r="D72" s="8"/>
      <c r="E72" s="8"/>
      <c r="F72" s="8"/>
      <c r="G72" s="8"/>
      <c r="H72" s="8"/>
      <c r="I72" s="8"/>
      <c r="J72" s="8"/>
      <c r="K72" s="8"/>
      <c r="L72" s="8"/>
      <c r="M72" s="8"/>
      <c r="N72" s="8"/>
      <c r="O72" s="8"/>
      <c r="P72" s="8"/>
    </row>
    <row r="73" spans="1:16">
      <c r="A73" s="8"/>
      <c r="B73" s="8"/>
      <c r="C73" s="8"/>
      <c r="D73" s="8"/>
      <c r="E73" s="8"/>
      <c r="F73" s="8"/>
      <c r="G73" s="8"/>
      <c r="H73" s="8"/>
      <c r="I73" s="8"/>
      <c r="J73" s="8"/>
      <c r="K73" s="8"/>
      <c r="L73" s="8"/>
      <c r="M73" s="8"/>
      <c r="N73" s="8"/>
      <c r="O73" s="8"/>
      <c r="P73" s="8"/>
    </row>
    <row r="74" spans="1:16">
      <c r="A74" s="8"/>
      <c r="B74" s="8"/>
      <c r="C74" s="8"/>
      <c r="D74" s="8"/>
      <c r="E74" s="8"/>
      <c r="F74" s="8"/>
      <c r="G74" s="8"/>
      <c r="H74" s="8"/>
      <c r="I74" s="8"/>
      <c r="J74" s="8"/>
      <c r="K74" s="8"/>
      <c r="L74" s="8"/>
      <c r="M74" s="8"/>
      <c r="N74" s="8"/>
      <c r="O74" s="8"/>
      <c r="P74" s="8"/>
    </row>
    <row r="75" spans="1:16">
      <c r="A75" s="8"/>
      <c r="B75" s="8"/>
      <c r="C75" s="8"/>
      <c r="D75" s="8"/>
      <c r="E75" s="8"/>
      <c r="F75" s="8"/>
      <c r="G75" s="8"/>
      <c r="H75" s="8"/>
      <c r="I75" s="8"/>
      <c r="J75" s="8"/>
      <c r="K75" s="8"/>
      <c r="L75" s="8"/>
      <c r="M75" s="8"/>
      <c r="N75" s="8"/>
      <c r="O75" s="8"/>
      <c r="P75" s="8"/>
    </row>
    <row r="76" spans="1:16">
      <c r="A76" s="8"/>
      <c r="B76" s="8"/>
      <c r="C76" s="8"/>
      <c r="D76" s="8"/>
      <c r="E76" s="8"/>
      <c r="F76" s="8"/>
      <c r="G76" s="8"/>
      <c r="H76" s="8"/>
      <c r="I76" s="8"/>
      <c r="J76" s="8"/>
      <c r="K76" s="8"/>
      <c r="L76" s="8"/>
      <c r="M76" s="8"/>
      <c r="N76" s="8"/>
      <c r="O76" s="8"/>
      <c r="P76" s="8"/>
    </row>
    <row r="77" spans="1:16">
      <c r="A77" s="8"/>
      <c r="B77" s="8"/>
      <c r="C77" s="8"/>
      <c r="D77" s="8"/>
      <c r="E77" s="8"/>
      <c r="F77" s="8"/>
      <c r="G77" s="8"/>
      <c r="H77" s="8"/>
      <c r="I77" s="8"/>
      <c r="J77" s="8"/>
      <c r="K77" s="8"/>
      <c r="L77" s="8"/>
      <c r="M77" s="8"/>
      <c r="N77" s="8"/>
      <c r="O77" s="8"/>
      <c r="P77" s="8"/>
    </row>
    <row r="78" spans="1:16">
      <c r="A78" s="8"/>
      <c r="B78" s="8"/>
      <c r="C78" s="8"/>
      <c r="D78" s="8"/>
      <c r="E78" s="8"/>
      <c r="F78" s="8"/>
      <c r="G78" s="8"/>
      <c r="H78" s="8"/>
      <c r="I78" s="8"/>
      <c r="J78" s="8"/>
      <c r="K78" s="8"/>
      <c r="L78" s="8"/>
      <c r="M78" s="8"/>
      <c r="N78" s="8"/>
      <c r="O78" s="8"/>
      <c r="P78" s="8"/>
    </row>
    <row r="79" spans="1:16">
      <c r="A79" s="8"/>
      <c r="B79" s="8"/>
      <c r="C79" s="8"/>
      <c r="D79" s="8"/>
      <c r="E79" s="8"/>
      <c r="F79" s="8"/>
      <c r="G79" s="8"/>
      <c r="H79" s="8"/>
      <c r="I79" s="8"/>
      <c r="J79" s="8"/>
      <c r="K79" s="8"/>
      <c r="L79" s="8"/>
      <c r="M79" s="8"/>
      <c r="N79" s="8"/>
      <c r="O79" s="8"/>
      <c r="P79" s="8"/>
    </row>
    <row r="80" spans="1:16">
      <c r="A80" s="8"/>
      <c r="B80" s="8"/>
      <c r="C80" s="8"/>
      <c r="D80" s="8"/>
      <c r="E80" s="8"/>
      <c r="F80" s="8"/>
      <c r="G80" s="8"/>
      <c r="H80" s="8"/>
      <c r="I80" s="8"/>
      <c r="J80" s="8"/>
      <c r="K80" s="8"/>
      <c r="L80" s="8"/>
      <c r="M80" s="8"/>
      <c r="N80" s="8"/>
      <c r="O80" s="8"/>
      <c r="P80" s="8"/>
    </row>
  </sheetData>
  <sheetProtection algorithmName="SHA-512" hashValue="b2ui+6YcScyJdzIYhdc37Cmjz2ECghqixovgO+JbEPa98M1gsitcK28V204T39qGFe0tM9WfZPx/sARpU9HGQw==" saltValue="zVos+sJSYIvnhwAcQB0VyQ==" spinCount="100000" sheet="1" objects="1" scenarios="1"/>
  <conditionalFormatting sqref="E1">
    <cfRule type="expression" dxfId="3" priority="2" stopIfTrue="1">
      <formula>MOD(ROW(),2)=0</formula>
    </cfRule>
  </conditionalFormatting>
  <conditionalFormatting sqref="P1:T29">
    <cfRule type="cellIs" dxfId="2" priority="1" stopIfTrue="1" operator="equal">
      <formula>0</formula>
    </cfRule>
  </conditionalFormatting>
  <hyperlinks>
    <hyperlink ref="E1" location="HypLink1" display="HypLink1" xr:uid="{5C5619E5-080E-4FEB-8E13-B074694B0C79}"/>
  </hyperlinks>
  <pageMargins left="0.35" right="0.25" top="0.32" bottom="0.5" header="0.32" footer="0.3"/>
  <pageSetup orientation="portrait" r:id="rId1"/>
  <headerFooter alignWithMargins="0">
    <oddFooter>&amp;L&amp;7&amp;D  at &amp;T Mike 702.486.8879&amp;C&amp;7Page &amp;P of &amp;N&amp;R&amp;7&amp;F  &amp;A</oddFoot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7E77-F4B8-40BE-960A-A8B5FC622A25}">
  <sheetPr codeName="Sheet19">
    <tabColor theme="0" tint="-0.34998626667073579"/>
  </sheetPr>
  <dimension ref="A1:P80"/>
  <sheetViews>
    <sheetView workbookViewId="0"/>
  </sheetViews>
  <sheetFormatPr defaultColWidth="9.21875" defaultRowHeight="13.2"/>
  <cols>
    <col min="1" max="1" width="4.44140625" style="7" customWidth="1"/>
    <col min="2" max="16384" width="9.21875" style="7"/>
  </cols>
  <sheetData>
    <row r="1" spans="1:16" ht="15.6">
      <c r="A1" s="417" t="s">
        <v>1145</v>
      </c>
      <c r="B1" s="417"/>
      <c r="C1" s="417"/>
      <c r="D1" s="417"/>
      <c r="E1" s="417"/>
      <c r="F1" s="417"/>
      <c r="G1" s="417"/>
      <c r="M1" s="499" t="s">
        <v>2</v>
      </c>
    </row>
    <row r="2" spans="1:16" ht="15.6">
      <c r="A2" s="30"/>
      <c r="B2" s="33"/>
      <c r="C2" s="33"/>
      <c r="D2" s="33"/>
      <c r="E2" s="33"/>
      <c r="F2" s="33"/>
      <c r="G2" s="33"/>
      <c r="H2" s="7" t="s">
        <v>1146</v>
      </c>
    </row>
    <row r="3" spans="1:16">
      <c r="A3" s="11" t="s">
        <v>799</v>
      </c>
      <c r="H3" s="7" t="s">
        <v>1147</v>
      </c>
    </row>
    <row r="4" spans="1:16">
      <c r="A4" s="10" t="s">
        <v>72</v>
      </c>
    </row>
    <row r="5" spans="1:16">
      <c r="A5" s="9" t="str">
        <f ca="1">CELL("filename")</f>
        <v>C:\Users\jewel\Documents\SNTHS\CHARTER APP FINAL\FINAL COMPILED\[SNTHS Budget Worksheet.xlsx]Summary</v>
      </c>
    </row>
    <row r="6" spans="1:16">
      <c r="A6" s="8"/>
      <c r="B6" s="8"/>
      <c r="C6" s="8"/>
      <c r="D6" s="8"/>
      <c r="E6" s="8"/>
      <c r="F6" s="8"/>
      <c r="G6" s="8"/>
      <c r="H6" s="8"/>
      <c r="I6" s="8"/>
      <c r="J6" s="8"/>
      <c r="K6" s="8"/>
      <c r="L6" s="8"/>
      <c r="M6" s="8"/>
      <c r="N6" s="8"/>
      <c r="O6" s="8"/>
      <c r="P6" s="8"/>
    </row>
    <row r="7" spans="1:16">
      <c r="A7" s="8"/>
      <c r="B7" s="8" t="s">
        <v>1148</v>
      </c>
      <c r="C7" s="8"/>
      <c r="D7" s="8"/>
      <c r="E7" s="8"/>
      <c r="F7" s="8"/>
      <c r="G7" s="8"/>
      <c r="H7" s="8"/>
      <c r="I7" s="8"/>
      <c r="J7" s="8"/>
      <c r="K7" s="8"/>
      <c r="L7" s="8"/>
      <c r="M7" s="8"/>
      <c r="N7" s="8"/>
      <c r="O7" s="8"/>
      <c r="P7" s="8"/>
    </row>
    <row r="8" spans="1:16">
      <c r="A8" s="8"/>
      <c r="B8" s="8" t="s">
        <v>1149</v>
      </c>
      <c r="C8" s="8"/>
      <c r="D8" s="8"/>
      <c r="E8" s="8"/>
      <c r="F8" s="8"/>
      <c r="G8" s="8"/>
      <c r="H8" s="8"/>
      <c r="I8" s="8"/>
      <c r="J8" s="8"/>
      <c r="K8" s="8"/>
      <c r="L8" s="8"/>
      <c r="M8" s="8"/>
      <c r="N8" s="8"/>
      <c r="O8" s="8"/>
      <c r="P8" s="8"/>
    </row>
    <row r="9" spans="1:16">
      <c r="A9" s="8"/>
      <c r="B9" s="8"/>
      <c r="C9" s="8"/>
      <c r="D9" s="8"/>
      <c r="E9" s="8"/>
      <c r="F9" s="8"/>
      <c r="G9" s="8"/>
      <c r="H9" s="8"/>
      <c r="I9" s="8"/>
      <c r="J9" s="8"/>
      <c r="K9" s="8"/>
      <c r="L9" s="8"/>
      <c r="M9" s="8"/>
      <c r="N9" s="8"/>
      <c r="O9" s="8"/>
      <c r="P9" s="8"/>
    </row>
    <row r="10" spans="1:16">
      <c r="A10" s="8"/>
      <c r="B10" s="451"/>
      <c r="C10" s="451"/>
      <c r="D10" s="451"/>
      <c r="E10" s="451"/>
      <c r="F10" s="451"/>
      <c r="G10" s="2213" t="s">
        <v>1150</v>
      </c>
      <c r="H10" s="2213"/>
      <c r="I10" s="1694" t="s">
        <v>1151</v>
      </c>
      <c r="J10" s="1694"/>
      <c r="K10" s="1694"/>
      <c r="L10" s="1694"/>
      <c r="M10" s="1694"/>
      <c r="N10" s="1694"/>
      <c r="O10" s="8"/>
      <c r="P10" s="8"/>
    </row>
    <row r="11" spans="1:16">
      <c r="A11" s="8"/>
      <c r="B11" s="452"/>
      <c r="C11" s="20"/>
      <c r="D11" s="20"/>
      <c r="E11" s="20"/>
      <c r="F11" s="20"/>
      <c r="G11" s="453" t="s">
        <v>1152</v>
      </c>
      <c r="H11" s="453" t="s">
        <v>1153</v>
      </c>
      <c r="I11" s="453" t="s">
        <v>456</v>
      </c>
      <c r="J11" s="453">
        <v>1</v>
      </c>
      <c r="K11" s="453">
        <f>+J11+1</f>
        <v>2</v>
      </c>
      <c r="L11" s="453">
        <f>+K11+1</f>
        <v>3</v>
      </c>
      <c r="M11" s="453">
        <f>+L11+1</f>
        <v>4</v>
      </c>
      <c r="N11" s="453">
        <f>+M11+1</f>
        <v>5</v>
      </c>
      <c r="O11" s="8"/>
      <c r="P11" s="8"/>
    </row>
    <row r="12" spans="1:16">
      <c r="A12" s="8"/>
      <c r="C12" s="8"/>
      <c r="D12" s="8"/>
      <c r="E12" s="8"/>
      <c r="F12" s="8"/>
      <c r="G12" s="8"/>
      <c r="H12" s="8"/>
      <c r="I12" s="8"/>
      <c r="J12" s="8"/>
      <c r="K12" s="8"/>
      <c r="L12" s="8"/>
      <c r="M12" s="8"/>
      <c r="N12" s="8"/>
      <c r="O12" s="8"/>
      <c r="P12" s="8"/>
    </row>
    <row r="13" spans="1:16">
      <c r="A13" s="8"/>
      <c r="B13" s="454" t="s">
        <v>1154</v>
      </c>
      <c r="C13" s="20"/>
      <c r="D13" s="20"/>
      <c r="E13" s="20"/>
      <c r="F13" s="20"/>
      <c r="G13" s="20"/>
      <c r="H13" s="20"/>
      <c r="I13" s="20"/>
      <c r="J13" s="20"/>
      <c r="K13" s="20"/>
      <c r="L13" s="20"/>
      <c r="M13" s="20"/>
      <c r="N13" s="20"/>
      <c r="O13" s="8"/>
      <c r="P13" s="8"/>
    </row>
    <row r="14" spans="1:16">
      <c r="A14" s="8"/>
      <c r="B14" s="455" t="s">
        <v>1155</v>
      </c>
      <c r="C14" s="455"/>
      <c r="D14" s="455"/>
      <c r="E14" s="455"/>
      <c r="F14" s="455"/>
      <c r="G14" s="456"/>
      <c r="H14" s="456"/>
      <c r="I14" s="456"/>
      <c r="J14" s="456"/>
      <c r="K14" s="456"/>
      <c r="L14" s="456"/>
      <c r="M14" s="456"/>
      <c r="N14" s="456"/>
      <c r="O14" s="8"/>
      <c r="P14" s="8"/>
    </row>
    <row r="15" spans="1:16">
      <c r="A15" s="8"/>
      <c r="B15" s="457" t="s">
        <v>1156</v>
      </c>
      <c r="C15" s="457"/>
      <c r="D15" s="457"/>
      <c r="E15" s="457"/>
      <c r="F15" s="457"/>
      <c r="G15" s="458"/>
      <c r="H15" s="458"/>
      <c r="I15" s="458"/>
      <c r="J15" s="458"/>
      <c r="K15" s="458"/>
      <c r="L15" s="458"/>
      <c r="M15" s="458"/>
      <c r="N15" s="458"/>
      <c r="O15" s="8"/>
      <c r="P15" s="8"/>
    </row>
    <row r="16" spans="1:16">
      <c r="A16" s="8"/>
      <c r="B16" s="457" t="s">
        <v>1157</v>
      </c>
      <c r="C16" s="457"/>
      <c r="D16" s="457"/>
      <c r="E16" s="457"/>
      <c r="F16" s="457"/>
      <c r="G16" s="458"/>
      <c r="H16" s="458"/>
      <c r="I16" s="458"/>
      <c r="J16" s="458"/>
      <c r="K16" s="458"/>
      <c r="L16" s="458"/>
      <c r="M16" s="458"/>
      <c r="N16" s="458"/>
      <c r="O16" s="8"/>
      <c r="P16" s="8"/>
    </row>
    <row r="17" spans="1:16">
      <c r="A17" s="8"/>
      <c r="B17" s="457" t="s">
        <v>1158</v>
      </c>
      <c r="C17" s="457"/>
      <c r="D17" s="457"/>
      <c r="E17" s="457"/>
      <c r="F17" s="457"/>
      <c r="G17" s="458"/>
      <c r="H17" s="458"/>
      <c r="I17" s="458"/>
      <c r="J17" s="458"/>
      <c r="K17" s="458"/>
      <c r="L17" s="458"/>
      <c r="M17" s="458"/>
      <c r="N17" s="458"/>
      <c r="O17" s="8"/>
      <c r="P17" s="8"/>
    </row>
    <row r="18" spans="1:16">
      <c r="A18" s="8"/>
      <c r="B18" s="457" t="s">
        <v>1159</v>
      </c>
      <c r="C18" s="457"/>
      <c r="D18" s="457"/>
      <c r="E18" s="457"/>
      <c r="F18" s="457"/>
      <c r="G18" s="458"/>
      <c r="H18" s="458"/>
      <c r="I18" s="458"/>
      <c r="J18" s="458"/>
      <c r="K18" s="458"/>
      <c r="L18" s="458"/>
      <c r="M18" s="458"/>
      <c r="N18" s="458"/>
      <c r="O18" s="8"/>
      <c r="P18" s="8"/>
    </row>
    <row r="19" spans="1:16">
      <c r="A19" s="8"/>
      <c r="B19" s="457" t="s">
        <v>1160</v>
      </c>
      <c r="C19" s="457"/>
      <c r="D19" s="457"/>
      <c r="E19" s="457"/>
      <c r="F19" s="457"/>
      <c r="G19" s="458"/>
      <c r="H19" s="458"/>
      <c r="I19" s="458"/>
      <c r="J19" s="458"/>
      <c r="K19" s="458"/>
      <c r="L19" s="458"/>
      <c r="M19" s="458"/>
      <c r="N19" s="458"/>
      <c r="O19" s="8"/>
      <c r="P19" s="8"/>
    </row>
    <row r="20" spans="1:16">
      <c r="A20" s="8"/>
      <c r="B20" s="457" t="s">
        <v>1161</v>
      </c>
      <c r="C20" s="457"/>
      <c r="D20" s="457"/>
      <c r="E20" s="457"/>
      <c r="F20" s="457"/>
      <c r="G20" s="458"/>
      <c r="H20" s="458"/>
      <c r="I20" s="458"/>
      <c r="J20" s="458"/>
      <c r="K20" s="458"/>
      <c r="L20" s="458"/>
      <c r="M20" s="458"/>
      <c r="N20" s="458"/>
      <c r="O20" s="8"/>
      <c r="P20" s="8"/>
    </row>
    <row r="21" spans="1:16">
      <c r="A21" s="8"/>
      <c r="B21" s="457" t="s">
        <v>1162</v>
      </c>
      <c r="C21" s="457"/>
      <c r="D21" s="457"/>
      <c r="E21" s="457"/>
      <c r="F21" s="457"/>
      <c r="G21" s="458"/>
      <c r="H21" s="458"/>
      <c r="I21" s="458"/>
      <c r="J21" s="458"/>
      <c r="K21" s="458"/>
      <c r="L21" s="458"/>
      <c r="M21" s="458"/>
      <c r="N21" s="458"/>
      <c r="O21" s="8"/>
      <c r="P21" s="8"/>
    </row>
    <row r="22" spans="1:16">
      <c r="A22" s="8"/>
      <c r="B22" s="457" t="s">
        <v>1163</v>
      </c>
      <c r="C22" s="457"/>
      <c r="D22" s="457"/>
      <c r="E22" s="457"/>
      <c r="F22" s="457"/>
      <c r="G22" s="458"/>
      <c r="H22" s="458"/>
      <c r="I22" s="458"/>
      <c r="J22" s="458"/>
      <c r="K22" s="458"/>
      <c r="L22" s="458"/>
      <c r="M22" s="458"/>
      <c r="N22" s="458"/>
      <c r="O22" s="8"/>
      <c r="P22" s="8"/>
    </row>
    <row r="23" spans="1:16">
      <c r="A23" s="8"/>
      <c r="B23" s="457" t="s">
        <v>1164</v>
      </c>
      <c r="C23" s="457"/>
      <c r="D23" s="457"/>
      <c r="E23" s="457"/>
      <c r="F23" s="457"/>
      <c r="G23" s="458"/>
      <c r="H23" s="458"/>
      <c r="I23" s="458"/>
      <c r="J23" s="458"/>
      <c r="K23" s="458"/>
      <c r="L23" s="458"/>
      <c r="M23" s="458"/>
      <c r="N23" s="458"/>
      <c r="O23" s="8"/>
      <c r="P23" s="8"/>
    </row>
    <row r="24" spans="1:16">
      <c r="A24" s="8"/>
      <c r="B24" s="457" t="s">
        <v>1165</v>
      </c>
      <c r="C24" s="457"/>
      <c r="D24" s="457"/>
      <c r="E24" s="457"/>
      <c r="F24" s="457"/>
      <c r="G24" s="458"/>
      <c r="H24" s="458"/>
      <c r="I24" s="458"/>
      <c r="J24" s="458"/>
      <c r="K24" s="458"/>
      <c r="L24" s="458"/>
      <c r="M24" s="458"/>
      <c r="N24" s="458"/>
      <c r="O24" s="8"/>
      <c r="P24" s="8"/>
    </row>
    <row r="25" spans="1:16">
      <c r="A25" s="8"/>
      <c r="B25" s="457" t="s">
        <v>1166</v>
      </c>
      <c r="C25" s="457"/>
      <c r="D25" s="457"/>
      <c r="E25" s="457"/>
      <c r="F25" s="457"/>
      <c r="G25" s="458"/>
      <c r="H25" s="458"/>
      <c r="I25" s="458"/>
      <c r="J25" s="458"/>
      <c r="K25" s="458"/>
      <c r="L25" s="458"/>
      <c r="M25" s="458"/>
      <c r="N25" s="458"/>
      <c r="O25" s="8"/>
      <c r="P25" s="8"/>
    </row>
    <row r="26" spans="1:16">
      <c r="A26" s="8"/>
      <c r="B26" s="8"/>
      <c r="C26" s="8"/>
      <c r="D26" s="8"/>
      <c r="E26" s="8"/>
      <c r="F26" s="8"/>
      <c r="G26" s="8"/>
      <c r="H26" s="8"/>
      <c r="I26" s="8">
        <f>SUM(I14:I25)</f>
        <v>0</v>
      </c>
      <c r="J26" s="8">
        <f t="shared" ref="J26:N26" si="0">SUM(J14:J25)</f>
        <v>0</v>
      </c>
      <c r="K26" s="8">
        <f t="shared" si="0"/>
        <v>0</v>
      </c>
      <c r="L26" s="8">
        <f t="shared" si="0"/>
        <v>0</v>
      </c>
      <c r="M26" s="8">
        <f t="shared" si="0"/>
        <v>0</v>
      </c>
      <c r="N26" s="8">
        <f t="shared" si="0"/>
        <v>0</v>
      </c>
      <c r="O26" s="8"/>
      <c r="P26" s="8"/>
    </row>
    <row r="27" spans="1:16">
      <c r="A27" s="8"/>
      <c r="B27" s="8"/>
      <c r="C27" s="8"/>
      <c r="D27" s="8"/>
      <c r="E27" s="8"/>
      <c r="F27" s="8"/>
      <c r="G27" s="8"/>
      <c r="H27" s="8"/>
      <c r="I27" s="8"/>
      <c r="J27" s="8"/>
      <c r="K27" s="8"/>
      <c r="L27" s="8"/>
      <c r="M27" s="8"/>
      <c r="N27" s="8"/>
      <c r="O27" s="8"/>
      <c r="P27" s="8"/>
    </row>
    <row r="28" spans="1:16">
      <c r="A28" s="8"/>
      <c r="B28" s="454" t="s">
        <v>1167</v>
      </c>
      <c r="C28" s="20"/>
      <c r="D28" s="20"/>
      <c r="E28" s="20"/>
      <c r="F28" s="20"/>
      <c r="G28" s="20"/>
      <c r="H28" s="20"/>
      <c r="I28" s="20"/>
      <c r="J28" s="20"/>
      <c r="K28" s="20"/>
      <c r="L28" s="20"/>
      <c r="M28" s="20"/>
      <c r="N28" s="20"/>
      <c r="O28" s="8"/>
      <c r="P28" s="8"/>
    </row>
    <row r="29" spans="1:16">
      <c r="A29" s="8"/>
      <c r="B29" s="455" t="s">
        <v>1168</v>
      </c>
      <c r="C29" s="455"/>
      <c r="D29" s="455"/>
      <c r="E29" s="455"/>
      <c r="F29" s="455"/>
      <c r="G29" s="456"/>
      <c r="H29" s="456"/>
      <c r="I29" s="456"/>
      <c r="J29" s="456"/>
      <c r="K29" s="456"/>
      <c r="L29" s="456"/>
      <c r="M29" s="456"/>
      <c r="N29" s="456"/>
      <c r="O29" s="8"/>
      <c r="P29" s="8"/>
    </row>
    <row r="30" spans="1:16">
      <c r="A30" s="8"/>
      <c r="B30" s="457" t="s">
        <v>1169</v>
      </c>
      <c r="C30" s="457"/>
      <c r="D30" s="457"/>
      <c r="E30" s="457"/>
      <c r="F30" s="457"/>
      <c r="G30" s="458"/>
      <c r="H30" s="458"/>
      <c r="I30" s="458"/>
      <c r="J30" s="458"/>
      <c r="K30" s="458"/>
      <c r="L30" s="458"/>
      <c r="M30" s="458"/>
      <c r="N30" s="458"/>
      <c r="O30" s="8"/>
      <c r="P30" s="8"/>
    </row>
    <row r="31" spans="1:16">
      <c r="A31" s="8"/>
      <c r="B31" s="457" t="s">
        <v>1170</v>
      </c>
      <c r="C31" s="457"/>
      <c r="D31" s="457"/>
      <c r="E31" s="457"/>
      <c r="F31" s="457"/>
      <c r="G31" s="458"/>
      <c r="H31" s="458"/>
      <c r="I31" s="458"/>
      <c r="J31" s="458"/>
      <c r="K31" s="458"/>
      <c r="L31" s="458"/>
      <c r="M31" s="458"/>
      <c r="N31" s="458"/>
      <c r="O31" s="8"/>
      <c r="P31" s="8"/>
    </row>
    <row r="32" spans="1:16">
      <c r="A32" s="8"/>
      <c r="B32" s="457" t="s">
        <v>1171</v>
      </c>
      <c r="C32" s="457"/>
      <c r="D32" s="457"/>
      <c r="E32" s="457"/>
      <c r="F32" s="457"/>
      <c r="G32" s="458"/>
      <c r="H32" s="458"/>
      <c r="I32" s="458"/>
      <c r="J32" s="458"/>
      <c r="K32" s="458"/>
      <c r="L32" s="458"/>
      <c r="M32" s="458"/>
      <c r="N32" s="458"/>
      <c r="O32" s="8"/>
      <c r="P32" s="8"/>
    </row>
    <row r="33" spans="1:16">
      <c r="A33" s="8"/>
      <c r="B33" s="457" t="s">
        <v>1172</v>
      </c>
      <c r="C33" s="457"/>
      <c r="D33" s="457"/>
      <c r="E33" s="457"/>
      <c r="F33" s="457"/>
      <c r="G33" s="458"/>
      <c r="H33" s="458"/>
      <c r="I33" s="458"/>
      <c r="J33" s="458"/>
      <c r="K33" s="458"/>
      <c r="L33" s="458"/>
      <c r="M33" s="458"/>
      <c r="N33" s="458"/>
      <c r="O33" s="8"/>
      <c r="P33" s="8"/>
    </row>
    <row r="34" spans="1:16">
      <c r="A34" s="8"/>
      <c r="B34" s="459" t="s">
        <v>1173</v>
      </c>
      <c r="C34" s="457"/>
      <c r="D34" s="457"/>
      <c r="E34" s="457"/>
      <c r="F34" s="457"/>
      <c r="G34" s="458"/>
      <c r="H34" s="458"/>
      <c r="I34" s="458"/>
      <c r="J34" s="458"/>
      <c r="K34" s="458"/>
      <c r="L34" s="458"/>
      <c r="M34" s="458"/>
      <c r="N34" s="458"/>
      <c r="O34" s="8"/>
      <c r="P34" s="8"/>
    </row>
    <row r="35" spans="1:16">
      <c r="A35" s="8"/>
      <c r="B35" s="459" t="s">
        <v>1174</v>
      </c>
      <c r="C35" s="457"/>
      <c r="D35" s="457"/>
      <c r="E35" s="457"/>
      <c r="F35" s="457"/>
      <c r="G35" s="458"/>
      <c r="H35" s="458"/>
      <c r="I35" s="458"/>
      <c r="J35" s="458"/>
      <c r="K35" s="458"/>
      <c r="L35" s="458"/>
      <c r="M35" s="458"/>
      <c r="N35" s="458"/>
      <c r="O35" s="8"/>
      <c r="P35" s="8"/>
    </row>
    <row r="36" spans="1:16">
      <c r="A36" s="8"/>
      <c r="B36" s="459" t="s">
        <v>1175</v>
      </c>
      <c r="C36" s="457"/>
      <c r="D36" s="457"/>
      <c r="E36" s="457"/>
      <c r="F36" s="457"/>
      <c r="G36" s="458"/>
      <c r="H36" s="458"/>
      <c r="I36" s="458"/>
      <c r="J36" s="458"/>
      <c r="K36" s="458"/>
      <c r="L36" s="458"/>
      <c r="M36" s="458"/>
      <c r="N36" s="458"/>
      <c r="O36" s="8"/>
      <c r="P36" s="8"/>
    </row>
    <row r="37" spans="1:16">
      <c r="A37" s="8"/>
      <c r="B37" s="459" t="s">
        <v>1176</v>
      </c>
      <c r="C37" s="457"/>
      <c r="D37" s="457"/>
      <c r="E37" s="457"/>
      <c r="F37" s="457"/>
      <c r="G37" s="458"/>
      <c r="H37" s="458"/>
      <c r="I37" s="458"/>
      <c r="J37" s="458"/>
      <c r="K37" s="458"/>
      <c r="L37" s="458"/>
      <c r="M37" s="458"/>
      <c r="N37" s="458"/>
      <c r="O37" s="8"/>
      <c r="P37" s="8"/>
    </row>
    <row r="38" spans="1:16">
      <c r="A38" s="8"/>
      <c r="B38" s="459" t="s">
        <v>1177</v>
      </c>
      <c r="C38" s="457"/>
      <c r="D38" s="457"/>
      <c r="E38" s="457"/>
      <c r="F38" s="457"/>
      <c r="G38" s="458"/>
      <c r="H38" s="458"/>
      <c r="I38" s="458"/>
      <c r="J38" s="458"/>
      <c r="K38" s="458"/>
      <c r="L38" s="458"/>
      <c r="M38" s="458"/>
      <c r="N38" s="458"/>
      <c r="O38" s="8"/>
      <c r="P38" s="8"/>
    </row>
    <row r="39" spans="1:16">
      <c r="A39" s="8"/>
      <c r="B39" s="8"/>
      <c r="C39" s="8"/>
      <c r="D39" s="8"/>
      <c r="E39" s="8"/>
      <c r="F39" s="8"/>
      <c r="G39" s="8"/>
      <c r="H39" s="8"/>
      <c r="I39" s="8">
        <f>SUM(I29:I38)</f>
        <v>0</v>
      </c>
      <c r="J39" s="8">
        <f t="shared" ref="J39:N39" si="1">SUM(J29:J38)</f>
        <v>0</v>
      </c>
      <c r="K39" s="8">
        <f t="shared" si="1"/>
        <v>0</v>
      </c>
      <c r="L39" s="8">
        <f t="shared" si="1"/>
        <v>0</v>
      </c>
      <c r="M39" s="8">
        <f t="shared" si="1"/>
        <v>0</v>
      </c>
      <c r="N39" s="8">
        <f t="shared" si="1"/>
        <v>0</v>
      </c>
      <c r="O39" s="8"/>
      <c r="P39" s="8"/>
    </row>
    <row r="40" spans="1:16">
      <c r="A40" s="8"/>
      <c r="B40" s="8"/>
      <c r="C40" s="8"/>
      <c r="D40" s="8"/>
      <c r="E40" s="8"/>
      <c r="F40" s="8"/>
      <c r="G40" s="8"/>
      <c r="H40" s="8"/>
      <c r="I40" s="8"/>
      <c r="J40" s="8"/>
      <c r="K40" s="8"/>
      <c r="L40" s="8"/>
      <c r="M40" s="8"/>
      <c r="N40" s="8"/>
      <c r="O40" s="8"/>
      <c r="P40" s="8"/>
    </row>
    <row r="41" spans="1:16">
      <c r="A41" s="8"/>
      <c r="B41" s="8" t="s">
        <v>1178</v>
      </c>
      <c r="C41" s="8"/>
      <c r="D41" s="8"/>
      <c r="E41" s="8"/>
      <c r="F41" s="8"/>
      <c r="G41" s="8"/>
      <c r="H41" s="8"/>
      <c r="I41" s="8"/>
      <c r="J41" s="8"/>
      <c r="K41" s="8"/>
      <c r="L41" s="8"/>
      <c r="M41" s="8"/>
      <c r="N41" s="8"/>
      <c r="O41" s="8"/>
      <c r="P41" s="8"/>
    </row>
    <row r="42" spans="1:16">
      <c r="A42" s="8"/>
      <c r="B42" s="8" t="s">
        <v>1179</v>
      </c>
      <c r="C42" s="8"/>
      <c r="D42" s="8"/>
      <c r="E42" s="8"/>
      <c r="F42" s="8"/>
      <c r="G42" s="8"/>
      <c r="H42" s="8"/>
      <c r="I42" s="8"/>
      <c r="J42" s="8"/>
      <c r="K42" s="8"/>
      <c r="L42" s="8"/>
      <c r="M42" s="8"/>
      <c r="N42" s="8"/>
      <c r="O42" s="8"/>
      <c r="P42" s="8"/>
    </row>
    <row r="43" spans="1:16">
      <c r="A43" s="8"/>
      <c r="B43" s="8" t="s">
        <v>1180</v>
      </c>
      <c r="C43" s="8"/>
      <c r="D43" s="8"/>
      <c r="E43" s="8"/>
      <c r="F43" s="8"/>
      <c r="G43" s="8"/>
      <c r="H43" s="8"/>
      <c r="I43" s="8"/>
      <c r="J43" s="8"/>
      <c r="K43" s="8"/>
      <c r="L43" s="8"/>
      <c r="M43" s="8"/>
      <c r="N43" s="8"/>
      <c r="O43" s="8"/>
      <c r="P43" s="8"/>
    </row>
    <row r="44" spans="1:16">
      <c r="A44" s="8"/>
      <c r="B44" s="8"/>
      <c r="C44" s="8"/>
      <c r="D44" s="8"/>
      <c r="E44" s="8"/>
      <c r="F44" s="8"/>
      <c r="G44" s="8"/>
      <c r="H44" s="8"/>
      <c r="I44" s="8"/>
      <c r="J44" s="8"/>
      <c r="K44" s="8"/>
      <c r="L44" s="8"/>
      <c r="M44" s="8"/>
      <c r="N44" s="8"/>
      <c r="O44" s="8"/>
      <c r="P44" s="8"/>
    </row>
    <row r="45" spans="1:16">
      <c r="A45" s="8"/>
      <c r="B45" s="8"/>
      <c r="C45" s="8"/>
      <c r="D45" s="8"/>
      <c r="E45" s="8"/>
      <c r="F45" s="8"/>
      <c r="G45" s="8"/>
      <c r="H45" s="8"/>
      <c r="I45" s="8"/>
      <c r="J45" s="8"/>
      <c r="K45" s="8"/>
      <c r="L45" s="8"/>
      <c r="M45" s="8"/>
      <c r="N45" s="8"/>
      <c r="O45" s="8"/>
      <c r="P45" s="8"/>
    </row>
    <row r="46" spans="1:16">
      <c r="A46" s="8"/>
      <c r="B46" s="8"/>
      <c r="C46" s="8"/>
      <c r="D46" s="8"/>
      <c r="E46" s="8"/>
      <c r="F46" s="8"/>
      <c r="G46" s="8"/>
      <c r="H46" s="8"/>
      <c r="I46" s="8"/>
      <c r="J46" s="8"/>
      <c r="K46" s="8"/>
      <c r="L46" s="8"/>
      <c r="M46" s="8"/>
      <c r="N46" s="8"/>
      <c r="O46" s="8"/>
      <c r="P46" s="8"/>
    </row>
    <row r="47" spans="1:16">
      <c r="A47" s="8"/>
      <c r="B47" s="8"/>
      <c r="C47" s="8"/>
      <c r="D47" s="8"/>
      <c r="E47" s="8"/>
      <c r="F47" s="8"/>
      <c r="G47" s="8"/>
      <c r="H47" s="8"/>
      <c r="I47" s="8"/>
      <c r="J47" s="8"/>
      <c r="K47" s="8"/>
      <c r="L47" s="8"/>
      <c r="M47" s="8"/>
      <c r="N47" s="8"/>
      <c r="O47" s="8"/>
      <c r="P47" s="8"/>
    </row>
    <row r="48" spans="1:16">
      <c r="A48" s="8"/>
      <c r="B48" s="8"/>
      <c r="C48" s="8"/>
      <c r="D48" s="8"/>
      <c r="E48" s="8"/>
      <c r="F48" s="8"/>
      <c r="G48" s="8"/>
      <c r="H48" s="8"/>
      <c r="I48" s="8"/>
      <c r="J48" s="8"/>
      <c r="K48" s="8"/>
      <c r="L48" s="8"/>
      <c r="M48" s="8"/>
      <c r="N48" s="8"/>
      <c r="O48" s="8"/>
      <c r="P48" s="8"/>
    </row>
    <row r="49" spans="1:16">
      <c r="A49" s="8"/>
      <c r="B49" s="8"/>
      <c r="C49" s="8"/>
      <c r="D49" s="8"/>
      <c r="E49" s="8"/>
      <c r="F49" s="8"/>
      <c r="G49" s="8"/>
      <c r="H49" s="8"/>
      <c r="I49" s="8"/>
      <c r="J49" s="8"/>
      <c r="K49" s="8"/>
      <c r="L49" s="8"/>
      <c r="M49" s="8"/>
      <c r="N49" s="8"/>
      <c r="O49" s="8"/>
      <c r="P49" s="8"/>
    </row>
    <row r="50" spans="1:16">
      <c r="A50" s="8"/>
      <c r="B50" s="8"/>
      <c r="C50" s="8"/>
      <c r="D50" s="8"/>
      <c r="E50" s="8"/>
      <c r="F50" s="8"/>
      <c r="G50" s="8"/>
      <c r="H50" s="8"/>
      <c r="I50" s="8"/>
      <c r="J50" s="8"/>
      <c r="K50" s="8"/>
      <c r="L50" s="8"/>
      <c r="M50" s="8"/>
      <c r="N50" s="8"/>
      <c r="O50" s="8"/>
      <c r="P50" s="8"/>
    </row>
    <row r="51" spans="1:16">
      <c r="A51" s="8"/>
      <c r="B51" s="8"/>
      <c r="C51" s="8"/>
      <c r="D51" s="8"/>
      <c r="E51" s="8"/>
      <c r="F51" s="8"/>
      <c r="G51" s="8"/>
      <c r="H51" s="8"/>
      <c r="I51" s="8"/>
      <c r="J51" s="8"/>
      <c r="K51" s="8"/>
      <c r="L51" s="8"/>
      <c r="M51" s="8"/>
      <c r="N51" s="8"/>
      <c r="O51" s="8"/>
      <c r="P51" s="8"/>
    </row>
    <row r="52" spans="1:16">
      <c r="A52" s="8"/>
      <c r="B52" s="8"/>
      <c r="C52" s="8"/>
      <c r="D52" s="8"/>
      <c r="E52" s="8"/>
      <c r="F52" s="8"/>
      <c r="G52" s="8"/>
      <c r="H52" s="8"/>
      <c r="I52" s="8"/>
      <c r="J52" s="8"/>
      <c r="K52" s="8"/>
      <c r="L52" s="8"/>
      <c r="M52" s="8"/>
      <c r="N52" s="8"/>
      <c r="O52" s="8"/>
      <c r="P52" s="8"/>
    </row>
    <row r="53" spans="1:16">
      <c r="A53" s="8"/>
      <c r="B53" s="8"/>
      <c r="C53" s="8"/>
      <c r="D53" s="8"/>
      <c r="E53" s="8"/>
      <c r="F53" s="8"/>
      <c r="G53" s="8"/>
      <c r="H53" s="8"/>
      <c r="I53" s="8"/>
      <c r="J53" s="8"/>
      <c r="K53" s="8"/>
      <c r="L53" s="8"/>
      <c r="M53" s="8"/>
      <c r="N53" s="8"/>
      <c r="O53" s="8"/>
      <c r="P53" s="8"/>
    </row>
    <row r="54" spans="1:16">
      <c r="A54" s="8"/>
      <c r="B54" s="8"/>
      <c r="C54" s="8"/>
      <c r="D54" s="8"/>
      <c r="E54" s="8"/>
      <c r="F54" s="8"/>
      <c r="G54" s="8"/>
      <c r="H54" s="8"/>
      <c r="I54" s="8"/>
      <c r="J54" s="8"/>
      <c r="K54" s="8"/>
      <c r="L54" s="8"/>
      <c r="M54" s="8"/>
      <c r="N54" s="8"/>
      <c r="O54" s="8"/>
      <c r="P54" s="8"/>
    </row>
    <row r="55" spans="1:16">
      <c r="A55" s="8"/>
      <c r="B55" s="8"/>
      <c r="C55" s="8"/>
      <c r="D55" s="8"/>
      <c r="E55" s="8"/>
      <c r="F55" s="8"/>
      <c r="G55" s="8"/>
      <c r="H55" s="8"/>
      <c r="I55" s="8"/>
      <c r="J55" s="8"/>
      <c r="K55" s="8"/>
      <c r="L55" s="8"/>
      <c r="M55" s="8"/>
      <c r="N55" s="8"/>
      <c r="O55" s="8"/>
      <c r="P55" s="8"/>
    </row>
    <row r="56" spans="1:16">
      <c r="A56" s="8"/>
      <c r="B56" s="8"/>
      <c r="C56" s="8"/>
      <c r="D56" s="8"/>
      <c r="E56" s="8"/>
      <c r="F56" s="8"/>
      <c r="G56" s="8"/>
      <c r="H56" s="8"/>
      <c r="I56" s="8"/>
      <c r="J56" s="8"/>
      <c r="K56" s="8"/>
      <c r="L56" s="8"/>
      <c r="M56" s="8"/>
      <c r="N56" s="8"/>
      <c r="O56" s="8"/>
      <c r="P56" s="8"/>
    </row>
    <row r="57" spans="1:16">
      <c r="A57" s="8"/>
      <c r="B57" s="8"/>
      <c r="C57" s="8"/>
      <c r="D57" s="8"/>
      <c r="E57" s="8"/>
      <c r="F57" s="8"/>
      <c r="G57" s="8"/>
      <c r="H57" s="8"/>
      <c r="I57" s="8"/>
      <c r="J57" s="8"/>
      <c r="K57" s="8"/>
      <c r="L57" s="8"/>
      <c r="M57" s="8"/>
      <c r="N57" s="8"/>
      <c r="O57" s="8"/>
      <c r="P57" s="8"/>
    </row>
    <row r="58" spans="1:16">
      <c r="A58" s="8"/>
      <c r="B58" s="8"/>
      <c r="C58" s="8"/>
      <c r="D58" s="8"/>
      <c r="E58" s="8"/>
      <c r="F58" s="8"/>
      <c r="G58" s="8"/>
      <c r="H58" s="8"/>
      <c r="I58" s="8"/>
      <c r="J58" s="8"/>
      <c r="K58" s="8"/>
      <c r="L58" s="8"/>
      <c r="M58" s="8"/>
      <c r="N58" s="8"/>
      <c r="O58" s="8"/>
      <c r="P58" s="8"/>
    </row>
    <row r="59" spans="1:16">
      <c r="A59" s="8"/>
      <c r="B59" s="8"/>
      <c r="C59" s="8"/>
      <c r="D59" s="8"/>
      <c r="E59" s="8"/>
      <c r="F59" s="8"/>
      <c r="G59" s="8"/>
      <c r="H59" s="8"/>
      <c r="I59" s="8"/>
      <c r="J59" s="8"/>
      <c r="K59" s="8"/>
      <c r="L59" s="8"/>
      <c r="M59" s="8"/>
      <c r="N59" s="8"/>
      <c r="O59" s="8"/>
      <c r="P59" s="8"/>
    </row>
    <row r="60" spans="1:16">
      <c r="A60" s="8"/>
      <c r="B60" s="8"/>
      <c r="C60" s="8"/>
      <c r="D60" s="8"/>
      <c r="E60" s="8"/>
      <c r="F60" s="8"/>
      <c r="G60" s="8"/>
      <c r="H60" s="8"/>
      <c r="I60" s="8"/>
      <c r="J60" s="8"/>
      <c r="K60" s="8"/>
      <c r="L60" s="8"/>
      <c r="M60" s="8"/>
      <c r="N60" s="8"/>
      <c r="O60" s="8"/>
      <c r="P60" s="8"/>
    </row>
    <row r="61" spans="1:16">
      <c r="A61" s="8"/>
      <c r="B61" s="8"/>
      <c r="C61" s="8"/>
      <c r="D61" s="8"/>
      <c r="E61" s="8"/>
      <c r="F61" s="8"/>
      <c r="G61" s="8"/>
      <c r="H61" s="8"/>
      <c r="I61" s="8"/>
      <c r="J61" s="8"/>
      <c r="K61" s="8"/>
      <c r="L61" s="8"/>
      <c r="M61" s="8"/>
      <c r="N61" s="8"/>
      <c r="O61" s="8"/>
      <c r="P61" s="8"/>
    </row>
    <row r="62" spans="1:16">
      <c r="A62" s="8"/>
      <c r="B62" s="8"/>
      <c r="C62" s="8"/>
      <c r="D62" s="8"/>
      <c r="E62" s="8"/>
      <c r="F62" s="8"/>
      <c r="G62" s="8"/>
      <c r="H62" s="8"/>
      <c r="I62" s="8"/>
      <c r="J62" s="8"/>
      <c r="K62" s="8"/>
      <c r="L62" s="8"/>
      <c r="M62" s="8"/>
      <c r="N62" s="8"/>
      <c r="O62" s="8"/>
      <c r="P62" s="8"/>
    </row>
    <row r="63" spans="1:16">
      <c r="A63" s="8"/>
      <c r="B63" s="8"/>
      <c r="C63" s="8"/>
      <c r="D63" s="8"/>
      <c r="E63" s="8"/>
      <c r="F63" s="8"/>
      <c r="G63" s="8"/>
      <c r="H63" s="8"/>
      <c r="I63" s="8"/>
      <c r="J63" s="8"/>
      <c r="K63" s="8"/>
      <c r="L63" s="8"/>
      <c r="M63" s="8"/>
      <c r="N63" s="8"/>
      <c r="O63" s="8"/>
      <c r="P63" s="8"/>
    </row>
    <row r="64" spans="1:16">
      <c r="A64" s="8"/>
      <c r="B64" s="8"/>
      <c r="C64" s="8"/>
      <c r="D64" s="8"/>
      <c r="E64" s="8"/>
      <c r="F64" s="8"/>
      <c r="G64" s="8"/>
      <c r="H64" s="8"/>
      <c r="I64" s="8"/>
      <c r="J64" s="8"/>
      <c r="K64" s="8"/>
      <c r="L64" s="8"/>
      <c r="M64" s="8"/>
      <c r="N64" s="8"/>
      <c r="O64" s="8"/>
      <c r="P64" s="8"/>
    </row>
    <row r="65" spans="1:16">
      <c r="A65" s="8"/>
      <c r="B65" s="8"/>
      <c r="C65" s="8"/>
      <c r="D65" s="8"/>
      <c r="E65" s="8"/>
      <c r="F65" s="8"/>
      <c r="G65" s="8"/>
      <c r="H65" s="8"/>
      <c r="I65" s="8"/>
      <c r="J65" s="8"/>
      <c r="K65" s="8"/>
      <c r="L65" s="8"/>
      <c r="M65" s="8"/>
      <c r="N65" s="8"/>
      <c r="O65" s="8"/>
      <c r="P65" s="8"/>
    </row>
    <row r="66" spans="1:16">
      <c r="A66" s="8"/>
      <c r="B66" s="8"/>
      <c r="C66" s="8"/>
      <c r="D66" s="8"/>
      <c r="E66" s="8"/>
      <c r="F66" s="8"/>
      <c r="G66" s="8"/>
      <c r="H66" s="8"/>
      <c r="I66" s="8"/>
      <c r="J66" s="8"/>
      <c r="K66" s="8"/>
      <c r="L66" s="8"/>
      <c r="M66" s="8"/>
      <c r="N66" s="8"/>
      <c r="O66" s="8"/>
      <c r="P66" s="8"/>
    </row>
    <row r="67" spans="1:16">
      <c r="A67" s="8"/>
      <c r="B67" s="8"/>
      <c r="C67" s="8"/>
      <c r="D67" s="8"/>
      <c r="E67" s="8"/>
      <c r="F67" s="8"/>
      <c r="G67" s="8"/>
      <c r="H67" s="8"/>
      <c r="I67" s="8"/>
      <c r="J67" s="8"/>
      <c r="K67" s="8"/>
      <c r="L67" s="8"/>
      <c r="M67" s="8"/>
      <c r="N67" s="8"/>
      <c r="O67" s="8"/>
      <c r="P67" s="8"/>
    </row>
    <row r="68" spans="1:16">
      <c r="A68" s="8"/>
      <c r="B68" s="8"/>
      <c r="C68" s="8"/>
      <c r="D68" s="8"/>
      <c r="E68" s="8"/>
      <c r="F68" s="8"/>
      <c r="G68" s="8"/>
      <c r="H68" s="8"/>
      <c r="I68" s="8"/>
      <c r="J68" s="8"/>
      <c r="K68" s="8"/>
      <c r="L68" s="8"/>
      <c r="M68" s="8"/>
      <c r="N68" s="8"/>
      <c r="O68" s="8"/>
      <c r="P68" s="8"/>
    </row>
    <row r="69" spans="1:16">
      <c r="A69" s="8"/>
      <c r="B69" s="8"/>
      <c r="C69" s="8"/>
      <c r="D69" s="8"/>
      <c r="E69" s="8"/>
      <c r="F69" s="8"/>
      <c r="G69" s="8"/>
      <c r="H69" s="8"/>
      <c r="I69" s="8"/>
      <c r="J69" s="8"/>
      <c r="K69" s="8"/>
      <c r="L69" s="8"/>
      <c r="M69" s="8"/>
      <c r="N69" s="8"/>
      <c r="O69" s="8"/>
      <c r="P69" s="8"/>
    </row>
    <row r="70" spans="1:16">
      <c r="A70" s="8"/>
      <c r="B70" s="8"/>
      <c r="C70" s="8"/>
      <c r="D70" s="8"/>
      <c r="E70" s="8"/>
      <c r="F70" s="8"/>
      <c r="G70" s="8"/>
      <c r="H70" s="8"/>
      <c r="I70" s="8"/>
      <c r="J70" s="8"/>
      <c r="K70" s="8"/>
      <c r="L70" s="8"/>
      <c r="M70" s="8"/>
      <c r="N70" s="8"/>
      <c r="O70" s="8"/>
      <c r="P70" s="8"/>
    </row>
    <row r="71" spans="1:16">
      <c r="A71" s="8"/>
      <c r="B71" s="8"/>
      <c r="C71" s="8"/>
      <c r="D71" s="8"/>
      <c r="E71" s="8"/>
      <c r="F71" s="8"/>
      <c r="G71" s="8"/>
      <c r="H71" s="8"/>
      <c r="I71" s="8"/>
      <c r="J71" s="8"/>
      <c r="K71" s="8"/>
      <c r="L71" s="8"/>
      <c r="M71" s="8"/>
      <c r="N71" s="8"/>
      <c r="O71" s="8"/>
      <c r="P71" s="8"/>
    </row>
    <row r="72" spans="1:16">
      <c r="A72" s="8"/>
      <c r="B72" s="8"/>
      <c r="C72" s="8"/>
      <c r="D72" s="8"/>
      <c r="E72" s="8"/>
      <c r="F72" s="8"/>
      <c r="G72" s="8"/>
      <c r="H72" s="8"/>
      <c r="I72" s="8"/>
      <c r="J72" s="8"/>
      <c r="K72" s="8"/>
      <c r="L72" s="8"/>
      <c r="M72" s="8"/>
      <c r="N72" s="8"/>
      <c r="O72" s="8"/>
      <c r="P72" s="8"/>
    </row>
    <row r="73" spans="1:16">
      <c r="A73" s="8"/>
      <c r="B73" s="8"/>
      <c r="C73" s="8"/>
      <c r="D73" s="8"/>
      <c r="E73" s="8"/>
      <c r="F73" s="8"/>
      <c r="G73" s="8"/>
      <c r="H73" s="8"/>
      <c r="I73" s="8"/>
      <c r="J73" s="8"/>
      <c r="K73" s="8"/>
      <c r="L73" s="8"/>
      <c r="M73" s="8"/>
      <c r="N73" s="8"/>
      <c r="O73" s="8"/>
      <c r="P73" s="8"/>
    </row>
    <row r="74" spans="1:16">
      <c r="A74" s="8"/>
      <c r="B74" s="8"/>
      <c r="C74" s="8"/>
      <c r="D74" s="8"/>
      <c r="E74" s="8"/>
      <c r="F74" s="8"/>
      <c r="G74" s="8"/>
      <c r="H74" s="8"/>
      <c r="I74" s="8"/>
      <c r="J74" s="8"/>
      <c r="K74" s="8"/>
      <c r="L74" s="8"/>
      <c r="M74" s="8"/>
      <c r="N74" s="8"/>
      <c r="O74" s="8"/>
      <c r="P74" s="8"/>
    </row>
    <row r="75" spans="1:16">
      <c r="A75" s="8"/>
      <c r="B75" s="8"/>
      <c r="C75" s="8"/>
      <c r="D75" s="8"/>
      <c r="E75" s="8"/>
      <c r="F75" s="8"/>
      <c r="G75" s="8"/>
      <c r="H75" s="8"/>
      <c r="I75" s="8"/>
      <c r="J75" s="8"/>
      <c r="K75" s="8"/>
      <c r="L75" s="8"/>
      <c r="M75" s="8"/>
      <c r="N75" s="8"/>
      <c r="O75" s="8"/>
      <c r="P75" s="8"/>
    </row>
    <row r="76" spans="1:16">
      <c r="A76" s="8"/>
      <c r="B76" s="8"/>
      <c r="C76" s="8"/>
      <c r="D76" s="8"/>
      <c r="E76" s="8"/>
      <c r="F76" s="8"/>
      <c r="G76" s="8"/>
      <c r="H76" s="8"/>
      <c r="I76" s="8"/>
      <c r="J76" s="8"/>
      <c r="K76" s="8"/>
      <c r="L76" s="8"/>
      <c r="M76" s="8"/>
      <c r="N76" s="8"/>
      <c r="O76" s="8"/>
      <c r="P76" s="8"/>
    </row>
    <row r="77" spans="1:16">
      <c r="A77" s="8"/>
      <c r="B77" s="8"/>
      <c r="C77" s="8"/>
      <c r="D77" s="8"/>
      <c r="E77" s="8"/>
      <c r="F77" s="8"/>
      <c r="G77" s="8"/>
      <c r="H77" s="8"/>
      <c r="I77" s="8"/>
      <c r="J77" s="8"/>
      <c r="K77" s="8"/>
      <c r="L77" s="8"/>
      <c r="M77" s="8"/>
      <c r="N77" s="8"/>
      <c r="O77" s="8"/>
      <c r="P77" s="8"/>
    </row>
    <row r="78" spans="1:16">
      <c r="A78" s="8"/>
      <c r="B78" s="8"/>
      <c r="C78" s="8"/>
      <c r="D78" s="8"/>
      <c r="E78" s="8"/>
      <c r="F78" s="8"/>
      <c r="G78" s="8"/>
      <c r="H78" s="8"/>
      <c r="I78" s="8"/>
      <c r="J78" s="8"/>
      <c r="K78" s="8"/>
      <c r="L78" s="8"/>
      <c r="M78" s="8"/>
      <c r="N78" s="8"/>
      <c r="O78" s="8"/>
      <c r="P78" s="8"/>
    </row>
    <row r="79" spans="1:16">
      <c r="A79" s="8"/>
      <c r="B79" s="8"/>
      <c r="C79" s="8"/>
      <c r="D79" s="8"/>
      <c r="E79" s="8"/>
      <c r="F79" s="8"/>
      <c r="G79" s="8"/>
      <c r="H79" s="8"/>
      <c r="I79" s="8"/>
      <c r="J79" s="8"/>
      <c r="K79" s="8"/>
      <c r="L79" s="8"/>
      <c r="M79" s="8"/>
      <c r="N79" s="8"/>
      <c r="O79" s="8"/>
      <c r="P79" s="8"/>
    </row>
    <row r="80" spans="1:16">
      <c r="A80" s="8"/>
      <c r="B80" s="8"/>
      <c r="C80" s="8"/>
      <c r="D80" s="8"/>
      <c r="E80" s="8"/>
      <c r="F80" s="8"/>
      <c r="G80" s="8"/>
      <c r="H80" s="8"/>
      <c r="I80" s="8"/>
      <c r="J80" s="8"/>
      <c r="K80" s="8"/>
      <c r="L80" s="8"/>
      <c r="M80" s="8"/>
      <c r="N80" s="8"/>
      <c r="O80" s="8"/>
      <c r="P80" s="8"/>
    </row>
  </sheetData>
  <sheetProtection algorithmName="SHA-512" hashValue="8XvyUJnM3ieyeVroElcr6GEGBs7azE+hmgnaocjp9FeGHpNImXdkLwj8rfCPwFUbcWbV+2g0r/OjPYhbYdjUmQ==" saltValue="9mce5fHtGUNs9Fwmxh9wPg==" spinCount="100000" sheet="1" objects="1" scenarios="1"/>
  <mergeCells count="1">
    <mergeCell ref="G10:H10"/>
  </mergeCells>
  <conditionalFormatting sqref="M1">
    <cfRule type="expression" dxfId="1" priority="1" stopIfTrue="1">
      <formula>MOD(ROW(),2)=0</formula>
    </cfRule>
  </conditionalFormatting>
  <hyperlinks>
    <hyperlink ref="M1" location="HypLink1" display="HypLink1" xr:uid="{85CCFE78-A35E-43C6-A759-2216D742A8F0}"/>
  </hyperlinks>
  <pageMargins left="0.35" right="0.25" top="0.32" bottom="0.5" header="0.32" footer="0.3"/>
  <pageSetup orientation="portrait" r:id="rId1"/>
  <headerFooter alignWithMargins="0">
    <oddFooter>&amp;L&amp;7&amp;D  at &amp;T Mike 702.486.8879&amp;C&amp;7Page &amp;P of &amp;N&amp;R&amp;7&amp;F  &amp;A</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CF183-256C-4722-AF04-6B2DFBB26ACD}">
  <sheetPr codeName="Sheet22"/>
  <dimension ref="A1:P81"/>
  <sheetViews>
    <sheetView showGridLines="0" view="pageBreakPreview" zoomScale="85" zoomScaleNormal="115" zoomScaleSheetLayoutView="85" workbookViewId="0">
      <selection activeCell="F18" sqref="F18"/>
    </sheetView>
  </sheetViews>
  <sheetFormatPr defaultColWidth="8.77734375" defaultRowHeight="13.2"/>
  <cols>
    <col min="1" max="1" width="1.21875" style="7" customWidth="1"/>
    <col min="2" max="2" width="2.77734375" style="7" customWidth="1"/>
    <col min="3" max="5" width="8.77734375" style="7"/>
    <col min="6" max="6" width="9" style="7" bestFit="1" customWidth="1"/>
    <col min="7" max="7" width="9.77734375" style="7" bestFit="1" customWidth="1"/>
    <col min="8" max="8" width="9" style="7" bestFit="1" customWidth="1"/>
    <col min="9" max="11" width="9.77734375" style="7" bestFit="1" customWidth="1"/>
    <col min="12" max="13" width="1.77734375" style="7" customWidth="1"/>
    <col min="14" max="14" width="18.77734375" style="7" customWidth="1"/>
    <col min="15" max="15" width="22.21875" style="7" customWidth="1"/>
    <col min="16" max="16" width="16.21875" style="7" customWidth="1"/>
    <col min="17" max="16384" width="8.77734375" style="7"/>
  </cols>
  <sheetData>
    <row r="1" spans="1:14" ht="15.6">
      <c r="A1" s="417"/>
      <c r="B1" s="417"/>
      <c r="C1" s="417"/>
    </row>
    <row r="2" spans="1:14" ht="15.6">
      <c r="A2" s="30"/>
      <c r="B2" s="33"/>
      <c r="C2" s="33"/>
    </row>
    <row r="3" spans="1:14">
      <c r="A3" s="11" t="s">
        <v>799</v>
      </c>
    </row>
    <row r="4" spans="1:14">
      <c r="A4" s="10" t="s">
        <v>72</v>
      </c>
    </row>
    <row r="5" spans="1:14">
      <c r="A5" s="9" t="str">
        <f ca="1">CELL("filename")</f>
        <v>C:\Users\jewel\Documents\SNTHS\CHARTER APP FINAL\FINAL COMPILED\[SNTHS Budget Worksheet.xlsx]Summary</v>
      </c>
    </row>
    <row r="6" spans="1:14">
      <c r="A6" s="8"/>
      <c r="L6" s="8"/>
      <c r="M6" s="8"/>
      <c r="N6" s="8"/>
    </row>
    <row r="7" spans="1:14">
      <c r="A7" s="8"/>
      <c r="L7" s="8"/>
      <c r="M7" s="8"/>
      <c r="N7" s="8"/>
    </row>
    <row r="8" spans="1:14">
      <c r="A8" s="8"/>
      <c r="B8" s="28" t="s">
        <v>1297</v>
      </c>
      <c r="L8" s="8"/>
      <c r="M8" s="8"/>
      <c r="N8" s="8"/>
    </row>
    <row r="9" spans="1:14">
      <c r="A9" s="8"/>
      <c r="L9" s="8"/>
      <c r="M9" s="8"/>
      <c r="N9" s="8"/>
    </row>
    <row r="10" spans="1:14" ht="13.8">
      <c r="A10" s="8"/>
      <c r="F10" s="1825">
        <v>1</v>
      </c>
      <c r="G10" s="1815">
        <v>2</v>
      </c>
      <c r="H10" s="1815">
        <v>3</v>
      </c>
      <c r="I10" s="1815">
        <v>4</v>
      </c>
      <c r="J10" s="1815">
        <v>5</v>
      </c>
      <c r="K10" s="1816">
        <v>6</v>
      </c>
      <c r="L10" s="8"/>
      <c r="M10" s="8"/>
    </row>
    <row r="11" spans="1:14" ht="13.8">
      <c r="A11" s="8"/>
      <c r="B11" s="8"/>
      <c r="C11" s="8"/>
      <c r="D11" s="8"/>
      <c r="E11" s="8"/>
      <c r="F11" s="1826">
        <v>2022</v>
      </c>
      <c r="G11" s="1817">
        <v>2023</v>
      </c>
      <c r="H11" s="1817">
        <v>2024</v>
      </c>
      <c r="I11" s="1817">
        <v>2025</v>
      </c>
      <c r="J11" s="1817">
        <v>2026</v>
      </c>
      <c r="K11" s="1818">
        <v>2027</v>
      </c>
      <c r="L11" s="8"/>
      <c r="M11" s="8"/>
    </row>
    <row r="12" spans="1:14" ht="13.8">
      <c r="A12" s="8"/>
      <c r="B12" s="1822" t="s">
        <v>1295</v>
      </c>
      <c r="C12" s="8"/>
      <c r="D12" s="8"/>
      <c r="E12" s="8"/>
      <c r="F12" s="1827">
        <v>2023</v>
      </c>
      <c r="G12" s="1819">
        <v>2024</v>
      </c>
      <c r="H12" s="1819">
        <v>2025</v>
      </c>
      <c r="I12" s="1819">
        <v>2026</v>
      </c>
      <c r="J12" s="1819">
        <v>2027</v>
      </c>
      <c r="K12" s="1820">
        <v>2028</v>
      </c>
      <c r="L12" s="8"/>
      <c r="M12" s="8"/>
    </row>
    <row r="13" spans="1:14">
      <c r="A13" s="8"/>
      <c r="B13" s="7" t="s">
        <v>1299</v>
      </c>
      <c r="C13" s="8"/>
      <c r="D13" s="8"/>
      <c r="E13" s="8"/>
      <c r="F13" s="8">
        <v>10</v>
      </c>
      <c r="G13" s="8">
        <v>16</v>
      </c>
      <c r="H13" s="8">
        <v>20</v>
      </c>
      <c r="I13" s="8">
        <v>21</v>
      </c>
      <c r="J13" s="8">
        <v>21</v>
      </c>
      <c r="K13" s="8">
        <v>21</v>
      </c>
      <c r="L13" s="8"/>
      <c r="M13" s="8"/>
    </row>
    <row r="14" spans="1:14">
      <c r="A14" s="8"/>
      <c r="B14" s="7" t="s">
        <v>1298</v>
      </c>
      <c r="C14" s="8"/>
      <c r="D14" s="8"/>
      <c r="E14" s="8"/>
      <c r="F14" s="8">
        <v>10</v>
      </c>
      <c r="G14" s="8">
        <v>13</v>
      </c>
      <c r="H14" s="8">
        <v>18</v>
      </c>
      <c r="I14" s="8">
        <v>18</v>
      </c>
      <c r="J14" s="8">
        <f>+I14</f>
        <v>18</v>
      </c>
      <c r="K14" s="8">
        <f>+J14</f>
        <v>18</v>
      </c>
      <c r="L14" s="8"/>
      <c r="M14" s="8"/>
    </row>
    <row r="15" spans="1:14">
      <c r="A15" s="8"/>
      <c r="B15" s="8"/>
      <c r="C15" s="8" t="s">
        <v>1294</v>
      </c>
      <c r="D15" s="8"/>
      <c r="E15" s="1824">
        <v>40000</v>
      </c>
      <c r="F15" s="8">
        <f>+F13-F14</f>
        <v>0</v>
      </c>
      <c r="G15" s="8">
        <f t="shared" ref="G15:K15" si="0">+G13-G14</f>
        <v>3</v>
      </c>
      <c r="H15" s="8">
        <f t="shared" si="0"/>
        <v>2</v>
      </c>
      <c r="I15" s="8">
        <f t="shared" si="0"/>
        <v>3</v>
      </c>
      <c r="J15" s="8">
        <f t="shared" si="0"/>
        <v>3</v>
      </c>
      <c r="K15" s="8">
        <f t="shared" si="0"/>
        <v>3</v>
      </c>
      <c r="L15" s="8"/>
      <c r="M15" s="8"/>
      <c r="N15" s="8"/>
    </row>
    <row r="16" spans="1:14">
      <c r="A16" s="8"/>
      <c r="B16" s="8"/>
      <c r="C16" s="1823" t="s">
        <v>1296</v>
      </c>
      <c r="D16" s="8"/>
      <c r="E16" s="8"/>
      <c r="F16" s="1821">
        <f t="shared" ref="F16:K16" si="1">+F15*$E$15</f>
        <v>0</v>
      </c>
      <c r="G16" s="1821">
        <f t="shared" si="1"/>
        <v>120000</v>
      </c>
      <c r="H16" s="1821">
        <f t="shared" si="1"/>
        <v>80000</v>
      </c>
      <c r="I16" s="1821">
        <f t="shared" si="1"/>
        <v>120000</v>
      </c>
      <c r="J16" s="1821">
        <f t="shared" si="1"/>
        <v>120000</v>
      </c>
      <c r="K16" s="1821">
        <f t="shared" si="1"/>
        <v>120000</v>
      </c>
      <c r="L16" s="8"/>
      <c r="M16" s="8"/>
      <c r="N16" s="8"/>
    </row>
    <row r="17" spans="1:16">
      <c r="A17" s="8"/>
      <c r="B17" s="8"/>
      <c r="C17" s="8"/>
      <c r="D17" s="8"/>
      <c r="E17" s="8"/>
      <c r="F17" s="8"/>
      <c r="G17" s="8"/>
      <c r="H17" s="8"/>
      <c r="I17" s="8"/>
      <c r="J17" s="8"/>
      <c r="K17" s="8"/>
      <c r="L17" s="8"/>
      <c r="M17" s="8"/>
    </row>
    <row r="18" spans="1:16" ht="30">
      <c r="A18" s="8"/>
      <c r="B18" s="8"/>
      <c r="C18" s="8"/>
      <c r="D18" s="8"/>
      <c r="E18" s="8"/>
      <c r="F18" s="8"/>
      <c r="G18" s="8"/>
      <c r="H18" s="8"/>
      <c r="I18" s="8"/>
      <c r="J18" s="8"/>
      <c r="K18" s="8"/>
      <c r="L18" s="8"/>
      <c r="M18" s="8"/>
      <c r="N18" s="1828" t="s">
        <v>1300</v>
      </c>
      <c r="O18" s="1828" t="s">
        <v>1301</v>
      </c>
      <c r="P18" s="1828" t="s">
        <v>1302</v>
      </c>
    </row>
    <row r="19" spans="1:16" ht="15">
      <c r="A19" s="8"/>
      <c r="B19" s="8"/>
      <c r="C19" s="8"/>
      <c r="D19" s="8"/>
      <c r="E19" s="8"/>
      <c r="F19" s="8"/>
      <c r="G19" s="8"/>
      <c r="H19" s="8"/>
      <c r="I19" s="8"/>
      <c r="J19" s="8"/>
      <c r="K19" s="8"/>
      <c r="L19" s="8"/>
      <c r="M19" s="8"/>
      <c r="N19" s="1828" t="s">
        <v>272</v>
      </c>
      <c r="O19" s="1828" t="s">
        <v>1303</v>
      </c>
      <c r="P19" s="1828" t="s">
        <v>1304</v>
      </c>
    </row>
    <row r="20" spans="1:16" ht="30">
      <c r="A20" s="8"/>
      <c r="B20" s="8"/>
      <c r="C20" s="8"/>
      <c r="D20" s="8"/>
      <c r="E20" s="8"/>
      <c r="F20" s="8"/>
      <c r="G20" s="8"/>
      <c r="H20" s="8"/>
      <c r="I20" s="8"/>
      <c r="J20" s="8"/>
      <c r="K20" s="8"/>
      <c r="L20" s="8"/>
      <c r="M20" s="8"/>
      <c r="N20" s="1828" t="s">
        <v>128</v>
      </c>
      <c r="O20" s="1828" t="s">
        <v>1305</v>
      </c>
      <c r="P20" s="1828" t="s">
        <v>1306</v>
      </c>
    </row>
    <row r="21" spans="1:16" ht="15">
      <c r="A21" s="8"/>
      <c r="B21" s="8"/>
      <c r="C21" s="8"/>
      <c r="D21" s="8"/>
      <c r="E21" s="8"/>
      <c r="F21" s="8"/>
      <c r="G21" s="8"/>
      <c r="H21" s="8"/>
      <c r="I21" s="8"/>
      <c r="J21" s="8"/>
      <c r="K21" s="8"/>
      <c r="L21" s="8"/>
      <c r="M21" s="8"/>
      <c r="N21" s="1828" t="s">
        <v>1307</v>
      </c>
      <c r="O21" s="1828" t="s">
        <v>1308</v>
      </c>
      <c r="P21" s="1828" t="s">
        <v>1306</v>
      </c>
    </row>
    <row r="22" spans="1:16" ht="30">
      <c r="A22" s="8"/>
      <c r="B22" s="8"/>
      <c r="C22" s="8"/>
      <c r="D22" s="8"/>
      <c r="H22" s="8"/>
      <c r="I22" s="8"/>
      <c r="J22" s="8"/>
      <c r="K22" s="8"/>
      <c r="L22" s="8"/>
      <c r="M22" s="8"/>
      <c r="N22" s="1828" t="s">
        <v>1309</v>
      </c>
      <c r="O22" s="1828" t="s">
        <v>1310</v>
      </c>
      <c r="P22" s="1828" t="s">
        <v>1311</v>
      </c>
    </row>
    <row r="23" spans="1:16">
      <c r="A23" s="8"/>
      <c r="B23" s="8"/>
      <c r="C23" s="8"/>
      <c r="D23" s="8"/>
      <c r="H23" s="8"/>
      <c r="I23" s="8"/>
      <c r="J23" s="8"/>
      <c r="K23" s="8"/>
      <c r="L23" s="8"/>
      <c r="M23" s="8"/>
      <c r="N23" s="8"/>
    </row>
    <row r="24" spans="1:16">
      <c r="A24" s="8"/>
      <c r="B24" s="8"/>
      <c r="C24" s="8"/>
      <c r="D24" s="8"/>
      <c r="H24" s="8"/>
      <c r="I24" s="8"/>
      <c r="J24" s="8"/>
      <c r="K24" s="8"/>
      <c r="L24" s="8"/>
      <c r="M24" s="8"/>
      <c r="N24" s="8"/>
    </row>
    <row r="25" spans="1:16">
      <c r="A25" s="8"/>
      <c r="B25" s="8"/>
      <c r="C25" s="8"/>
      <c r="D25" s="8"/>
      <c r="H25" s="8"/>
      <c r="I25" s="8"/>
      <c r="J25" s="8"/>
      <c r="K25" s="8"/>
      <c r="L25" s="8"/>
      <c r="M25" s="8"/>
      <c r="N25" s="8"/>
    </row>
    <row r="26" spans="1:16">
      <c r="A26" s="8"/>
      <c r="B26" s="8"/>
      <c r="C26" s="8"/>
      <c r="D26" s="8"/>
      <c r="H26" s="8"/>
      <c r="I26" s="8"/>
      <c r="J26" s="8"/>
      <c r="K26" s="8"/>
      <c r="L26" s="8"/>
      <c r="M26" s="8"/>
      <c r="N26" s="8"/>
    </row>
    <row r="27" spans="1:16">
      <c r="A27" s="8"/>
      <c r="B27" s="8"/>
      <c r="C27" s="8"/>
      <c r="D27" s="8"/>
      <c r="E27" s="8"/>
      <c r="F27" s="8"/>
      <c r="G27" s="8"/>
      <c r="H27" s="8"/>
      <c r="I27" s="8"/>
      <c r="J27" s="8"/>
      <c r="K27" s="8"/>
      <c r="L27" s="8"/>
      <c r="M27" s="8"/>
      <c r="N27" s="8"/>
    </row>
    <row r="28" spans="1:16">
      <c r="A28" s="8"/>
      <c r="B28" s="8"/>
      <c r="C28" s="8"/>
      <c r="D28" s="8"/>
      <c r="E28" s="8"/>
      <c r="F28" s="8"/>
      <c r="G28" s="8"/>
      <c r="H28" s="8"/>
      <c r="I28" s="8"/>
      <c r="J28" s="8"/>
      <c r="K28" s="8"/>
      <c r="L28" s="8"/>
      <c r="M28" s="8"/>
      <c r="N28" s="8"/>
    </row>
    <row r="29" spans="1:16">
      <c r="A29" s="8"/>
      <c r="B29" s="8"/>
      <c r="C29" s="8"/>
      <c r="D29" s="8"/>
      <c r="E29" s="8"/>
      <c r="F29" s="8"/>
      <c r="G29" s="8"/>
      <c r="H29" s="8"/>
      <c r="I29" s="8"/>
      <c r="J29" s="8"/>
      <c r="K29" s="8"/>
      <c r="L29" s="8"/>
      <c r="M29" s="8"/>
      <c r="N29" s="8"/>
    </row>
    <row r="30" spans="1:16">
      <c r="A30" s="8"/>
      <c r="B30" s="8"/>
      <c r="C30" s="8"/>
      <c r="D30" s="8"/>
      <c r="E30" s="8"/>
      <c r="F30" s="8"/>
      <c r="G30" s="8"/>
      <c r="H30" s="8"/>
      <c r="I30" s="8"/>
      <c r="J30" s="8"/>
      <c r="K30" s="8"/>
      <c r="L30" s="8"/>
      <c r="M30" s="8"/>
      <c r="N30" s="8"/>
    </row>
    <row r="31" spans="1:16">
      <c r="A31" s="8"/>
      <c r="B31" s="8"/>
      <c r="C31" s="8"/>
      <c r="D31" s="8"/>
      <c r="E31" s="8"/>
      <c r="F31" s="8"/>
      <c r="G31" s="8"/>
      <c r="H31" s="8"/>
      <c r="I31" s="8"/>
      <c r="J31" s="8"/>
      <c r="K31" s="8"/>
      <c r="L31" s="8"/>
      <c r="M31" s="8"/>
      <c r="N31" s="8"/>
    </row>
    <row r="32" spans="1:16">
      <c r="A32" s="8"/>
      <c r="B32" s="8"/>
      <c r="C32" s="8"/>
      <c r="D32" s="8"/>
      <c r="E32" s="8"/>
      <c r="F32" s="8"/>
      <c r="G32" s="8"/>
      <c r="H32" s="8"/>
      <c r="I32" s="8"/>
      <c r="J32" s="8"/>
      <c r="K32" s="8"/>
      <c r="L32" s="8"/>
      <c r="M32" s="8"/>
      <c r="N32" s="8"/>
    </row>
    <row r="33" spans="1:14">
      <c r="A33" s="8"/>
      <c r="B33" s="8"/>
      <c r="C33" s="8"/>
      <c r="D33" s="8"/>
      <c r="E33" s="8"/>
      <c r="F33" s="8"/>
      <c r="G33" s="8"/>
      <c r="H33" s="8"/>
      <c r="I33" s="8"/>
      <c r="J33" s="8"/>
      <c r="K33" s="8"/>
      <c r="L33" s="8"/>
      <c r="M33" s="8"/>
      <c r="N33" s="8"/>
    </row>
    <row r="34" spans="1:14">
      <c r="A34" s="8"/>
      <c r="B34" s="8"/>
      <c r="C34" s="8"/>
      <c r="D34" s="8"/>
      <c r="E34" s="8"/>
      <c r="F34" s="8"/>
      <c r="G34" s="8"/>
      <c r="H34" s="8"/>
      <c r="I34" s="8"/>
      <c r="J34" s="8"/>
      <c r="K34" s="8"/>
      <c r="L34" s="8"/>
      <c r="M34" s="8"/>
      <c r="N34" s="8"/>
    </row>
    <row r="35" spans="1:14">
      <c r="A35" s="8"/>
      <c r="B35" s="8"/>
      <c r="C35" s="8"/>
      <c r="D35" s="8"/>
      <c r="E35" s="8"/>
      <c r="F35" s="8"/>
      <c r="G35" s="8"/>
      <c r="H35" s="8"/>
      <c r="I35" s="8"/>
      <c r="J35" s="8"/>
      <c r="K35" s="8"/>
      <c r="L35" s="8"/>
      <c r="M35" s="8"/>
      <c r="N35" s="8"/>
    </row>
    <row r="36" spans="1:14">
      <c r="A36" s="8"/>
      <c r="B36" s="8"/>
      <c r="C36" s="8"/>
      <c r="D36" s="8"/>
      <c r="E36" s="8"/>
      <c r="F36" s="8"/>
      <c r="G36" s="8"/>
      <c r="H36" s="8"/>
      <c r="I36" s="8"/>
      <c r="J36" s="8"/>
      <c r="K36" s="8"/>
      <c r="L36" s="8"/>
      <c r="M36" s="8"/>
      <c r="N36" s="8"/>
    </row>
    <row r="37" spans="1:14">
      <c r="A37" s="8"/>
      <c r="B37" s="8"/>
      <c r="C37" s="8"/>
      <c r="D37" s="8"/>
      <c r="E37" s="8"/>
      <c r="F37" s="8"/>
      <c r="G37" s="8"/>
      <c r="H37" s="8"/>
      <c r="I37" s="8"/>
      <c r="J37" s="8"/>
      <c r="K37" s="8"/>
      <c r="L37" s="8"/>
      <c r="M37" s="8"/>
      <c r="N37" s="8"/>
    </row>
    <row r="38" spans="1:14">
      <c r="A38" s="8"/>
      <c r="B38" s="8"/>
      <c r="C38" s="8"/>
      <c r="D38" s="8"/>
      <c r="E38" s="8"/>
      <c r="F38" s="8"/>
      <c r="G38" s="8"/>
      <c r="H38" s="8"/>
      <c r="I38" s="8"/>
      <c r="J38" s="8"/>
      <c r="K38" s="8"/>
      <c r="L38" s="8"/>
      <c r="M38" s="8"/>
      <c r="N38" s="8"/>
    </row>
    <row r="39" spans="1:14">
      <c r="A39" s="8"/>
      <c r="B39" s="8"/>
      <c r="C39" s="8"/>
      <c r="D39" s="8"/>
      <c r="E39" s="8"/>
      <c r="F39" s="8"/>
      <c r="G39" s="8"/>
      <c r="H39" s="8"/>
      <c r="I39" s="8"/>
      <c r="J39" s="8"/>
      <c r="K39" s="8"/>
      <c r="L39" s="8"/>
      <c r="M39" s="8"/>
      <c r="N39" s="8"/>
    </row>
    <row r="40" spans="1:14">
      <c r="A40" s="8"/>
      <c r="B40" s="8"/>
      <c r="C40" s="8"/>
      <c r="D40" s="8"/>
      <c r="E40" s="8"/>
      <c r="F40" s="8"/>
      <c r="G40" s="8"/>
      <c r="H40" s="8"/>
      <c r="I40" s="8"/>
      <c r="J40" s="8"/>
      <c r="K40" s="8"/>
      <c r="L40" s="8"/>
      <c r="M40" s="8"/>
      <c r="N40" s="8"/>
    </row>
    <row r="41" spans="1:14">
      <c r="A41" s="8"/>
      <c r="B41" s="8"/>
      <c r="C41" s="8"/>
      <c r="D41" s="8"/>
      <c r="E41" s="8"/>
      <c r="F41" s="8"/>
      <c r="G41" s="8"/>
      <c r="H41" s="8"/>
      <c r="I41" s="8"/>
      <c r="J41" s="8"/>
      <c r="K41" s="8"/>
      <c r="L41" s="8"/>
      <c r="M41" s="8"/>
      <c r="N41" s="8"/>
    </row>
    <row r="42" spans="1:14">
      <c r="A42" s="8"/>
      <c r="B42" s="8"/>
      <c r="C42" s="8"/>
      <c r="D42" s="8"/>
      <c r="E42" s="8"/>
      <c r="F42" s="8"/>
      <c r="G42" s="8"/>
      <c r="H42" s="8"/>
      <c r="I42" s="8"/>
      <c r="J42" s="8"/>
      <c r="K42" s="8"/>
      <c r="L42" s="8"/>
      <c r="M42" s="8"/>
      <c r="N42" s="8"/>
    </row>
    <row r="43" spans="1:14">
      <c r="A43" s="8"/>
      <c r="B43" s="8"/>
      <c r="C43" s="8"/>
      <c r="D43" s="8"/>
      <c r="E43" s="8"/>
      <c r="F43" s="8"/>
      <c r="G43" s="8"/>
      <c r="H43" s="8"/>
      <c r="I43" s="8"/>
      <c r="J43" s="8"/>
      <c r="K43" s="8"/>
      <c r="L43" s="8"/>
      <c r="M43" s="8"/>
      <c r="N43" s="8"/>
    </row>
    <row r="44" spans="1:14">
      <c r="A44" s="8"/>
      <c r="B44" s="8"/>
      <c r="C44" s="8"/>
      <c r="D44" s="8"/>
      <c r="E44" s="8"/>
      <c r="F44" s="8"/>
      <c r="G44" s="8"/>
      <c r="H44" s="8"/>
      <c r="I44" s="8"/>
      <c r="J44" s="8"/>
      <c r="K44" s="8"/>
      <c r="L44" s="8"/>
      <c r="M44" s="8"/>
      <c r="N44" s="8"/>
    </row>
    <row r="45" spans="1:14">
      <c r="A45" s="8"/>
      <c r="B45" s="8"/>
      <c r="C45" s="8"/>
      <c r="D45" s="8"/>
      <c r="E45" s="8"/>
      <c r="F45" s="8"/>
      <c r="G45" s="8"/>
      <c r="H45" s="8"/>
      <c r="I45" s="8"/>
      <c r="J45" s="8"/>
      <c r="K45" s="8"/>
      <c r="L45" s="8"/>
      <c r="M45" s="8"/>
      <c r="N45" s="8"/>
    </row>
    <row r="46" spans="1:14">
      <c r="A46" s="8"/>
      <c r="B46" s="8"/>
      <c r="C46" s="8"/>
      <c r="D46" s="8"/>
      <c r="E46" s="8"/>
      <c r="F46" s="8"/>
      <c r="G46" s="8"/>
      <c r="H46" s="8"/>
      <c r="I46" s="8"/>
      <c r="J46" s="8"/>
      <c r="K46" s="8"/>
      <c r="L46" s="8"/>
      <c r="M46" s="8"/>
      <c r="N46" s="8"/>
    </row>
    <row r="47" spans="1:14">
      <c r="A47" s="8"/>
      <c r="B47" s="8"/>
      <c r="C47" s="8"/>
      <c r="D47" s="8"/>
      <c r="E47" s="8"/>
      <c r="F47" s="8"/>
      <c r="G47" s="8"/>
      <c r="H47" s="8"/>
      <c r="I47" s="8"/>
      <c r="J47" s="8"/>
      <c r="K47" s="8"/>
      <c r="L47" s="8"/>
      <c r="M47" s="8"/>
      <c r="N47" s="8"/>
    </row>
    <row r="48" spans="1:14">
      <c r="A48" s="8"/>
      <c r="B48" s="8"/>
      <c r="C48" s="8"/>
      <c r="D48" s="8"/>
      <c r="E48" s="8"/>
      <c r="F48" s="8"/>
      <c r="G48" s="8"/>
      <c r="H48" s="8"/>
      <c r="I48" s="8"/>
      <c r="J48" s="8"/>
      <c r="K48" s="8"/>
      <c r="L48" s="8"/>
      <c r="M48" s="8"/>
      <c r="N48" s="8"/>
    </row>
    <row r="49" spans="1:14">
      <c r="A49" s="8"/>
      <c r="B49" s="8"/>
      <c r="C49" s="8"/>
      <c r="D49" s="8"/>
      <c r="E49" s="8"/>
      <c r="F49" s="8"/>
      <c r="G49" s="8"/>
      <c r="H49" s="8"/>
      <c r="I49" s="8"/>
      <c r="J49" s="8"/>
      <c r="K49" s="8"/>
      <c r="L49" s="8"/>
      <c r="M49" s="8"/>
      <c r="N49" s="8"/>
    </row>
    <row r="50" spans="1:14">
      <c r="A50" s="8"/>
      <c r="B50" s="8"/>
      <c r="C50" s="8"/>
      <c r="D50" s="8"/>
      <c r="E50" s="8"/>
      <c r="F50" s="8"/>
      <c r="G50" s="8"/>
      <c r="H50" s="8"/>
      <c r="I50" s="8"/>
      <c r="J50" s="8"/>
      <c r="K50" s="8"/>
      <c r="L50" s="8"/>
      <c r="M50" s="8"/>
      <c r="N50" s="8"/>
    </row>
    <row r="51" spans="1:14">
      <c r="A51" s="8"/>
      <c r="B51" s="8"/>
      <c r="C51" s="8"/>
      <c r="D51" s="8"/>
      <c r="E51" s="8"/>
      <c r="F51" s="8"/>
      <c r="G51" s="8"/>
      <c r="H51" s="8"/>
      <c r="I51" s="8"/>
      <c r="J51" s="8"/>
      <c r="K51" s="8"/>
      <c r="L51" s="8"/>
      <c r="M51" s="8"/>
      <c r="N51" s="8"/>
    </row>
    <row r="52" spans="1:14">
      <c r="A52" s="8"/>
      <c r="B52" s="8"/>
      <c r="C52" s="8"/>
      <c r="D52" s="8"/>
      <c r="E52" s="8"/>
      <c r="F52" s="8"/>
      <c r="G52" s="8"/>
      <c r="H52" s="8"/>
      <c r="I52" s="8"/>
      <c r="J52" s="8"/>
      <c r="K52" s="8"/>
      <c r="L52" s="8"/>
      <c r="M52" s="8"/>
      <c r="N52" s="8"/>
    </row>
    <row r="53" spans="1:14">
      <c r="A53" s="8"/>
      <c r="B53" s="8"/>
      <c r="C53" s="8"/>
      <c r="D53" s="8"/>
      <c r="E53" s="8"/>
      <c r="F53" s="8"/>
      <c r="G53" s="8"/>
      <c r="H53" s="8"/>
      <c r="I53" s="8"/>
      <c r="J53" s="8"/>
      <c r="K53" s="8"/>
      <c r="L53" s="8"/>
      <c r="M53" s="8"/>
      <c r="N53" s="8"/>
    </row>
    <row r="54" spans="1:14">
      <c r="A54" s="8"/>
      <c r="B54" s="8"/>
      <c r="C54" s="8"/>
      <c r="D54" s="8"/>
      <c r="E54" s="8"/>
      <c r="F54" s="8"/>
      <c r="G54" s="8"/>
      <c r="H54" s="8"/>
      <c r="I54" s="8"/>
      <c r="J54" s="8"/>
      <c r="K54" s="8"/>
      <c r="L54" s="8"/>
      <c r="M54" s="8"/>
      <c r="N54" s="8"/>
    </row>
    <row r="55" spans="1:14">
      <c r="A55" s="8"/>
      <c r="B55" s="8"/>
      <c r="C55" s="8"/>
      <c r="D55" s="8"/>
      <c r="E55" s="8"/>
      <c r="F55" s="8"/>
      <c r="G55" s="8"/>
      <c r="H55" s="8"/>
      <c r="I55" s="8"/>
      <c r="J55" s="8"/>
      <c r="K55" s="8"/>
      <c r="L55" s="8"/>
      <c r="M55" s="8"/>
      <c r="N55" s="8"/>
    </row>
    <row r="56" spans="1:14">
      <c r="A56" s="8"/>
      <c r="B56" s="8"/>
      <c r="C56" s="8"/>
      <c r="D56" s="8"/>
      <c r="E56" s="8"/>
      <c r="F56" s="8"/>
      <c r="G56" s="8"/>
      <c r="H56" s="8"/>
      <c r="I56" s="8"/>
      <c r="J56" s="8"/>
      <c r="K56" s="8"/>
      <c r="L56" s="8"/>
      <c r="M56" s="8"/>
      <c r="N56" s="8"/>
    </row>
    <row r="57" spans="1:14">
      <c r="A57" s="8"/>
      <c r="B57" s="8"/>
      <c r="C57" s="8"/>
      <c r="D57" s="8"/>
      <c r="E57" s="8"/>
      <c r="F57" s="8"/>
      <c r="G57" s="8"/>
      <c r="H57" s="8"/>
      <c r="I57" s="8"/>
      <c r="J57" s="8"/>
      <c r="K57" s="8"/>
      <c r="L57" s="8"/>
      <c r="M57" s="8"/>
      <c r="N57" s="8"/>
    </row>
    <row r="58" spans="1:14">
      <c r="A58" s="8"/>
      <c r="B58" s="8"/>
      <c r="C58" s="8"/>
      <c r="D58" s="8"/>
      <c r="E58" s="8"/>
      <c r="F58" s="8"/>
      <c r="G58" s="8"/>
      <c r="H58" s="8"/>
      <c r="I58" s="8"/>
      <c r="J58" s="8"/>
      <c r="K58" s="8"/>
      <c r="L58" s="8"/>
      <c r="M58" s="8"/>
      <c r="N58" s="8"/>
    </row>
    <row r="59" spans="1:14">
      <c r="A59" s="8"/>
      <c r="B59" s="8"/>
      <c r="C59" s="8"/>
      <c r="D59" s="8"/>
      <c r="E59" s="8"/>
      <c r="F59" s="8"/>
      <c r="G59" s="8"/>
      <c r="H59" s="8"/>
      <c r="I59" s="8"/>
      <c r="J59" s="8"/>
      <c r="K59" s="8"/>
      <c r="L59" s="8"/>
      <c r="M59" s="8"/>
      <c r="N59" s="8"/>
    </row>
    <row r="60" spans="1:14">
      <c r="A60" s="8"/>
      <c r="B60" s="8"/>
      <c r="C60" s="8"/>
      <c r="D60" s="8"/>
      <c r="E60" s="8"/>
      <c r="F60" s="8"/>
      <c r="G60" s="8"/>
      <c r="H60" s="8"/>
      <c r="I60" s="8"/>
      <c r="J60" s="8"/>
      <c r="K60" s="8"/>
      <c r="L60" s="8"/>
      <c r="M60" s="8"/>
      <c r="N60" s="8"/>
    </row>
    <row r="61" spans="1:14">
      <c r="A61" s="8"/>
      <c r="B61" s="8"/>
      <c r="C61" s="8"/>
      <c r="D61" s="8"/>
      <c r="E61" s="8"/>
      <c r="F61" s="8"/>
      <c r="G61" s="8"/>
      <c r="H61" s="8"/>
      <c r="I61" s="8"/>
      <c r="J61" s="8"/>
      <c r="K61" s="8"/>
      <c r="L61" s="8"/>
      <c r="M61" s="8"/>
      <c r="N61" s="8"/>
    </row>
    <row r="62" spans="1:14">
      <c r="A62" s="8"/>
      <c r="B62" s="8"/>
      <c r="C62" s="8"/>
      <c r="D62" s="8"/>
      <c r="E62" s="8"/>
      <c r="F62" s="8"/>
      <c r="G62" s="8"/>
      <c r="H62" s="8"/>
      <c r="I62" s="8"/>
      <c r="J62" s="8"/>
      <c r="K62" s="8"/>
      <c r="L62" s="8"/>
      <c r="M62" s="8"/>
      <c r="N62" s="8"/>
    </row>
    <row r="63" spans="1:14">
      <c r="A63" s="8"/>
      <c r="B63" s="8"/>
      <c r="C63" s="8"/>
      <c r="D63" s="8"/>
      <c r="E63" s="8"/>
      <c r="F63" s="8"/>
      <c r="G63" s="8"/>
      <c r="H63" s="8"/>
      <c r="I63" s="8"/>
      <c r="J63" s="8"/>
      <c r="K63" s="8"/>
      <c r="L63" s="8"/>
      <c r="M63" s="8"/>
      <c r="N63" s="8"/>
    </row>
    <row r="64" spans="1:14">
      <c r="A64" s="8"/>
      <c r="B64" s="8"/>
      <c r="C64" s="8"/>
      <c r="D64" s="8"/>
      <c r="E64" s="8"/>
      <c r="F64" s="8"/>
      <c r="G64" s="8"/>
      <c r="H64" s="8"/>
      <c r="I64" s="8"/>
      <c r="J64" s="8"/>
      <c r="K64" s="8"/>
      <c r="L64" s="8"/>
      <c r="M64" s="8"/>
      <c r="N64" s="8"/>
    </row>
    <row r="65" spans="1:14">
      <c r="A65" s="8"/>
      <c r="B65" s="8"/>
      <c r="C65" s="8"/>
      <c r="D65" s="8"/>
      <c r="E65" s="8"/>
      <c r="F65" s="8"/>
      <c r="G65" s="8"/>
      <c r="H65" s="8"/>
      <c r="I65" s="8"/>
      <c r="J65" s="8"/>
      <c r="K65" s="8"/>
      <c r="L65" s="8"/>
      <c r="M65" s="8"/>
      <c r="N65" s="8"/>
    </row>
    <row r="66" spans="1:14">
      <c r="A66" s="8"/>
      <c r="B66" s="8"/>
      <c r="C66" s="8"/>
      <c r="D66" s="8"/>
      <c r="E66" s="8"/>
      <c r="F66" s="8"/>
      <c r="G66" s="8"/>
      <c r="H66" s="8"/>
      <c r="I66" s="8"/>
      <c r="J66" s="8"/>
      <c r="K66" s="8"/>
      <c r="L66" s="8"/>
      <c r="M66" s="8"/>
      <c r="N66" s="8"/>
    </row>
    <row r="67" spans="1:14">
      <c r="A67" s="8"/>
      <c r="B67" s="8"/>
      <c r="C67" s="8"/>
      <c r="D67" s="8"/>
      <c r="E67" s="8"/>
      <c r="F67" s="8"/>
      <c r="G67" s="8"/>
      <c r="H67" s="8"/>
      <c r="I67" s="8"/>
      <c r="J67" s="8"/>
      <c r="K67" s="8"/>
      <c r="L67" s="8"/>
      <c r="M67" s="8"/>
      <c r="N67" s="8"/>
    </row>
    <row r="68" spans="1:14">
      <c r="A68" s="8"/>
      <c r="B68" s="8"/>
      <c r="C68" s="8"/>
      <c r="D68" s="8"/>
      <c r="E68" s="8"/>
      <c r="F68" s="8"/>
      <c r="G68" s="8"/>
      <c r="H68" s="8"/>
      <c r="I68" s="8"/>
      <c r="J68" s="8"/>
      <c r="K68" s="8"/>
      <c r="L68" s="8"/>
      <c r="M68" s="8"/>
      <c r="N68" s="8"/>
    </row>
    <row r="69" spans="1:14">
      <c r="A69" s="8"/>
      <c r="B69" s="8"/>
      <c r="C69" s="8"/>
      <c r="D69" s="8"/>
      <c r="E69" s="8"/>
      <c r="F69" s="8"/>
      <c r="G69" s="8"/>
      <c r="H69" s="8"/>
      <c r="I69" s="8"/>
      <c r="J69" s="8"/>
      <c r="K69" s="8"/>
      <c r="L69" s="8"/>
      <c r="M69" s="8"/>
      <c r="N69" s="8"/>
    </row>
    <row r="70" spans="1:14">
      <c r="A70" s="8"/>
      <c r="B70" s="8"/>
      <c r="C70" s="8"/>
      <c r="D70" s="8"/>
      <c r="E70" s="8"/>
      <c r="F70" s="8"/>
      <c r="G70" s="8"/>
      <c r="H70" s="8"/>
      <c r="I70" s="8"/>
      <c r="J70" s="8"/>
      <c r="K70" s="8"/>
      <c r="L70" s="8"/>
      <c r="M70" s="8"/>
      <c r="N70" s="8"/>
    </row>
    <row r="71" spans="1:14">
      <c r="A71" s="8"/>
      <c r="B71" s="8"/>
      <c r="C71" s="8"/>
      <c r="D71" s="8"/>
      <c r="E71" s="8"/>
      <c r="F71" s="8"/>
      <c r="G71" s="8"/>
      <c r="H71" s="8"/>
      <c r="I71" s="8"/>
      <c r="J71" s="8"/>
      <c r="K71" s="8"/>
      <c r="L71" s="8"/>
      <c r="M71" s="8"/>
      <c r="N71" s="8"/>
    </row>
    <row r="72" spans="1:14">
      <c r="A72" s="8"/>
      <c r="B72" s="8"/>
      <c r="C72" s="8"/>
      <c r="D72" s="8"/>
      <c r="E72" s="8"/>
      <c r="F72" s="8"/>
      <c r="G72" s="8"/>
      <c r="H72" s="8"/>
      <c r="I72" s="8"/>
      <c r="J72" s="8"/>
      <c r="K72" s="8"/>
      <c r="L72" s="8"/>
      <c r="M72" s="8"/>
      <c r="N72" s="8"/>
    </row>
    <row r="73" spans="1:14">
      <c r="A73" s="8"/>
      <c r="B73" s="8"/>
      <c r="C73" s="8"/>
      <c r="D73" s="8"/>
      <c r="E73" s="8"/>
      <c r="F73" s="8"/>
      <c r="G73" s="8"/>
      <c r="H73" s="8"/>
      <c r="I73" s="8"/>
      <c r="J73" s="8"/>
      <c r="K73" s="8"/>
      <c r="L73" s="8"/>
      <c r="M73" s="8"/>
      <c r="N73" s="8"/>
    </row>
    <row r="74" spans="1:14">
      <c r="A74" s="8"/>
      <c r="B74" s="8"/>
      <c r="C74" s="8"/>
      <c r="D74" s="8"/>
      <c r="E74" s="8"/>
      <c r="F74" s="8"/>
      <c r="G74" s="8"/>
      <c r="H74" s="8"/>
      <c r="I74" s="8"/>
      <c r="J74" s="8"/>
      <c r="K74" s="8"/>
      <c r="L74" s="8"/>
      <c r="M74" s="8"/>
      <c r="N74" s="8"/>
    </row>
    <row r="75" spans="1:14">
      <c r="A75" s="8"/>
      <c r="B75" s="8"/>
      <c r="C75" s="8"/>
      <c r="D75" s="8"/>
      <c r="E75" s="8"/>
      <c r="F75" s="8"/>
      <c r="G75" s="8"/>
      <c r="H75" s="8"/>
      <c r="I75" s="8"/>
      <c r="J75" s="8"/>
      <c r="K75" s="8"/>
      <c r="L75" s="8"/>
      <c r="M75" s="8"/>
      <c r="N75" s="8"/>
    </row>
    <row r="76" spans="1:14">
      <c r="A76" s="8"/>
      <c r="B76" s="8"/>
      <c r="C76" s="8"/>
      <c r="D76" s="8"/>
      <c r="E76" s="8"/>
      <c r="F76" s="8"/>
      <c r="G76" s="8"/>
      <c r="H76" s="8"/>
      <c r="I76" s="8"/>
      <c r="J76" s="8"/>
      <c r="K76" s="8"/>
      <c r="L76" s="8"/>
      <c r="M76" s="8"/>
      <c r="N76" s="8"/>
    </row>
    <row r="77" spans="1:14">
      <c r="A77" s="8"/>
      <c r="B77" s="8"/>
      <c r="C77" s="8"/>
      <c r="D77" s="8"/>
      <c r="E77" s="8"/>
      <c r="F77" s="8"/>
      <c r="G77" s="8"/>
      <c r="H77" s="8"/>
      <c r="I77" s="8"/>
      <c r="J77" s="8"/>
      <c r="K77" s="8"/>
      <c r="L77" s="8"/>
      <c r="M77" s="8"/>
      <c r="N77" s="8"/>
    </row>
    <row r="78" spans="1:14">
      <c r="A78" s="8"/>
      <c r="B78" s="8"/>
      <c r="C78" s="8"/>
      <c r="D78" s="8"/>
      <c r="E78" s="8"/>
      <c r="F78" s="8"/>
      <c r="G78" s="8"/>
      <c r="H78" s="8"/>
      <c r="I78" s="8"/>
      <c r="J78" s="8"/>
      <c r="K78" s="8"/>
      <c r="L78" s="8"/>
      <c r="M78" s="8"/>
      <c r="N78" s="8"/>
    </row>
    <row r="79" spans="1:14">
      <c r="A79" s="8"/>
      <c r="B79" s="8"/>
      <c r="C79" s="8"/>
      <c r="D79" s="8"/>
      <c r="E79" s="8"/>
      <c r="F79" s="8"/>
      <c r="G79" s="8"/>
      <c r="H79" s="8"/>
      <c r="I79" s="8"/>
      <c r="J79" s="8"/>
      <c r="K79" s="8"/>
      <c r="L79" s="8"/>
      <c r="M79" s="8"/>
      <c r="N79" s="8"/>
    </row>
    <row r="80" spans="1:14">
      <c r="A80" s="8"/>
      <c r="B80" s="8"/>
      <c r="C80" s="8"/>
      <c r="D80" s="8"/>
      <c r="E80" s="8"/>
      <c r="F80" s="8"/>
      <c r="G80" s="8"/>
      <c r="H80" s="8"/>
      <c r="I80" s="8"/>
      <c r="J80" s="8"/>
      <c r="K80" s="8"/>
      <c r="L80" s="8"/>
      <c r="M80" s="8"/>
      <c r="N80" s="8"/>
    </row>
    <row r="81" spans="1:14">
      <c r="A81" s="8"/>
      <c r="B81" s="8"/>
      <c r="C81" s="8"/>
      <c r="D81" s="8"/>
      <c r="E81" s="8"/>
      <c r="F81" s="8"/>
      <c r="G81" s="8"/>
      <c r="H81" s="8"/>
      <c r="I81" s="8"/>
      <c r="J81" s="8"/>
      <c r="K81" s="8"/>
      <c r="L81" s="8"/>
      <c r="M81" s="8"/>
      <c r="N81" s="8"/>
    </row>
  </sheetData>
  <sheetProtection algorithmName="SHA-512" hashValue="asJiNNimrVdTWq2iI0GRtu4bOYkp5EI0kWhJazxLWMtZEzgX8hWnwgSSdO67qrGgjZGhqWB5C60hijHf++EBug==" saltValue="lS7vt4INVetGFpeWXQzjuw=="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colBreaks count="1" manualBreakCount="1">
    <brk id="12" max="43"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EDEFC-9DA9-41D9-942D-EEC6CFBD05C9}">
  <sheetPr codeName="Sheet21">
    <tabColor theme="0" tint="-0.34998626667073579"/>
  </sheetPr>
  <dimension ref="A1:I39"/>
  <sheetViews>
    <sheetView workbookViewId="0"/>
  </sheetViews>
  <sheetFormatPr defaultRowHeight="14.4"/>
  <cols>
    <col min="1" max="1" width="27.77734375" customWidth="1"/>
    <col min="2" max="2" width="13.5546875" customWidth="1"/>
    <col min="3" max="3" width="11.5546875" bestFit="1" customWidth="1"/>
    <col min="4" max="9" width="14.44140625" bestFit="1" customWidth="1"/>
  </cols>
  <sheetData>
    <row r="1" spans="1:9" ht="15.6">
      <c r="A1" s="26" t="s">
        <v>1181</v>
      </c>
      <c r="I1" s="557" t="s">
        <v>2</v>
      </c>
    </row>
    <row r="2" spans="1:9" ht="15.6">
      <c r="A2" s="187" t="str">
        <f>SchoolName</f>
        <v>Southern Nevada Trades High School</v>
      </c>
    </row>
    <row r="3" spans="1:9">
      <c r="A3" s="502" t="s">
        <v>1</v>
      </c>
    </row>
    <row r="4" spans="1:9">
      <c r="A4" s="503" t="str">
        <f ca="1">CELL("filename")</f>
        <v>C:\Users\jewel\Documents\SNTHS\CHARTER APP FINAL\FINAL COMPILED\[SNTHS Budget Worksheet.xlsx]Summary</v>
      </c>
    </row>
    <row r="5" spans="1:9">
      <c r="A5" s="75"/>
      <c r="B5" s="75"/>
      <c r="C5" s="709"/>
      <c r="D5" s="139"/>
      <c r="E5" s="144"/>
      <c r="F5" s="144"/>
      <c r="G5" s="144"/>
      <c r="H5" s="144"/>
      <c r="I5" s="144"/>
    </row>
    <row r="6" spans="1:9">
      <c r="A6" s="40"/>
      <c r="B6" s="40"/>
      <c r="C6" s="963" t="str">
        <f>' Enrol &amp; Rev'!F9</f>
        <v>SY 0/Incu</v>
      </c>
      <c r="D6" s="1031">
        <f>' Enrol &amp; Rev'!G9</f>
        <v>1</v>
      </c>
      <c r="E6" s="1031">
        <f>' Enrol &amp; Rev'!H9</f>
        <v>2</v>
      </c>
      <c r="F6" s="1031">
        <f>' Enrol &amp; Rev'!I9</f>
        <v>3</v>
      </c>
      <c r="G6" s="1031">
        <f>' Enrol &amp; Rev'!J9</f>
        <v>4</v>
      </c>
      <c r="H6" s="1031">
        <f>' Enrol &amp; Rev'!K9</f>
        <v>5</v>
      </c>
      <c r="I6" s="1032">
        <f>' Enrol &amp; Rev'!L9</f>
        <v>6</v>
      </c>
    </row>
    <row r="7" spans="1:9" ht="15.6">
      <c r="A7" s="40"/>
      <c r="B7" s="40"/>
      <c r="C7" s="1033">
        <f>' Enrol &amp; Rev'!F10</f>
        <v>2022</v>
      </c>
      <c r="D7" s="1018">
        <f>' Enrol &amp; Rev'!G10</f>
        <v>2023</v>
      </c>
      <c r="E7" s="1019">
        <f>' Enrol &amp; Rev'!H10</f>
        <v>2024</v>
      </c>
      <c r="F7" s="1019">
        <f>' Enrol &amp; Rev'!I10</f>
        <v>2025</v>
      </c>
      <c r="G7" s="1019">
        <f>' Enrol &amp; Rev'!J10</f>
        <v>2026</v>
      </c>
      <c r="H7" s="1019">
        <f>' Enrol &amp; Rev'!K10</f>
        <v>2027</v>
      </c>
      <c r="I7" s="1020">
        <f>' Enrol &amp; Rev'!L10</f>
        <v>2028</v>
      </c>
    </row>
    <row r="8" spans="1:9" ht="15.6">
      <c r="A8" s="1635"/>
      <c r="B8" s="1636" t="s">
        <v>244</v>
      </c>
      <c r="C8" s="1034">
        <f>' Enrol &amp; Rev'!F11</f>
        <v>2023</v>
      </c>
      <c r="D8" s="1021">
        <f>' Enrol &amp; Rev'!G11</f>
        <v>2024</v>
      </c>
      <c r="E8" s="1022">
        <f>' Enrol &amp; Rev'!H11</f>
        <v>2025</v>
      </c>
      <c r="F8" s="1022">
        <f>' Enrol &amp; Rev'!I11</f>
        <v>2026</v>
      </c>
      <c r="G8" s="1022">
        <f>' Enrol &amp; Rev'!J11</f>
        <v>2027</v>
      </c>
      <c r="H8" s="1022">
        <f>' Enrol &amp; Rev'!K11</f>
        <v>2028</v>
      </c>
      <c r="I8" s="1023">
        <f>' Enrol &amp; Rev'!L11</f>
        <v>2029</v>
      </c>
    </row>
    <row r="9" spans="1:9">
      <c r="A9" t="s">
        <v>743</v>
      </c>
      <c r="B9" s="633">
        <f>SUM(C9:I9)</f>
        <v>2400</v>
      </c>
      <c r="C9" s="633" t="s">
        <v>1182</v>
      </c>
      <c r="D9" s="633">
        <f>' Enrol &amp; Rev'!G35</f>
        <v>200</v>
      </c>
      <c r="E9" s="633">
        <f>' Enrol &amp; Rev'!H35</f>
        <v>300</v>
      </c>
      <c r="F9" s="633">
        <f>' Enrol &amp; Rev'!I35</f>
        <v>400</v>
      </c>
      <c r="G9" s="633">
        <f>' Enrol &amp; Rev'!J35</f>
        <v>450</v>
      </c>
      <c r="H9" s="633">
        <f>' Enrol &amp; Rev'!K35</f>
        <v>500</v>
      </c>
      <c r="I9" s="633">
        <f>' Enrol &amp; Rev'!L35</f>
        <v>550</v>
      </c>
    </row>
    <row r="10" spans="1:9">
      <c r="A10" t="s">
        <v>406</v>
      </c>
      <c r="B10" s="672">
        <f>SUM(C10:I10)</f>
        <v>24771327.680398501</v>
      </c>
      <c r="C10" s="672">
        <f>' Enrol &amp; Rev'!F142</f>
        <v>397500</v>
      </c>
      <c r="D10" s="672">
        <f>' Enrol &amp; Rev'!G142</f>
        <v>1748937.5</v>
      </c>
      <c r="E10" s="672">
        <f>' Enrol &amp; Rev'!H142</f>
        <v>2985042.728962</v>
      </c>
      <c r="F10" s="672">
        <f>' Enrol &amp; Rev'!I142</f>
        <v>4043933.2184430007</v>
      </c>
      <c r="G10" s="672">
        <f>' Enrol &amp; Rev'!J142</f>
        <v>4669192.8329240009</v>
      </c>
      <c r="H10" s="672">
        <f>' Enrol &amp; Rev'!K142</f>
        <v>5198638.0776644992</v>
      </c>
      <c r="I10" s="672">
        <f>' Enrol &amp; Rev'!L142</f>
        <v>5728083.3224050002</v>
      </c>
    </row>
    <row r="11" spans="1:9">
      <c r="A11" t="s">
        <v>744</v>
      </c>
      <c r="B11" s="673">
        <f>IFERROR(B10/B9,0)</f>
        <v>10321.386533499375</v>
      </c>
      <c r="C11" s="673"/>
      <c r="D11" s="673">
        <f>IFERROR(D10/D9,0)</f>
        <v>8744.6875</v>
      </c>
      <c r="E11" s="673">
        <f t="shared" ref="E11:I11" si="0">IFERROR(E10/E9,0)</f>
        <v>9950.1424298733327</v>
      </c>
      <c r="F11" s="673">
        <f t="shared" si="0"/>
        <v>10109.833046107502</v>
      </c>
      <c r="G11" s="673">
        <f t="shared" si="0"/>
        <v>10375.984073164447</v>
      </c>
      <c r="H11" s="673">
        <f t="shared" si="0"/>
        <v>10397.276155328998</v>
      </c>
      <c r="I11" s="673">
        <f t="shared" si="0"/>
        <v>10414.696949827274</v>
      </c>
    </row>
    <row r="12" spans="1:9">
      <c r="A12" t="s">
        <v>1183</v>
      </c>
      <c r="B12" s="673">
        <f>SUM(C12:I12)</f>
        <v>13530970.846404864</v>
      </c>
      <c r="C12" s="672">
        <f>Staff!G42</f>
        <v>128778.6</v>
      </c>
      <c r="D12" s="672">
        <f>Staff!H42</f>
        <v>908420.65500000003</v>
      </c>
      <c r="E12" s="672">
        <f>Staff!I42</f>
        <v>1568197.26</v>
      </c>
      <c r="F12" s="672">
        <f>Staff!J42</f>
        <v>2358735.9863999998</v>
      </c>
      <c r="G12" s="672">
        <f>Staff!K42</f>
        <v>2619609.6139199999</v>
      </c>
      <c r="H12" s="672">
        <f>Staff!L42</f>
        <v>2969739.0419231998</v>
      </c>
      <c r="I12" s="672">
        <f>Staff!M42</f>
        <v>2977489.6891616639</v>
      </c>
    </row>
    <row r="13" spans="1:9">
      <c r="A13" t="s">
        <v>1184</v>
      </c>
      <c r="B13" s="673">
        <f>IFERROR(B12/B9,0)</f>
        <v>5637.9045193353595</v>
      </c>
      <c r="C13" s="673"/>
      <c r="D13" s="673">
        <f>IFERROR(D12/D9,0)</f>
        <v>4542.1032750000004</v>
      </c>
      <c r="E13" s="673">
        <f t="shared" ref="E13:I13" si="1">IFERROR(E12/E9,0)</f>
        <v>5227.3242</v>
      </c>
      <c r="F13" s="673">
        <f t="shared" si="1"/>
        <v>5896.8399659999995</v>
      </c>
      <c r="G13" s="673">
        <f t="shared" si="1"/>
        <v>5821.3546975999998</v>
      </c>
      <c r="H13" s="673">
        <f t="shared" si="1"/>
        <v>5939.4780838463994</v>
      </c>
      <c r="I13" s="673">
        <f t="shared" si="1"/>
        <v>5413.6176166575706</v>
      </c>
    </row>
    <row r="14" spans="1:9">
      <c r="A14" t="s">
        <v>414</v>
      </c>
      <c r="B14" s="673">
        <f>B10-B12</f>
        <v>11240356.833993638</v>
      </c>
      <c r="C14" s="673">
        <f t="shared" ref="C14:I14" si="2">C10-C12</f>
        <v>268721.40000000002</v>
      </c>
      <c r="D14" s="673">
        <f t="shared" si="2"/>
        <v>840516.84499999997</v>
      </c>
      <c r="E14" s="673">
        <f t="shared" si="2"/>
        <v>1416845.468962</v>
      </c>
      <c r="F14" s="673">
        <f t="shared" si="2"/>
        <v>1685197.2320430009</v>
      </c>
      <c r="G14" s="673">
        <f t="shared" si="2"/>
        <v>2049583.219004001</v>
      </c>
      <c r="H14" s="673">
        <f t="shared" si="2"/>
        <v>2228899.0357412994</v>
      </c>
      <c r="I14" s="673">
        <f t="shared" si="2"/>
        <v>2750593.6332433363</v>
      </c>
    </row>
    <row r="15" spans="1:9" ht="30" customHeight="1">
      <c r="A15" s="493" t="s">
        <v>1185</v>
      </c>
      <c r="B15" s="673">
        <f>IFERROR(B14/B9,0)</f>
        <v>4683.4820141640157</v>
      </c>
      <c r="C15" s="673"/>
      <c r="D15" s="673">
        <f>IFERROR(D14/D9,0)</f>
        <v>4202.5842249999996</v>
      </c>
      <c r="E15" s="673">
        <f t="shared" ref="E15:I15" si="3">IFERROR(E14/E9,0)</f>
        <v>4722.8182298733336</v>
      </c>
      <c r="F15" s="673">
        <f t="shared" si="3"/>
        <v>4212.9930801075025</v>
      </c>
      <c r="G15" s="673">
        <f t="shared" si="3"/>
        <v>4554.6293755644465</v>
      </c>
      <c r="H15" s="673">
        <f t="shared" si="3"/>
        <v>4457.798071482599</v>
      </c>
      <c r="I15" s="673">
        <f t="shared" si="3"/>
        <v>5001.0793331697023</v>
      </c>
    </row>
    <row r="16" spans="1:9">
      <c r="A16" t="s">
        <v>1186</v>
      </c>
      <c r="B16" s="673">
        <f>SUM(C16:I16)</f>
        <v>3679164.3631786946</v>
      </c>
      <c r="C16" s="672">
        <f>'Gen Optg'!F196</f>
        <v>243721</v>
      </c>
      <c r="D16" s="672">
        <f>'Gen Optg'!G196</f>
        <v>300270.75</v>
      </c>
      <c r="E16" s="672">
        <f>'Gen Optg'!H196</f>
        <v>418962.63324999996</v>
      </c>
      <c r="F16" s="672">
        <f>'Gen Optg'!I196</f>
        <v>552342.43235769996</v>
      </c>
      <c r="G16" s="672">
        <f>'Gen Optg'!J196</f>
        <v>633630.27429965709</v>
      </c>
      <c r="H16" s="672">
        <f>'Gen Optg'!K196</f>
        <v>719880.83985485905</v>
      </c>
      <c r="I16" s="672">
        <f>'Gen Optg'!L196</f>
        <v>810356.43341647834</v>
      </c>
    </row>
    <row r="17" spans="1:9">
      <c r="A17" t="s">
        <v>1187</v>
      </c>
      <c r="B17" s="673">
        <f>IFERROR(B16/B9,0)</f>
        <v>1532.9851513244562</v>
      </c>
      <c r="C17" s="673"/>
      <c r="D17" s="673">
        <f>IFERROR(D16/D9,0)</f>
        <v>1501.35375</v>
      </c>
      <c r="E17" s="673">
        <f t="shared" ref="E17:I17" si="4">IFERROR(E16/E9,0)</f>
        <v>1396.5421108333333</v>
      </c>
      <c r="F17" s="673">
        <f t="shared" si="4"/>
        <v>1380.85608089425</v>
      </c>
      <c r="G17" s="673">
        <f t="shared" si="4"/>
        <v>1408.0672762214601</v>
      </c>
      <c r="H17" s="673">
        <f t="shared" si="4"/>
        <v>1439.761679709718</v>
      </c>
      <c r="I17" s="673">
        <f t="shared" si="4"/>
        <v>1473.375333484506</v>
      </c>
    </row>
    <row r="18" spans="1:9">
      <c r="A18" t="s">
        <v>530</v>
      </c>
      <c r="B18" s="673">
        <f>B10-B16</f>
        <v>21092163.317219809</v>
      </c>
      <c r="C18" s="673">
        <f t="shared" ref="C18:I18" si="5">C10-C16</f>
        <v>153779</v>
      </c>
      <c r="D18" s="673">
        <f t="shared" si="5"/>
        <v>1448666.75</v>
      </c>
      <c r="E18" s="673">
        <f t="shared" si="5"/>
        <v>2566080.095712</v>
      </c>
      <c r="F18" s="673">
        <f t="shared" si="5"/>
        <v>3491590.7860853006</v>
      </c>
      <c r="G18" s="673">
        <f t="shared" si="5"/>
        <v>4035562.5586243439</v>
      </c>
      <c r="H18" s="673">
        <f t="shared" si="5"/>
        <v>4478757.2378096404</v>
      </c>
      <c r="I18" s="673">
        <f t="shared" si="5"/>
        <v>4917726.8889885219</v>
      </c>
    </row>
    <row r="19" spans="1:9" ht="31.5" customHeight="1">
      <c r="A19" s="2" t="s">
        <v>531</v>
      </c>
      <c r="B19" s="673">
        <f>IFERROR(B18/B9,0)</f>
        <v>8788.4013821749195</v>
      </c>
      <c r="C19" s="673"/>
      <c r="D19" s="673">
        <f>IFERROR(D18/D9,0)</f>
        <v>7243.3337499999998</v>
      </c>
      <c r="E19" s="673">
        <f t="shared" ref="E19:I19" si="6">IFERROR(E18/E9,0)</f>
        <v>8553.6003190400006</v>
      </c>
      <c r="F19" s="673">
        <f t="shared" si="6"/>
        <v>8728.9769652132509</v>
      </c>
      <c r="G19" s="673">
        <f t="shared" si="6"/>
        <v>8967.9167969429873</v>
      </c>
      <c r="H19" s="673">
        <f t="shared" si="6"/>
        <v>8957.5144756192803</v>
      </c>
      <c r="I19" s="673">
        <f t="shared" si="6"/>
        <v>8941.3216163427678</v>
      </c>
    </row>
    <row r="20" spans="1:9">
      <c r="A20" t="s">
        <v>1188</v>
      </c>
      <c r="B20" s="673">
        <f>SUM(C20:I20)</f>
        <v>3653535</v>
      </c>
      <c r="C20" s="672">
        <f>Facilities!F76</f>
        <v>0</v>
      </c>
      <c r="D20" s="672">
        <f>Facilities!G76</f>
        <v>367500</v>
      </c>
      <c r="E20" s="672">
        <f>Facilities!H76</f>
        <v>376500</v>
      </c>
      <c r="F20" s="672">
        <f>Facilities!I76</f>
        <v>388860</v>
      </c>
      <c r="G20" s="672">
        <f>Facilities!J76</f>
        <v>817499.99999999988</v>
      </c>
      <c r="H20" s="672">
        <f>Facilities!K76</f>
        <v>840000</v>
      </c>
      <c r="I20" s="672">
        <f>Facilities!L76</f>
        <v>863175</v>
      </c>
    </row>
    <row r="21" spans="1:9">
      <c r="A21" t="s">
        <v>1189</v>
      </c>
      <c r="B21" s="673">
        <f>IFERROR(B20/B9,0)</f>
        <v>1522.3062500000001</v>
      </c>
      <c r="C21" s="673"/>
      <c r="D21" s="673">
        <f t="shared" ref="D21:I21" si="7">IFERROR(D20/D9,0)</f>
        <v>1837.5</v>
      </c>
      <c r="E21" s="673">
        <f t="shared" si="7"/>
        <v>1255</v>
      </c>
      <c r="F21" s="673">
        <f t="shared" si="7"/>
        <v>972.15</v>
      </c>
      <c r="G21" s="673">
        <f t="shared" si="7"/>
        <v>1816.6666666666665</v>
      </c>
      <c r="H21" s="673">
        <f t="shared" si="7"/>
        <v>1680</v>
      </c>
      <c r="I21" s="673">
        <f t="shared" si="7"/>
        <v>1569.409090909091</v>
      </c>
    </row>
    <row r="22" spans="1:9">
      <c r="A22" t="s">
        <v>1190</v>
      </c>
      <c r="B22" s="673">
        <f>B10-B20</f>
        <v>21117792.680398501</v>
      </c>
      <c r="C22" s="673">
        <f t="shared" ref="C22:I22" si="8">C10-C20</f>
        <v>397500</v>
      </c>
      <c r="D22" s="673">
        <f t="shared" si="8"/>
        <v>1381437.5</v>
      </c>
      <c r="E22" s="673">
        <f t="shared" si="8"/>
        <v>2608542.728962</v>
      </c>
      <c r="F22" s="673">
        <f t="shared" si="8"/>
        <v>3655073.2184430007</v>
      </c>
      <c r="G22" s="673">
        <f t="shared" si="8"/>
        <v>3851692.8329240009</v>
      </c>
      <c r="H22" s="673">
        <f t="shared" si="8"/>
        <v>4358638.0776644992</v>
      </c>
      <c r="I22" s="673">
        <f t="shared" si="8"/>
        <v>4864908.3224050002</v>
      </c>
    </row>
    <row r="23" spans="1:9" ht="30.75" customHeight="1">
      <c r="A23" s="2" t="s">
        <v>1191</v>
      </c>
      <c r="B23" s="673">
        <f>IFERROR(B22/B9,0)</f>
        <v>8799.0802834993756</v>
      </c>
      <c r="C23" s="673"/>
      <c r="D23" s="673">
        <f t="shared" ref="D23:I23" si="9">IFERROR(D22/D9,0)</f>
        <v>6907.1875</v>
      </c>
      <c r="E23" s="673">
        <f t="shared" si="9"/>
        <v>8695.1424298733327</v>
      </c>
      <c r="F23" s="673">
        <f t="shared" si="9"/>
        <v>9137.6830461075024</v>
      </c>
      <c r="G23" s="673">
        <f t="shared" si="9"/>
        <v>8559.3174064977793</v>
      </c>
      <c r="H23" s="673">
        <f t="shared" si="9"/>
        <v>8717.2761553289984</v>
      </c>
      <c r="I23" s="673">
        <f t="shared" si="9"/>
        <v>8845.2878589181819</v>
      </c>
    </row>
    <row r="24" spans="1:9">
      <c r="A24" t="s">
        <v>745</v>
      </c>
      <c r="B24" s="673">
        <f>SUM(C24:I24)</f>
        <v>734288.99717647058</v>
      </c>
      <c r="C24" s="672">
        <f>'FFE&amp;T'!F42</f>
        <v>0</v>
      </c>
      <c r="D24" s="672">
        <f>'FFE&amp;T'!G42</f>
        <v>110966.63793103449</v>
      </c>
      <c r="E24" s="672">
        <f>'FFE&amp;T'!H42</f>
        <v>108439.79064039409</v>
      </c>
      <c r="F24" s="672">
        <f>'FFE&amp;T'!I42</f>
        <v>122467.72932330827</v>
      </c>
      <c r="G24" s="672">
        <f>'FFE&amp;T'!J42</f>
        <v>124674.44210526317</v>
      </c>
      <c r="H24" s="672">
        <f>'FFE&amp;T'!K42</f>
        <v>131920.30117647059</v>
      </c>
      <c r="I24" s="672">
        <f>'FFE&amp;T'!L42</f>
        <v>135820.09600000002</v>
      </c>
    </row>
    <row r="25" spans="1:9">
      <c r="A25" t="s">
        <v>746</v>
      </c>
      <c r="B25" s="673">
        <f>IFERROR(B24/B9,0)</f>
        <v>305.95374882352939</v>
      </c>
      <c r="C25" s="673"/>
      <c r="D25" s="673">
        <f t="shared" ref="D25:I25" si="10">IFERROR(D24/D9,0)</f>
        <v>554.83318965517242</v>
      </c>
      <c r="E25" s="673">
        <f t="shared" si="10"/>
        <v>361.46596880131364</v>
      </c>
      <c r="F25" s="673">
        <f t="shared" si="10"/>
        <v>306.16932330827069</v>
      </c>
      <c r="G25" s="673">
        <f t="shared" si="10"/>
        <v>277.05431578947372</v>
      </c>
      <c r="H25" s="673">
        <f t="shared" si="10"/>
        <v>263.84060235294118</v>
      </c>
      <c r="I25" s="673">
        <f t="shared" si="10"/>
        <v>246.94562909090914</v>
      </c>
    </row>
    <row r="26" spans="1:9">
      <c r="A26" t="s">
        <v>747</v>
      </c>
      <c r="B26" s="673">
        <f>B10-B24</f>
        <v>24037038.683222029</v>
      </c>
      <c r="C26" s="673">
        <f t="shared" ref="C26:I26" si="11">C10-C24</f>
        <v>397500</v>
      </c>
      <c r="D26" s="673">
        <f t="shared" si="11"/>
        <v>1637970.8620689656</v>
      </c>
      <c r="E26" s="673">
        <f t="shared" si="11"/>
        <v>2876602.9383216058</v>
      </c>
      <c r="F26" s="673">
        <f t="shared" si="11"/>
        <v>3921465.4891196922</v>
      </c>
      <c r="G26" s="673">
        <f t="shared" si="11"/>
        <v>4544518.3908187374</v>
      </c>
      <c r="H26" s="673">
        <f t="shared" si="11"/>
        <v>5066717.7764880285</v>
      </c>
      <c r="I26" s="673">
        <f t="shared" si="11"/>
        <v>5592263.2264050003</v>
      </c>
    </row>
    <row r="27" spans="1:9" ht="30.75" customHeight="1">
      <c r="A27" s="2" t="s">
        <v>748</v>
      </c>
      <c r="B27" s="673">
        <f>IFERROR(B26/B9,0)</f>
        <v>10015.432784675846</v>
      </c>
      <c r="C27" s="673"/>
      <c r="D27" s="673">
        <f t="shared" ref="D27:I27" si="12">IFERROR(D26/D9,0)</f>
        <v>8189.8543103448283</v>
      </c>
      <c r="E27" s="673">
        <f t="shared" si="12"/>
        <v>9588.6764610720202</v>
      </c>
      <c r="F27" s="673">
        <f t="shared" si="12"/>
        <v>9803.6637227992305</v>
      </c>
      <c r="G27" s="673">
        <f t="shared" si="12"/>
        <v>10098.929757374972</v>
      </c>
      <c r="H27" s="673">
        <f t="shared" si="12"/>
        <v>10133.435552976058</v>
      </c>
      <c r="I27" s="673">
        <f t="shared" si="12"/>
        <v>10167.751320736365</v>
      </c>
    </row>
    <row r="28" spans="1:9">
      <c r="A28" t="s">
        <v>1192</v>
      </c>
      <c r="B28" s="673">
        <f>SUM(C28:I28)</f>
        <v>61200</v>
      </c>
      <c r="C28" s="672">
        <f>'Gen Optg'!F177</f>
        <v>0</v>
      </c>
      <c r="D28" s="672">
        <f>'Gen Optg'!G177</f>
        <v>7200</v>
      </c>
      <c r="E28" s="672">
        <f>'Gen Optg'!H177</f>
        <v>10800</v>
      </c>
      <c r="F28" s="672">
        <f>'Gen Optg'!I177</f>
        <v>10800</v>
      </c>
      <c r="G28" s="672">
        <f>'Gen Optg'!J177</f>
        <v>10800</v>
      </c>
      <c r="H28" s="672">
        <f>'Gen Optg'!K177</f>
        <v>10800</v>
      </c>
      <c r="I28" s="672">
        <f>'Gen Optg'!L177</f>
        <v>10800</v>
      </c>
    </row>
    <row r="29" spans="1:9">
      <c r="A29" t="s">
        <v>1193</v>
      </c>
      <c r="B29" s="673">
        <f>IFERROR(B28/B9,0)</f>
        <v>25.5</v>
      </c>
      <c r="C29" s="673"/>
      <c r="D29" s="673">
        <f t="shared" ref="D29:I29" si="13">IFERROR(D28/D9,0)</f>
        <v>36</v>
      </c>
      <c r="E29" s="673">
        <f t="shared" si="13"/>
        <v>36</v>
      </c>
      <c r="F29" s="673">
        <f t="shared" si="13"/>
        <v>27</v>
      </c>
      <c r="G29" s="673">
        <f t="shared" si="13"/>
        <v>24</v>
      </c>
      <c r="H29" s="673">
        <f t="shared" si="13"/>
        <v>21.6</v>
      </c>
      <c r="I29" s="673">
        <f t="shared" si="13"/>
        <v>19.636363636363637</v>
      </c>
    </row>
    <row r="30" spans="1:9">
      <c r="A30" t="s">
        <v>1194</v>
      </c>
      <c r="B30" s="673">
        <f>SUM(C30:I30)</f>
        <v>151527.3736570272</v>
      </c>
      <c r="C30" s="672">
        <f>Ins!F50</f>
        <v>0</v>
      </c>
      <c r="D30" s="672">
        <f>Ins!G50</f>
        <v>24021</v>
      </c>
      <c r="E30" s="672">
        <f>Ins!H50</f>
        <v>24501.42</v>
      </c>
      <c r="F30" s="672">
        <f>Ins!I50</f>
        <v>24991.448399999997</v>
      </c>
      <c r="G30" s="672">
        <f>Ins!J50</f>
        <v>25491.277367999999</v>
      </c>
      <c r="H30" s="672">
        <f>Ins!K50</f>
        <v>26001.102915359999</v>
      </c>
      <c r="I30" s="672">
        <f>Ins!L50</f>
        <v>26521.124973667203</v>
      </c>
    </row>
    <row r="31" spans="1:9">
      <c r="A31" t="s">
        <v>1195</v>
      </c>
      <c r="B31" s="673">
        <f>IFERROR(B30/B9,0)</f>
        <v>63.136405690427999</v>
      </c>
      <c r="C31" s="673"/>
      <c r="D31" s="673">
        <f t="shared" ref="D31:I31" si="14">IFERROR(D30/D9,0)</f>
        <v>120.105</v>
      </c>
      <c r="E31" s="673">
        <f t="shared" si="14"/>
        <v>81.671399999999991</v>
      </c>
      <c r="F31" s="673">
        <f t="shared" si="14"/>
        <v>62.478620999999997</v>
      </c>
      <c r="G31" s="673">
        <f t="shared" si="14"/>
        <v>56.647283039999998</v>
      </c>
      <c r="H31" s="673">
        <f t="shared" si="14"/>
        <v>52.002205830720001</v>
      </c>
      <c r="I31" s="673">
        <f t="shared" si="14"/>
        <v>48.220227224849459</v>
      </c>
    </row>
    <row r="32" spans="1:9">
      <c r="A32" t="s">
        <v>1196</v>
      </c>
      <c r="B32" s="673">
        <f>SUM(C32:I32)</f>
        <v>22000</v>
      </c>
      <c r="C32" s="672">
        <f>Marketing!H44</f>
        <v>0</v>
      </c>
      <c r="D32" s="672">
        <f>Marketing!I44</f>
        <v>4000</v>
      </c>
      <c r="E32" s="672">
        <f>Marketing!J44</f>
        <v>6000</v>
      </c>
      <c r="F32" s="672">
        <f>Marketing!K44</f>
        <v>3000</v>
      </c>
      <c r="G32" s="672">
        <f>Marketing!L44</f>
        <v>3000</v>
      </c>
      <c r="H32" s="672">
        <f>Marketing!M44</f>
        <v>3000</v>
      </c>
      <c r="I32" s="672">
        <f>Marketing!N44</f>
        <v>3000</v>
      </c>
    </row>
    <row r="33" spans="1:9">
      <c r="A33" t="s">
        <v>1197</v>
      </c>
      <c r="B33" s="673">
        <f>IFERROR(B32/B9,0)</f>
        <v>9.1666666666666661</v>
      </c>
      <c r="C33" s="673"/>
      <c r="D33" s="673">
        <f t="shared" ref="D33:I33" si="15">IFERROR(D32/D9,0)</f>
        <v>20</v>
      </c>
      <c r="E33" s="673">
        <f t="shared" si="15"/>
        <v>20</v>
      </c>
      <c r="F33" s="673">
        <f t="shared" si="15"/>
        <v>7.5</v>
      </c>
      <c r="G33" s="673">
        <f t="shared" si="15"/>
        <v>6.666666666666667</v>
      </c>
      <c r="H33" s="673">
        <f t="shared" si="15"/>
        <v>6</v>
      </c>
      <c r="I33" s="673">
        <f t="shared" si="15"/>
        <v>5.4545454545454541</v>
      </c>
    </row>
    <row r="34" spans="1:9">
      <c r="A34" t="s">
        <v>1198</v>
      </c>
      <c r="B34" s="673">
        <f>B32+B30+B28</f>
        <v>234727.3736570272</v>
      </c>
      <c r="C34" s="673">
        <f t="shared" ref="C34:I34" si="16">C32+C30+C28</f>
        <v>0</v>
      </c>
      <c r="D34" s="673">
        <f t="shared" si="16"/>
        <v>35221</v>
      </c>
      <c r="E34" s="673">
        <f t="shared" si="16"/>
        <v>41301.42</v>
      </c>
      <c r="F34" s="673">
        <f t="shared" si="16"/>
        <v>38791.448399999994</v>
      </c>
      <c r="G34" s="673">
        <f t="shared" si="16"/>
        <v>39291.277367999995</v>
      </c>
      <c r="H34" s="673">
        <f t="shared" si="16"/>
        <v>39801.102915359996</v>
      </c>
      <c r="I34" s="673">
        <f t="shared" si="16"/>
        <v>40321.124973667203</v>
      </c>
    </row>
    <row r="35" spans="1:9">
      <c r="A35" t="s">
        <v>1199</v>
      </c>
      <c r="B35" s="673">
        <f>IFERROR(B34/B9,0)</f>
        <v>97.803072357094663</v>
      </c>
      <c r="C35" s="673"/>
      <c r="D35" s="673">
        <f t="shared" ref="D35:I35" si="17">IFERROR(D34/D9,0)</f>
        <v>176.10499999999999</v>
      </c>
      <c r="E35" s="673">
        <f t="shared" si="17"/>
        <v>137.67140000000001</v>
      </c>
      <c r="F35" s="673">
        <f t="shared" si="17"/>
        <v>96.97862099999999</v>
      </c>
      <c r="G35" s="673">
        <f t="shared" si="17"/>
        <v>87.313949706666662</v>
      </c>
      <c r="H35" s="673">
        <f t="shared" si="17"/>
        <v>79.602205830719996</v>
      </c>
      <c r="I35" s="673">
        <f t="shared" si="17"/>
        <v>73.311136315758546</v>
      </c>
    </row>
    <row r="36" spans="1:9">
      <c r="A36" t="s">
        <v>1200</v>
      </c>
      <c r="B36" s="673">
        <f>B10-B34</f>
        <v>24536600.306741476</v>
      </c>
      <c r="C36" s="673">
        <f t="shared" ref="C36:I36" si="18">C10-C34</f>
        <v>397500</v>
      </c>
      <c r="D36" s="673">
        <f t="shared" si="18"/>
        <v>1713716.5</v>
      </c>
      <c r="E36" s="673">
        <f t="shared" si="18"/>
        <v>2943741.3089620001</v>
      </c>
      <c r="F36" s="673">
        <f t="shared" si="18"/>
        <v>4005141.7700430006</v>
      </c>
      <c r="G36" s="673">
        <f t="shared" si="18"/>
        <v>4629901.5555560011</v>
      </c>
      <c r="H36" s="673">
        <f t="shared" si="18"/>
        <v>5158836.9747491395</v>
      </c>
      <c r="I36" s="673">
        <f t="shared" si="18"/>
        <v>5687762.1974313334</v>
      </c>
    </row>
    <row r="37" spans="1:9" ht="30" customHeight="1">
      <c r="A37" s="2" t="s">
        <v>1201</v>
      </c>
      <c r="B37" s="673">
        <f>IFERROR(B36/B9,0)</f>
        <v>10223.583461142282</v>
      </c>
      <c r="C37" s="673"/>
      <c r="D37" s="673">
        <f t="shared" ref="D37:I37" si="19">IFERROR(D36/D9,0)</f>
        <v>8568.5825000000004</v>
      </c>
      <c r="E37" s="673">
        <f t="shared" si="19"/>
        <v>9812.4710298733335</v>
      </c>
      <c r="F37" s="673">
        <f t="shared" si="19"/>
        <v>10012.854425107502</v>
      </c>
      <c r="G37" s="673">
        <f t="shared" si="19"/>
        <v>10288.670123457779</v>
      </c>
      <c r="H37" s="673">
        <f t="shared" si="19"/>
        <v>10317.673949498279</v>
      </c>
      <c r="I37" s="673">
        <f t="shared" si="19"/>
        <v>10341.385813511515</v>
      </c>
    </row>
    <row r="38" spans="1:9">
      <c r="A38" t="s">
        <v>416</v>
      </c>
      <c r="B38" s="673">
        <f t="shared" ref="B38:I38" si="20">B10-B12-B16-B28-B20-B24-B30-B32</f>
        <v>2938641.0999814454</v>
      </c>
      <c r="C38" s="673">
        <f t="shared" si="20"/>
        <v>25000.400000000023</v>
      </c>
      <c r="D38" s="673">
        <f t="shared" si="20"/>
        <v>26558.457068965479</v>
      </c>
      <c r="E38" s="673">
        <f t="shared" si="20"/>
        <v>471641.62507160596</v>
      </c>
      <c r="F38" s="673">
        <f t="shared" si="20"/>
        <v>582735.62196199258</v>
      </c>
      <c r="G38" s="673">
        <f t="shared" si="20"/>
        <v>434487.22523108096</v>
      </c>
      <c r="H38" s="673">
        <f t="shared" si="20"/>
        <v>497296.79179460974</v>
      </c>
      <c r="I38" s="673">
        <f t="shared" si="20"/>
        <v>900920.97885319078</v>
      </c>
    </row>
    <row r="39" spans="1:9">
      <c r="A39" t="s">
        <v>417</v>
      </c>
      <c r="B39" s="673">
        <f>IFERROR(B38/B9,0)</f>
        <v>1224.4337916589357</v>
      </c>
      <c r="C39" s="673"/>
      <c r="D39" s="673">
        <f t="shared" ref="D39:I39" si="21">IFERROR(D38/D9,0)</f>
        <v>132.79228534482741</v>
      </c>
      <c r="E39" s="673">
        <f t="shared" si="21"/>
        <v>1572.1387502386865</v>
      </c>
      <c r="F39" s="673">
        <f t="shared" si="21"/>
        <v>1456.8390549049814</v>
      </c>
      <c r="G39" s="673">
        <f t="shared" si="21"/>
        <v>965.52716718017996</v>
      </c>
      <c r="H39" s="673">
        <f t="shared" si="21"/>
        <v>994.59358358921952</v>
      </c>
      <c r="I39" s="673">
        <f t="shared" si="21"/>
        <v>1638.0381433694379</v>
      </c>
    </row>
  </sheetData>
  <sheetProtection algorithmName="SHA-512" hashValue="jlS1+hQfynZ+KZ1d58iCIq/Rdh7TXRFVGvui5WnXl0tRlvcDGIOTGlliafdYYl5N1OgtoSuFQVRoAP9zrHfYGA==" saltValue="c2RNBvxiKfOPZ2MHKFrs6w==" spinCount="100000" sheet="1" objects="1" scenarios="1"/>
  <conditionalFormatting sqref="I1">
    <cfRule type="expression" dxfId="0" priority="1" stopIfTrue="1">
      <formula>MOD(ROW(),2)=0</formula>
    </cfRule>
  </conditionalFormatting>
  <hyperlinks>
    <hyperlink ref="I1" location="HypLink1" display="HypLink1" xr:uid="{02FD0511-F737-42FA-9006-EB9148511053}"/>
  </hyperlinks>
  <pageMargins left="0.25" right="0.25" top="0.5" bottom="0.45" header="0.25" footer="0.25"/>
  <pageSetup scale="88" orientation="landscape" r:id="rId1"/>
  <headerFooter>
    <oddHeader xml:space="preserve">&amp;L &amp;C &amp;R </oddHeader>
    <oddFooter>&amp;L&amp;7&amp;D  at &amp;T Mike 702.486.8879&amp;C&amp;7&amp;F  &amp;A&amp;R&amp;7Page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2EFA-0E70-4ACB-9106-1EB9A4C28635}">
  <sheetPr codeName="Sheet24"/>
  <dimension ref="A1:R81"/>
  <sheetViews>
    <sheetView showGridLines="0" view="pageBreakPreview" zoomScale="85" zoomScaleNormal="115" zoomScaleSheetLayoutView="85" workbookViewId="0">
      <selection activeCell="B1" sqref="B1"/>
    </sheetView>
  </sheetViews>
  <sheetFormatPr defaultColWidth="8.77734375" defaultRowHeight="13.2"/>
  <cols>
    <col min="1" max="1" width="1.21875" style="7" customWidth="1"/>
    <col min="2" max="2" width="2.77734375" style="7" customWidth="1"/>
    <col min="3" max="5" width="8.77734375" style="7"/>
    <col min="6" max="6" width="16.21875" style="7" customWidth="1"/>
    <col min="7" max="17" width="8.77734375" style="1899"/>
    <col min="18" max="16384" width="8.77734375" style="7"/>
  </cols>
  <sheetData>
    <row r="1" spans="1:18" ht="15.6">
      <c r="A1" s="26" t="s">
        <v>1415</v>
      </c>
      <c r="B1" s="26"/>
      <c r="C1" s="26"/>
      <c r="D1" s="26"/>
    </row>
    <row r="2" spans="1:18" ht="15.6">
      <c r="A2" s="187" t="str">
        <f>SchoolName</f>
        <v>Southern Nevada Trades High School</v>
      </c>
      <c r="B2" s="187"/>
      <c r="C2" s="187"/>
      <c r="D2" s="187"/>
    </row>
    <row r="3" spans="1:18">
      <c r="A3" s="11" t="s">
        <v>799</v>
      </c>
    </row>
    <row r="4" spans="1:18">
      <c r="A4" s="10" t="s">
        <v>72</v>
      </c>
    </row>
    <row r="5" spans="1:18">
      <c r="A5" s="9" t="str">
        <f ca="1">CELL("filename")</f>
        <v>C:\Users\jewel\Documents\SNTHS\CHARTER APP FINAL\FINAL COMPILED\[SNTHS Budget Worksheet.xlsx]Summary</v>
      </c>
    </row>
    <row r="6" spans="1:18">
      <c r="A6" s="1898"/>
      <c r="B6" s="1899"/>
      <c r="C6" s="1899"/>
      <c r="D6" s="1899"/>
      <c r="E6" s="1899"/>
      <c r="F6" s="1899"/>
      <c r="R6" s="1899"/>
    </row>
    <row r="7" spans="1:18">
      <c r="A7" s="1898"/>
      <c r="B7" s="1899"/>
      <c r="C7" s="1899"/>
      <c r="D7" s="1899"/>
      <c r="E7" s="1899"/>
      <c r="F7" s="1899"/>
      <c r="R7" s="1899"/>
    </row>
    <row r="8" spans="1:18">
      <c r="A8" s="1898"/>
      <c r="B8" s="1899"/>
      <c r="C8" s="1899"/>
      <c r="D8" s="1899"/>
      <c r="E8" s="1899"/>
      <c r="F8" s="1899"/>
      <c r="R8" s="1899"/>
    </row>
    <row r="9" spans="1:18">
      <c r="A9" s="1898"/>
      <c r="B9" s="1899"/>
      <c r="C9" s="1899"/>
      <c r="D9" s="1899"/>
      <c r="E9" s="1899"/>
      <c r="F9" s="1899"/>
      <c r="R9" s="1899"/>
    </row>
    <row r="10" spans="1:18">
      <c r="A10" s="1898"/>
      <c r="B10" s="1899"/>
      <c r="C10" s="1899"/>
      <c r="D10" s="1899"/>
      <c r="E10" s="1899"/>
      <c r="F10" s="1899"/>
      <c r="R10" s="1899"/>
    </row>
    <row r="11" spans="1:18">
      <c r="A11" s="1898"/>
      <c r="B11" s="1899"/>
      <c r="C11" s="1899"/>
      <c r="D11" s="1899"/>
      <c r="E11" s="1899"/>
      <c r="F11" s="1899"/>
      <c r="R11" s="1899"/>
    </row>
    <row r="12" spans="1:18">
      <c r="A12" s="1898"/>
      <c r="B12" s="1899"/>
      <c r="C12" s="1899"/>
      <c r="D12" s="1899"/>
      <c r="E12" s="1899"/>
      <c r="F12" s="1899"/>
      <c r="R12" s="1899"/>
    </row>
    <row r="13" spans="1:18">
      <c r="A13" s="1898"/>
      <c r="B13" s="1899"/>
      <c r="C13" s="1899"/>
      <c r="D13" s="1899"/>
      <c r="E13" s="1899"/>
      <c r="F13" s="1899"/>
      <c r="R13" s="1899"/>
    </row>
    <row r="14" spans="1:18">
      <c r="A14" s="1898"/>
      <c r="B14" s="1899"/>
      <c r="C14" s="1899"/>
      <c r="D14" s="1899"/>
      <c r="E14" s="1899"/>
      <c r="F14" s="1899"/>
      <c r="R14" s="1899"/>
    </row>
    <row r="15" spans="1:18">
      <c r="A15" s="1898"/>
      <c r="B15" s="1899"/>
      <c r="C15" s="1899"/>
      <c r="D15" s="1899"/>
      <c r="E15" s="1899"/>
      <c r="F15" s="1899"/>
      <c r="R15" s="1899"/>
    </row>
    <row r="16" spans="1:18">
      <c r="A16" s="1898"/>
      <c r="B16" s="1899"/>
      <c r="C16" s="1899"/>
      <c r="D16" s="1899"/>
      <c r="E16" s="1899"/>
      <c r="F16" s="1899"/>
      <c r="R16" s="1899"/>
    </row>
    <row r="17" spans="1:18">
      <c r="A17" s="1898"/>
      <c r="B17" s="1899"/>
      <c r="C17" s="1899"/>
      <c r="D17" s="1899"/>
      <c r="E17" s="1899"/>
      <c r="F17" s="1899"/>
      <c r="R17" s="1899"/>
    </row>
    <row r="18" spans="1:18">
      <c r="A18" s="1898"/>
      <c r="B18" s="1899"/>
      <c r="C18" s="1899"/>
      <c r="D18" s="1899"/>
      <c r="E18" s="1899"/>
      <c r="F18" s="1899"/>
      <c r="R18" s="1899"/>
    </row>
    <row r="19" spans="1:18">
      <c r="A19" s="1898"/>
      <c r="B19" s="1899"/>
      <c r="C19" s="1899"/>
      <c r="D19" s="1899"/>
      <c r="E19" s="1899"/>
      <c r="F19" s="1899"/>
      <c r="R19" s="1899"/>
    </row>
    <row r="20" spans="1:18">
      <c r="A20" s="1898"/>
      <c r="B20" s="1899"/>
      <c r="C20" s="1899"/>
      <c r="D20" s="1899"/>
      <c r="E20" s="1899"/>
      <c r="F20" s="1899"/>
      <c r="R20" s="1899"/>
    </row>
    <row r="21" spans="1:18">
      <c r="A21" s="1898"/>
      <c r="B21" s="1899"/>
      <c r="C21" s="1899"/>
      <c r="D21" s="1899"/>
      <c r="E21" s="1899"/>
      <c r="F21" s="1899"/>
      <c r="R21" s="1899"/>
    </row>
    <row r="22" spans="1:18">
      <c r="A22" s="1898"/>
      <c r="B22" s="1899"/>
      <c r="C22" s="1899"/>
      <c r="D22" s="1899"/>
      <c r="E22" s="1899"/>
      <c r="F22" s="1899"/>
      <c r="R22" s="1899"/>
    </row>
    <row r="23" spans="1:18">
      <c r="A23" s="1898"/>
      <c r="B23" s="1899"/>
      <c r="C23" s="1899"/>
      <c r="D23" s="1899"/>
      <c r="E23" s="1899"/>
      <c r="F23" s="1899"/>
      <c r="R23" s="1899"/>
    </row>
    <row r="24" spans="1:18">
      <c r="A24" s="1898"/>
      <c r="B24" s="1899"/>
      <c r="C24" s="1899"/>
      <c r="D24" s="1899"/>
      <c r="E24" s="1899"/>
      <c r="F24" s="1899"/>
      <c r="R24" s="1899"/>
    </row>
    <row r="25" spans="1:18">
      <c r="A25" s="1898"/>
      <c r="B25" s="1899"/>
      <c r="C25" s="1899"/>
      <c r="D25" s="1899"/>
      <c r="E25" s="1899"/>
      <c r="F25" s="1899"/>
      <c r="R25" s="1899"/>
    </row>
    <row r="26" spans="1:18">
      <c r="A26" s="1898"/>
      <c r="B26" s="1899"/>
      <c r="C26" s="1899"/>
      <c r="D26" s="1899"/>
      <c r="E26" s="1899"/>
      <c r="F26" s="1899"/>
      <c r="R26" s="1899"/>
    </row>
    <row r="27" spans="1:18">
      <c r="A27" s="1898"/>
      <c r="B27" s="1899"/>
      <c r="C27" s="1899"/>
      <c r="D27" s="1899"/>
      <c r="E27" s="1899"/>
      <c r="F27" s="1899"/>
      <c r="R27" s="1899"/>
    </row>
    <row r="28" spans="1:18">
      <c r="A28" s="1898"/>
      <c r="B28" s="1899"/>
      <c r="C28" s="1899"/>
      <c r="D28" s="1899"/>
      <c r="E28" s="1899"/>
      <c r="F28" s="1899"/>
      <c r="R28" s="1899"/>
    </row>
    <row r="29" spans="1:18">
      <c r="A29" s="1898"/>
      <c r="B29" s="1899"/>
      <c r="C29" s="1899"/>
      <c r="D29" s="1899"/>
      <c r="E29" s="1899"/>
      <c r="F29" s="1899"/>
      <c r="R29" s="1899"/>
    </row>
    <row r="30" spans="1:18">
      <c r="A30" s="1898"/>
      <c r="B30" s="1898"/>
      <c r="C30" s="1898"/>
      <c r="D30" s="1898"/>
      <c r="E30" s="1898"/>
      <c r="F30" s="1899"/>
      <c r="R30" s="1899"/>
    </row>
    <row r="31" spans="1:18">
      <c r="A31" s="1898"/>
      <c r="B31" s="1898"/>
      <c r="C31" s="1898"/>
      <c r="D31" s="1898"/>
      <c r="E31" s="1898"/>
      <c r="F31" s="1899"/>
      <c r="R31" s="1899"/>
    </row>
    <row r="32" spans="1:18">
      <c r="A32" s="1898"/>
      <c r="B32" s="1898"/>
      <c r="C32" s="1898"/>
      <c r="D32" s="1898"/>
      <c r="E32" s="1898"/>
      <c r="F32" s="1899"/>
      <c r="R32" s="1899"/>
    </row>
    <row r="33" spans="1:18">
      <c r="A33" s="1898"/>
      <c r="B33" s="1898"/>
      <c r="C33" s="1898"/>
      <c r="D33" s="1898"/>
      <c r="E33" s="1898"/>
      <c r="F33" s="1899"/>
      <c r="R33" s="1899"/>
    </row>
    <row r="34" spans="1:18">
      <c r="A34" s="1898"/>
      <c r="B34" s="1898"/>
      <c r="C34" s="1898"/>
      <c r="D34" s="1898"/>
      <c r="E34" s="1898"/>
      <c r="F34" s="1899"/>
      <c r="R34" s="1899"/>
    </row>
    <row r="35" spans="1:18">
      <c r="A35" s="1898"/>
      <c r="B35" s="1898"/>
      <c r="C35" s="1898"/>
      <c r="D35" s="1898"/>
      <c r="E35" s="1898"/>
      <c r="F35" s="1899"/>
      <c r="R35" s="1899"/>
    </row>
    <row r="36" spans="1:18">
      <c r="A36" s="1898"/>
      <c r="B36" s="1898"/>
      <c r="C36" s="1898"/>
      <c r="D36" s="1898"/>
      <c r="E36" s="1898"/>
      <c r="F36" s="1899"/>
      <c r="R36" s="1899"/>
    </row>
    <row r="37" spans="1:18">
      <c r="A37" s="1898"/>
      <c r="B37" s="1898"/>
      <c r="C37" s="1898"/>
      <c r="D37" s="1898"/>
      <c r="E37" s="1898"/>
      <c r="F37" s="1899"/>
      <c r="R37" s="1899"/>
    </row>
    <row r="38" spans="1:18">
      <c r="A38" s="1898"/>
      <c r="B38" s="1898"/>
      <c r="C38" s="1898"/>
      <c r="D38" s="1898"/>
      <c r="E38" s="1898"/>
      <c r="F38" s="1899"/>
      <c r="R38" s="1899"/>
    </row>
    <row r="39" spans="1:18">
      <c r="A39" s="1898"/>
      <c r="B39" s="1898"/>
      <c r="C39" s="1898"/>
      <c r="D39" s="1898"/>
      <c r="E39" s="1898"/>
      <c r="F39" s="1899"/>
      <c r="R39" s="1899"/>
    </row>
    <row r="40" spans="1:18">
      <c r="A40" s="1898"/>
      <c r="B40" s="1898"/>
      <c r="C40" s="1898"/>
      <c r="D40" s="1898"/>
      <c r="E40" s="1898"/>
      <c r="F40" s="1899"/>
      <c r="R40" s="1899"/>
    </row>
    <row r="41" spans="1:18">
      <c r="A41" s="1898"/>
      <c r="B41" s="1898"/>
      <c r="C41" s="1898"/>
      <c r="D41" s="1898"/>
      <c r="E41" s="1898"/>
      <c r="F41" s="1899"/>
      <c r="R41" s="1899"/>
    </row>
    <row r="42" spans="1:18">
      <c r="A42" s="1898"/>
      <c r="B42" s="1898"/>
      <c r="C42" s="1898"/>
      <c r="D42" s="1898"/>
      <c r="E42" s="1898"/>
      <c r="F42" s="1899"/>
      <c r="R42" s="1899"/>
    </row>
    <row r="43" spans="1:18">
      <c r="A43" s="1898"/>
      <c r="B43" s="1898"/>
      <c r="C43" s="1898"/>
      <c r="D43" s="1898"/>
      <c r="E43" s="1898"/>
      <c r="F43" s="1899"/>
      <c r="R43" s="1899"/>
    </row>
    <row r="44" spans="1:18">
      <c r="A44" s="1898"/>
      <c r="B44" s="1898"/>
      <c r="C44" s="1898"/>
      <c r="D44" s="1898"/>
      <c r="E44" s="1898"/>
      <c r="F44" s="1899"/>
      <c r="R44" s="1899"/>
    </row>
    <row r="45" spans="1:18">
      <c r="A45" s="1898"/>
      <c r="B45" s="1898"/>
      <c r="C45" s="1898"/>
      <c r="D45" s="1898"/>
      <c r="E45" s="1898"/>
      <c r="F45" s="1899"/>
      <c r="R45" s="1899"/>
    </row>
    <row r="46" spans="1:18">
      <c r="A46" s="1898"/>
      <c r="B46" s="1898"/>
      <c r="C46" s="1898"/>
      <c r="D46" s="1898"/>
      <c r="E46" s="1898"/>
      <c r="F46" s="1899"/>
      <c r="R46" s="1899"/>
    </row>
    <row r="47" spans="1:18">
      <c r="A47" s="1898"/>
      <c r="B47" s="1898"/>
      <c r="C47" s="1898"/>
      <c r="D47" s="1898"/>
      <c r="E47" s="1898"/>
      <c r="F47" s="1899"/>
      <c r="R47" s="1899"/>
    </row>
    <row r="48" spans="1:18">
      <c r="A48" s="1898"/>
      <c r="B48" s="1898"/>
      <c r="C48" s="1898"/>
      <c r="D48" s="1898"/>
      <c r="E48" s="1898"/>
      <c r="F48" s="1899"/>
      <c r="R48" s="1899"/>
    </row>
    <row r="49" spans="1:18">
      <c r="A49" s="1898"/>
      <c r="B49" s="1898"/>
      <c r="C49" s="1898"/>
      <c r="D49" s="1898"/>
      <c r="E49" s="1898"/>
      <c r="F49" s="1899"/>
      <c r="R49" s="1899"/>
    </row>
    <row r="50" spans="1:18">
      <c r="A50" s="1898"/>
      <c r="B50" s="1898"/>
      <c r="C50" s="1898"/>
      <c r="D50" s="1898"/>
      <c r="E50" s="1898"/>
      <c r="F50" s="1899"/>
      <c r="R50" s="1899"/>
    </row>
    <row r="51" spans="1:18">
      <c r="A51" s="1898"/>
      <c r="B51" s="1898"/>
      <c r="C51" s="1898"/>
      <c r="D51" s="1898"/>
      <c r="E51" s="1898"/>
      <c r="F51" s="1899"/>
      <c r="R51" s="1899"/>
    </row>
    <row r="52" spans="1:18">
      <c r="A52" s="1898"/>
      <c r="B52" s="1898"/>
      <c r="C52" s="1898"/>
      <c r="D52" s="1898"/>
      <c r="E52" s="1898"/>
      <c r="F52" s="1899"/>
      <c r="R52" s="1899"/>
    </row>
    <row r="53" spans="1:18">
      <c r="A53" s="1898"/>
      <c r="B53" s="1898"/>
      <c r="C53" s="1898"/>
      <c r="D53" s="1898"/>
      <c r="E53" s="1898"/>
      <c r="F53" s="1899"/>
      <c r="R53" s="1899"/>
    </row>
    <row r="54" spans="1:18">
      <c r="A54" s="1898"/>
      <c r="B54" s="1898"/>
      <c r="C54" s="1898"/>
      <c r="D54" s="1898"/>
      <c r="E54" s="1898"/>
      <c r="F54" s="1899"/>
      <c r="R54" s="1899"/>
    </row>
    <row r="55" spans="1:18">
      <c r="A55" s="1898"/>
      <c r="B55" s="1898"/>
      <c r="C55" s="1898"/>
      <c r="D55" s="1898"/>
      <c r="E55" s="1898"/>
      <c r="F55" s="1899"/>
      <c r="R55" s="1899"/>
    </row>
    <row r="56" spans="1:18">
      <c r="A56" s="1898"/>
      <c r="B56" s="1898"/>
      <c r="C56" s="1898"/>
      <c r="D56" s="1898"/>
      <c r="E56" s="1898"/>
      <c r="F56" s="1899"/>
      <c r="R56" s="1899"/>
    </row>
    <row r="57" spans="1:18">
      <c r="A57" s="1898"/>
      <c r="B57" s="1898"/>
      <c r="C57" s="1898"/>
      <c r="D57" s="1898"/>
      <c r="E57" s="1898"/>
      <c r="F57" s="1899"/>
      <c r="R57" s="1899"/>
    </row>
    <row r="58" spans="1:18">
      <c r="A58" s="1898"/>
      <c r="B58" s="1898"/>
      <c r="C58" s="1898"/>
      <c r="D58" s="1898"/>
      <c r="E58" s="1898"/>
      <c r="F58" s="1899"/>
      <c r="R58" s="1899"/>
    </row>
    <row r="59" spans="1:18">
      <c r="A59" s="1898"/>
      <c r="B59" s="1898"/>
      <c r="C59" s="1898"/>
      <c r="D59" s="1898"/>
      <c r="E59" s="1898"/>
      <c r="F59" s="1899"/>
      <c r="R59" s="1899"/>
    </row>
    <row r="60" spans="1:18">
      <c r="A60" s="1898"/>
      <c r="B60" s="1898"/>
      <c r="C60" s="1898"/>
      <c r="D60" s="1898"/>
      <c r="E60" s="1898"/>
      <c r="F60" s="1899"/>
      <c r="R60" s="1899"/>
    </row>
    <row r="61" spans="1:18">
      <c r="A61" s="1898"/>
      <c r="B61" s="1898"/>
      <c r="C61" s="1898"/>
      <c r="D61" s="1898"/>
      <c r="E61" s="1898"/>
      <c r="F61" s="1899"/>
      <c r="R61" s="1899"/>
    </row>
    <row r="62" spans="1:18">
      <c r="A62" s="1898"/>
      <c r="B62" s="1898"/>
      <c r="C62" s="1898"/>
      <c r="D62" s="1898"/>
      <c r="E62" s="1898"/>
      <c r="F62" s="1899"/>
      <c r="R62" s="1899"/>
    </row>
    <row r="63" spans="1:18">
      <c r="A63" s="1898"/>
      <c r="B63" s="1898"/>
      <c r="C63" s="1898"/>
      <c r="D63" s="1898"/>
      <c r="E63" s="1898"/>
      <c r="F63" s="1899"/>
      <c r="R63" s="1899"/>
    </row>
    <row r="64" spans="1:18">
      <c r="A64" s="1898"/>
      <c r="B64" s="1898"/>
      <c r="C64" s="1898"/>
      <c r="D64" s="1898"/>
      <c r="E64" s="1898"/>
      <c r="F64" s="1899"/>
      <c r="R64" s="1899"/>
    </row>
    <row r="65" spans="1:18">
      <c r="A65" s="1898"/>
      <c r="B65" s="1898"/>
      <c r="C65" s="1898"/>
      <c r="D65" s="1898"/>
      <c r="E65" s="1898"/>
      <c r="F65" s="1899"/>
      <c r="R65" s="1899"/>
    </row>
    <row r="66" spans="1:18">
      <c r="A66" s="1898"/>
      <c r="B66" s="1898"/>
      <c r="C66" s="1898"/>
      <c r="D66" s="1898"/>
      <c r="E66" s="1898"/>
      <c r="F66" s="1899"/>
      <c r="R66" s="1899"/>
    </row>
    <row r="67" spans="1:18">
      <c r="A67" s="1898"/>
      <c r="B67" s="1898"/>
      <c r="C67" s="1898"/>
      <c r="D67" s="1898"/>
      <c r="E67" s="1898"/>
      <c r="F67" s="1899"/>
    </row>
    <row r="68" spans="1:18">
      <c r="A68" s="1898"/>
      <c r="B68" s="1898"/>
      <c r="C68" s="1898"/>
      <c r="D68" s="1898"/>
      <c r="E68" s="1898"/>
      <c r="F68" s="1899"/>
    </row>
    <row r="69" spans="1:18">
      <c r="A69" s="1898"/>
      <c r="B69" s="1898"/>
      <c r="C69" s="1898"/>
      <c r="D69" s="1898"/>
      <c r="E69" s="1898"/>
      <c r="F69" s="1899"/>
    </row>
    <row r="70" spans="1:18">
      <c r="A70" s="8"/>
      <c r="B70" s="8"/>
      <c r="C70" s="8"/>
      <c r="D70" s="8"/>
      <c r="E70" s="8"/>
    </row>
    <row r="71" spans="1:18">
      <c r="A71" s="8"/>
      <c r="B71" s="8"/>
      <c r="C71" s="8"/>
      <c r="D71" s="8"/>
      <c r="E71" s="8"/>
    </row>
    <row r="72" spans="1:18">
      <c r="A72" s="8"/>
      <c r="B72" s="8"/>
      <c r="C72" s="8"/>
      <c r="D72" s="8"/>
      <c r="E72" s="8"/>
    </row>
    <row r="73" spans="1:18">
      <c r="A73" s="8"/>
      <c r="B73" s="8"/>
      <c r="C73" s="8"/>
      <c r="D73" s="8"/>
      <c r="E73" s="8"/>
    </row>
    <row r="74" spans="1:18">
      <c r="A74" s="8"/>
      <c r="B74" s="8"/>
      <c r="C74" s="8"/>
      <c r="D74" s="8"/>
      <c r="E74" s="8"/>
    </row>
    <row r="75" spans="1:18">
      <c r="A75" s="8"/>
      <c r="B75" s="8"/>
      <c r="C75" s="8"/>
      <c r="D75" s="8"/>
      <c r="E75" s="8"/>
    </row>
    <row r="76" spans="1:18">
      <c r="A76" s="8"/>
      <c r="B76" s="8"/>
      <c r="C76" s="8"/>
      <c r="D76" s="8"/>
      <c r="E76" s="8"/>
    </row>
    <row r="77" spans="1:18">
      <c r="A77" s="8"/>
      <c r="B77" s="8"/>
      <c r="C77" s="8"/>
      <c r="D77" s="8"/>
      <c r="E77" s="8"/>
    </row>
    <row r="78" spans="1:18">
      <c r="A78" s="8"/>
      <c r="B78" s="8"/>
      <c r="C78" s="8"/>
      <c r="D78" s="8"/>
      <c r="E78" s="8"/>
    </row>
    <row r="79" spans="1:18">
      <c r="A79" s="8"/>
      <c r="B79" s="8"/>
      <c r="C79" s="8"/>
      <c r="D79" s="8"/>
      <c r="E79" s="8"/>
    </row>
    <row r="80" spans="1:18">
      <c r="A80" s="8"/>
      <c r="B80" s="8"/>
      <c r="C80" s="8"/>
      <c r="D80" s="8"/>
      <c r="E80" s="8"/>
    </row>
    <row r="81" spans="1:5">
      <c r="A81" s="8"/>
      <c r="B81" s="8"/>
      <c r="C81" s="8"/>
      <c r="D81" s="8"/>
      <c r="E81" s="8"/>
    </row>
  </sheetData>
  <sheetProtection algorithmName="SHA-512" hashValue="pkuurECShHTK3ZEq4uNA9xjt0QhsNUjtaZyq1ZVbpx5SXUlEr+mVEHf94rBslRKBhwAO1MePUUGxm6athFSX+A==" saltValue="5whEutc1FFH19J7cZzqQzQ=="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9224003f-e6e7-470a-941a-44de56618887">
      <UserInfo>
        <DisplayName>Michael Hutchins</DisplayName>
        <AccountId>78</AccountId>
        <AccountType/>
      </UserInfo>
      <UserInfo>
        <DisplayName>Danny Peltier</DisplayName>
        <AccountId>51</AccountId>
        <AccountType/>
      </UserInfo>
      <UserInfo>
        <DisplayName>Michael Dang</DisplayName>
        <AccountId>21</AccountId>
        <AccountType/>
      </UserInfo>
    </SharedWithUsers>
    <Dateandtime xmlns="edb173ee-3fb8-4f75-bf43-79a22ca96f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17" ma:contentTypeDescription="Create a new document." ma:contentTypeScope="" ma:versionID="3707ba82dc8836c99ef3dc39f7d0a4f0">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33e7ca2d096fff53e150e1599dabc154"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Dateandtim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Dateandtime" ma:index="22" nillable="true" ma:displayName="Date and time" ma:format="DateOnly" ma:internalName="Dateandtim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D3422B-E249-4494-9C4D-065E7900828C}">
  <ds:schemaRefs>
    <ds:schemaRef ds:uri="http://schemas.microsoft.com/sharepoint/v3/contenttype/forms"/>
  </ds:schemaRefs>
</ds:datastoreItem>
</file>

<file path=customXml/itemProps2.xml><?xml version="1.0" encoding="utf-8"?>
<ds:datastoreItem xmlns:ds="http://schemas.openxmlformats.org/officeDocument/2006/customXml" ds:itemID="{43D409FB-C47F-4DBF-9CFF-B7D64C5F0F2A}">
  <ds:schemaRefs>
    <ds:schemaRef ds:uri="http://purl.org/dc/terms/"/>
    <ds:schemaRef ds:uri="http://schemas.microsoft.com/office/2006/documentManagement/types"/>
    <ds:schemaRef ds:uri="edb173ee-3fb8-4f75-bf43-79a22ca96f2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 ds:uri="9224003f-e6e7-470a-941a-44de56618887"/>
    <ds:schemaRef ds:uri="http://www.w3.org/XML/1998/namespace"/>
    <ds:schemaRef ds:uri="http://purl.org/dc/dcmitype/"/>
  </ds:schemaRefs>
</ds:datastoreItem>
</file>

<file path=customXml/itemProps3.xml><?xml version="1.0" encoding="utf-8"?>
<ds:datastoreItem xmlns:ds="http://schemas.openxmlformats.org/officeDocument/2006/customXml" ds:itemID="{A8FE9348-86BB-41F6-9BC3-8186052E75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b173ee-3fb8-4f75-bf43-79a22ca96f2e"/>
    <ds:schemaRef ds:uri="9224003f-e6e7-470a-941a-44de56618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65</vt:i4>
      </vt:variant>
    </vt:vector>
  </HeadingPairs>
  <TitlesOfParts>
    <vt:vector size="90" baseType="lpstr">
      <vt:lpstr>Instructions</vt:lpstr>
      <vt:lpstr>Cover</vt:lpstr>
      <vt:lpstr>Checklist &amp; TOC</vt:lpstr>
      <vt:lpstr>Summary</vt:lpstr>
      <vt:lpstr>Statistics</vt:lpstr>
      <vt:lpstr>Mkt Res</vt:lpstr>
      <vt:lpstr> Enrol &amp; Rev</vt:lpstr>
      <vt:lpstr>Pre Y1 (Incubation)</vt:lpstr>
      <vt:lpstr>CF Y1 Mo</vt:lpstr>
      <vt:lpstr>Staff</vt:lpstr>
      <vt:lpstr>Facilities</vt:lpstr>
      <vt:lpstr>Gen Optg</vt:lpstr>
      <vt:lpstr>FFE&amp;T</vt:lpstr>
      <vt:lpstr>Ins</vt:lpstr>
      <vt:lpstr>Marketing</vt:lpstr>
      <vt:lpstr>EMO-CMO</vt:lpstr>
      <vt:lpstr>Demographics</vt:lpstr>
      <vt:lpstr>PCFP Rates</vt:lpstr>
      <vt:lpstr>Facilities wkst</vt:lpstr>
      <vt:lpstr>Dev Notes</vt:lpstr>
      <vt:lpstr>Note FFE</vt:lpstr>
      <vt:lpstr>Eq wip</vt:lpstr>
      <vt:lpstr>Scratchpad (2)</vt:lpstr>
      <vt:lpstr>Levers</vt:lpstr>
      <vt:lpstr>Scratchpad</vt:lpstr>
      <vt:lpstr>Counties</vt:lpstr>
      <vt:lpstr>County</vt:lpstr>
      <vt:lpstr>DSA</vt:lpstr>
      <vt:lpstr>FICA_Rate</vt:lpstr>
      <vt:lpstr>HypLink10</vt:lpstr>
      <vt:lpstr>HypLink11</vt:lpstr>
      <vt:lpstr>HypLink12</vt:lpstr>
      <vt:lpstr>HypLink13</vt:lpstr>
      <vt:lpstr>HypLink14</vt:lpstr>
      <vt:lpstr>HypLink15</vt:lpstr>
      <vt:lpstr>HypLink16</vt:lpstr>
      <vt:lpstr>HypLink17</vt:lpstr>
      <vt:lpstr>HypLink18</vt:lpstr>
      <vt:lpstr>HypLink19</vt:lpstr>
      <vt:lpstr>HypLink2</vt:lpstr>
      <vt:lpstr>HypLink20</vt:lpstr>
      <vt:lpstr>HypLink21</vt:lpstr>
      <vt:lpstr>HypLink22</vt:lpstr>
      <vt:lpstr>HypLink23</vt:lpstr>
      <vt:lpstr>HypLink24</vt:lpstr>
      <vt:lpstr>HypLink25</vt:lpstr>
      <vt:lpstr>HypLink26</vt:lpstr>
      <vt:lpstr>HypLink3</vt:lpstr>
      <vt:lpstr>HypLink4</vt:lpstr>
      <vt:lpstr>HypLink5</vt:lpstr>
      <vt:lpstr>'Gen Optg'!HypLink6</vt:lpstr>
      <vt:lpstr>Staff!HypLink6</vt:lpstr>
      <vt:lpstr>HypLink6</vt:lpstr>
      <vt:lpstr>HypLink7</vt:lpstr>
      <vt:lpstr>HypLink8</vt:lpstr>
      <vt:lpstr>HypLink9</vt:lpstr>
      <vt:lpstr>' Enrol &amp; Rev'!Print_Area</vt:lpstr>
      <vt:lpstr>'CF Y1 Mo'!Print_Area</vt:lpstr>
      <vt:lpstr>'Checklist &amp; TOC'!Print_Area</vt:lpstr>
      <vt:lpstr>Cover!Print_Area</vt:lpstr>
      <vt:lpstr>Demographics!Print_Area</vt:lpstr>
      <vt:lpstr>'Dev Notes'!Print_Area</vt:lpstr>
      <vt:lpstr>'EMO-CMO'!Print_Area</vt:lpstr>
      <vt:lpstr>'Eq wip'!Print_Area</vt:lpstr>
      <vt:lpstr>Facilities!Print_Area</vt:lpstr>
      <vt:lpstr>'FFE&amp;T'!Print_Area</vt:lpstr>
      <vt:lpstr>'Gen Optg'!Print_Area</vt:lpstr>
      <vt:lpstr>Ins!Print_Area</vt:lpstr>
      <vt:lpstr>Instructions!Print_Area</vt:lpstr>
      <vt:lpstr>Levers!Print_Area</vt:lpstr>
      <vt:lpstr>Marketing!Print_Area</vt:lpstr>
      <vt:lpstr>'Mkt Res'!Print_Area</vt:lpstr>
      <vt:lpstr>'Note FFE'!Print_Area</vt:lpstr>
      <vt:lpstr>'PCFP Rates'!Print_Area</vt:lpstr>
      <vt:lpstr>'Pre Y1 (Incubation)'!Print_Area</vt:lpstr>
      <vt:lpstr>Scratchpad!Print_Area</vt:lpstr>
      <vt:lpstr>'Scratchpad (2)'!Print_Area</vt:lpstr>
      <vt:lpstr>Staff!Print_Area</vt:lpstr>
      <vt:lpstr>Statistics!Print_Area</vt:lpstr>
      <vt:lpstr>Summary!Print_Area</vt:lpstr>
      <vt:lpstr>' Enrol &amp; Rev'!Print_Titles</vt:lpstr>
      <vt:lpstr>'CF Y1 Mo'!Print_Titles</vt:lpstr>
      <vt:lpstr>'EMO-CMO'!Print_Titles</vt:lpstr>
      <vt:lpstr>'Facilities wkst'!Print_Titles</vt:lpstr>
      <vt:lpstr>'Gen Optg'!Print_Titles</vt:lpstr>
      <vt:lpstr>Levers!Print_Titles</vt:lpstr>
      <vt:lpstr>Marketing!Print_Titles</vt:lpstr>
      <vt:lpstr>'Mkt Res'!Print_Titles</vt:lpstr>
      <vt:lpstr>Summary!Print_Titles</vt:lpstr>
      <vt:lpstr>SchoolName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Thompson</dc:creator>
  <cp:keywords/>
  <dc:description/>
  <cp:lastModifiedBy>Julie Carver</cp:lastModifiedBy>
  <cp:revision/>
  <cp:lastPrinted>2021-10-08T20:19:07Z</cp:lastPrinted>
  <dcterms:created xsi:type="dcterms:W3CDTF">2009-03-05T15:43:16Z</dcterms:created>
  <dcterms:modified xsi:type="dcterms:W3CDTF">2022-04-26T16:52:08Z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ies>
</file>