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dusty\Downloads\"/>
    </mc:Choice>
  </mc:AlternateContent>
  <xr:revisionPtr revIDLastSave="0" documentId="8_{26DBA572-F619-478E-BB2C-F7A48A6E4320}" xr6:coauthVersionLast="47" xr6:coauthVersionMax="47" xr10:uidLastSave="{00000000-0000-0000-0000-000000000000}"/>
  <workbookProtection workbookAlgorithmName="SHA-512" workbookHashValue="hN+nuYjBBSUhc28pLB7/yo1FvjTu7UTsKZtjCo5/0AA3puxwlDKr25y15kolDohy1PmZj8YfJvFajiqwlIn4Tg==" workbookSaltValue="DR3FvYaC0TLkv8V6WZo9/w==" workbookSpinCount="100000" lockStructure="1"/>
  <bookViews>
    <workbookView xWindow="-108" yWindow="-108" windowWidth="23256" windowHeight="13896" tabRatio="723" activeTab="7" xr2:uid="{00000000-000D-0000-FFFF-FFFF00000000}"/>
  </bookViews>
  <sheets>
    <sheet name="Instructions" sheetId="13" r:id="rId1"/>
    <sheet name="Title" sheetId="14" r:id="rId2"/>
    <sheet name="Summary" sheetId="5" r:id="rId3"/>
    <sheet name="Enrollment" sheetId="7" r:id="rId4"/>
    <sheet name="Revenue" sheetId="6" r:id="rId5"/>
    <sheet name="Staff" sheetId="1" r:id="rId6"/>
    <sheet name="Supplies" sheetId="2" r:id="rId7"/>
    <sheet name="Services" sheetId="11" r:id="rId8"/>
    <sheet name="Capital &amp; Debt" sheetId="12" r:id="rId9"/>
    <sheet name="Cash Flow" sheetId="9" r:id="rId10"/>
    <sheet name="Inputs" sheetId="10" state="hidden" r:id="rId11"/>
  </sheets>
  <externalReferences>
    <externalReference r:id="rId12"/>
  </externalReferences>
  <definedNames>
    <definedName name="DSA">'[1]PCFP Rates'!#REF!</definedName>
    <definedName name="HypLink1">#REF!</definedName>
    <definedName name="HypLink2">#REF!</definedName>
    <definedName name="HypLink3">Title!#REF!</definedName>
    <definedName name="_xlnm.Print_Area" localSheetId="1">Title!$A$1:$D$18</definedName>
    <definedName name="SchoolName">'[1]Cover &amp; Loc'!$A$9</definedName>
  </definedNames>
  <calcPr calcId="191029"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8" i="11" l="1"/>
  <c r="J78" i="2"/>
  <c r="G40" i="6"/>
  <c r="H40" i="6"/>
  <c r="I40" i="6"/>
  <c r="F40" i="6"/>
  <c r="E12" i="6" l="1"/>
  <c r="F12" i="6" s="1"/>
  <c r="G12" i="6" s="1"/>
  <c r="H12" i="6" s="1"/>
  <c r="I12" i="6" s="1"/>
  <c r="B19" i="2" l="1"/>
  <c r="C1" i="5"/>
  <c r="C1" i="9" s="1"/>
  <c r="B14" i="11"/>
  <c r="B15" i="11"/>
  <c r="B16" i="11"/>
  <c r="B17" i="11"/>
  <c r="B18" i="11"/>
  <c r="B19" i="11"/>
  <c r="B20" i="11"/>
  <c r="B21" i="11"/>
  <c r="B22" i="11"/>
  <c r="B23" i="11"/>
  <c r="B24" i="11"/>
  <c r="B25" i="11"/>
  <c r="B26" i="11"/>
  <c r="B27" i="11"/>
  <c r="B68" i="2"/>
  <c r="B69" i="2"/>
  <c r="B70" i="2"/>
  <c r="B71" i="2"/>
  <c r="B72" i="2"/>
  <c r="B73" i="2"/>
  <c r="B74" i="2"/>
  <c r="B75" i="2"/>
  <c r="B76" i="2"/>
  <c r="B77" i="2"/>
  <c r="B54" i="2"/>
  <c r="B55" i="2"/>
  <c r="B56" i="2"/>
  <c r="B57" i="2"/>
  <c r="B58" i="2"/>
  <c r="B59" i="2"/>
  <c r="B60" i="2"/>
  <c r="B61" i="2"/>
  <c r="B62" i="2"/>
  <c r="B63" i="2"/>
  <c r="B36" i="2"/>
  <c r="B37" i="2"/>
  <c r="B38" i="2"/>
  <c r="B39" i="2"/>
  <c r="B40" i="2"/>
  <c r="B41" i="2"/>
  <c r="B42" i="2"/>
  <c r="B43" i="2"/>
  <c r="B44" i="2"/>
  <c r="B45" i="2"/>
  <c r="B46" i="2"/>
  <c r="B47" i="2"/>
  <c r="B48" i="2"/>
  <c r="B49" i="2"/>
  <c r="B14" i="2"/>
  <c r="B15" i="2"/>
  <c r="B16" i="2"/>
  <c r="B17" i="2"/>
  <c r="B18" i="2"/>
  <c r="B20" i="2"/>
  <c r="B21" i="2"/>
  <c r="B22" i="2"/>
  <c r="B23" i="2"/>
  <c r="B24" i="2"/>
  <c r="B25" i="2"/>
  <c r="B26" i="2"/>
  <c r="B27" i="2"/>
  <c r="B28" i="2"/>
  <c r="B29" i="2"/>
  <c r="B30" i="2"/>
  <c r="B31" i="2"/>
  <c r="C2" i="5"/>
  <c r="C2" i="9" s="1"/>
  <c r="C3" i="5"/>
  <c r="C3" i="9" s="1"/>
  <c r="Q15" i="9"/>
  <c r="E33" i="6" l="1"/>
  <c r="F33" i="6"/>
  <c r="G33" i="6"/>
  <c r="H33" i="6"/>
  <c r="I33" i="6"/>
  <c r="D33" i="6"/>
  <c r="E31" i="5"/>
  <c r="I28" i="5"/>
  <c r="I7" i="5"/>
  <c r="H7" i="5"/>
  <c r="G7" i="5"/>
  <c r="F7" i="5"/>
  <c r="E7" i="5"/>
  <c r="E8" i="9" s="1"/>
  <c r="D7" i="5"/>
  <c r="D8" i="9" s="1"/>
  <c r="B14" i="12"/>
  <c r="B15" i="12"/>
  <c r="B16" i="12"/>
  <c r="B17" i="12"/>
  <c r="B18" i="12"/>
  <c r="B19" i="12"/>
  <c r="B20" i="12"/>
  <c r="B21" i="12"/>
  <c r="B22" i="12"/>
  <c r="B23" i="12"/>
  <c r="B24" i="12"/>
  <c r="B13" i="12"/>
  <c r="B29" i="12"/>
  <c r="B30" i="12"/>
  <c r="B31" i="12"/>
  <c r="B32" i="12"/>
  <c r="B33" i="12"/>
  <c r="B34" i="12"/>
  <c r="B35" i="12"/>
  <c r="B36" i="12"/>
  <c r="B37" i="12"/>
  <c r="B28" i="12"/>
  <c r="J38" i="12"/>
  <c r="I31" i="5" s="1"/>
  <c r="I38" i="12"/>
  <c r="H31" i="5" s="1"/>
  <c r="H38" i="12"/>
  <c r="G31" i="5" s="1"/>
  <c r="G38" i="12"/>
  <c r="F31" i="5" s="1"/>
  <c r="F38" i="12"/>
  <c r="E24" i="9" s="1"/>
  <c r="E38" i="12"/>
  <c r="D24" i="9" s="1"/>
  <c r="J25" i="12"/>
  <c r="I25" i="12"/>
  <c r="H25" i="12"/>
  <c r="G28" i="5" s="1"/>
  <c r="G25" i="12"/>
  <c r="F28" i="5" s="1"/>
  <c r="F25" i="12"/>
  <c r="E23" i="9" s="1"/>
  <c r="E25" i="12"/>
  <c r="D23" i="9" s="1"/>
  <c r="C3" i="12"/>
  <c r="E7" i="12" s="1"/>
  <c r="C2" i="12"/>
  <c r="C1" i="12"/>
  <c r="B29" i="11"/>
  <c r="B30" i="11"/>
  <c r="B31" i="11"/>
  <c r="B32" i="11"/>
  <c r="B33" i="11"/>
  <c r="B34" i="11"/>
  <c r="B35" i="11"/>
  <c r="B36" i="11"/>
  <c r="B37" i="11"/>
  <c r="B38" i="11"/>
  <c r="B39" i="11"/>
  <c r="B40" i="11"/>
  <c r="B41" i="11"/>
  <c r="B42" i="11"/>
  <c r="B43" i="11"/>
  <c r="B47" i="11"/>
  <c r="B48" i="11"/>
  <c r="B49" i="11"/>
  <c r="B50" i="11"/>
  <c r="B51" i="11"/>
  <c r="B52" i="11"/>
  <c r="B53" i="11"/>
  <c r="B54" i="11"/>
  <c r="B55" i="11"/>
  <c r="B56" i="11"/>
  <c r="B57" i="11"/>
  <c r="B58" i="11"/>
  <c r="B59" i="11"/>
  <c r="B60" i="11"/>
  <c r="B61" i="11"/>
  <c r="B65" i="11"/>
  <c r="B66" i="11"/>
  <c r="B67" i="11"/>
  <c r="B68" i="11"/>
  <c r="B74" i="11"/>
  <c r="B75" i="11"/>
  <c r="B76" i="11"/>
  <c r="B77" i="11"/>
  <c r="B78" i="11"/>
  <c r="B79" i="11"/>
  <c r="B83" i="11"/>
  <c r="B84" i="11"/>
  <c r="B85" i="11"/>
  <c r="B86" i="11"/>
  <c r="B87" i="11"/>
  <c r="B88" i="11"/>
  <c r="B89" i="11"/>
  <c r="B90" i="11"/>
  <c r="B91" i="11"/>
  <c r="B92" i="11"/>
  <c r="B93" i="11"/>
  <c r="B94" i="11"/>
  <c r="B95" i="11"/>
  <c r="B96" i="11"/>
  <c r="B97" i="11"/>
  <c r="B70" i="11"/>
  <c r="B71" i="11"/>
  <c r="B72" i="11"/>
  <c r="B73" i="11"/>
  <c r="B69" i="11"/>
  <c r="B13" i="11"/>
  <c r="I98" i="11"/>
  <c r="H98" i="11"/>
  <c r="G98" i="11"/>
  <c r="F98" i="11"/>
  <c r="E98" i="11"/>
  <c r="E80" i="11"/>
  <c r="E62" i="11"/>
  <c r="E44" i="11"/>
  <c r="C3" i="11"/>
  <c r="H7" i="11" s="1"/>
  <c r="C2" i="11"/>
  <c r="C1" i="11"/>
  <c r="E32" i="2"/>
  <c r="E50" i="2"/>
  <c r="F64" i="2"/>
  <c r="E64" i="2"/>
  <c r="F78" i="2"/>
  <c r="G78" i="2"/>
  <c r="H78" i="2"/>
  <c r="I78" i="2"/>
  <c r="E78" i="2"/>
  <c r="B35" i="2"/>
  <c r="B52" i="2"/>
  <c r="B53" i="2"/>
  <c r="B66" i="2"/>
  <c r="B67" i="2"/>
  <c r="B13" i="2"/>
  <c r="C3" i="2"/>
  <c r="I7" i="2" s="1"/>
  <c r="C2" i="2"/>
  <c r="C1" i="2"/>
  <c r="D128" i="1"/>
  <c r="D127" i="1"/>
  <c r="D129" i="1"/>
  <c r="C3" i="1"/>
  <c r="E7" i="1" s="1"/>
  <c r="C2" i="1"/>
  <c r="C1" i="1"/>
  <c r="F50" i="6"/>
  <c r="G50" i="6"/>
  <c r="H50" i="6"/>
  <c r="I50" i="6"/>
  <c r="F51" i="6"/>
  <c r="G51" i="6"/>
  <c r="H51" i="6"/>
  <c r="I51" i="6"/>
  <c r="F52" i="6"/>
  <c r="G52" i="6"/>
  <c r="H52" i="6"/>
  <c r="I52" i="6"/>
  <c r="E51" i="6"/>
  <c r="E52" i="6"/>
  <c r="E50" i="6"/>
  <c r="D31" i="5" l="1"/>
  <c r="E28" i="5"/>
  <c r="J40" i="12"/>
  <c r="I40" i="12"/>
  <c r="H28" i="5"/>
  <c r="E40" i="12"/>
  <c r="D28" i="5"/>
  <c r="H40" i="12"/>
  <c r="G40" i="12"/>
  <c r="F40" i="12"/>
  <c r="E80" i="2"/>
  <c r="D22" i="9" s="1"/>
  <c r="J7" i="12"/>
  <c r="F7" i="12"/>
  <c r="G7" i="12"/>
  <c r="H7" i="12"/>
  <c r="I7" i="12"/>
  <c r="G7" i="11"/>
  <c r="E7" i="11"/>
  <c r="I7" i="11"/>
  <c r="J7" i="11"/>
  <c r="E100" i="11"/>
  <c r="F7" i="11"/>
  <c r="J7" i="2"/>
  <c r="G7" i="2"/>
  <c r="H7" i="2"/>
  <c r="E7" i="2"/>
  <c r="F7" i="2"/>
  <c r="G7" i="1"/>
  <c r="H7" i="1"/>
  <c r="F7" i="1"/>
  <c r="I7" i="1"/>
  <c r="D7" i="1"/>
  <c r="C3" i="7"/>
  <c r="E7" i="7" s="1"/>
  <c r="C2" i="7"/>
  <c r="C1" i="7"/>
  <c r="C1" i="6"/>
  <c r="C2" i="6"/>
  <c r="C3" i="6"/>
  <c r="G7" i="6" s="1"/>
  <c r="D26" i="5" l="1"/>
  <c r="D21" i="9"/>
  <c r="D25" i="5"/>
  <c r="F7" i="7"/>
  <c r="I7" i="6"/>
  <c r="F7" i="6"/>
  <c r="H7" i="6"/>
  <c r="D7" i="6"/>
  <c r="E7" i="6"/>
  <c r="G7" i="7"/>
  <c r="H7" i="7"/>
  <c r="C7" i="7"/>
  <c r="D7" i="7"/>
  <c r="F24" i="9" l="1"/>
  <c r="G24" i="9" l="1"/>
  <c r="H24" i="9" s="1"/>
  <c r="I24" i="9" s="1"/>
  <c r="J24" i="9" s="1"/>
  <c r="K24" i="9" s="1"/>
  <c r="L24" i="9" s="1"/>
  <c r="M24" i="9" s="1"/>
  <c r="N24" i="9" s="1"/>
  <c r="O24" i="9" s="1"/>
  <c r="P24" i="9" s="1"/>
  <c r="Q24" i="9"/>
  <c r="E127" i="1"/>
  <c r="E128" i="1"/>
  <c r="E129" i="1"/>
  <c r="F129" i="1" l="1"/>
  <c r="F128" i="1"/>
  <c r="G127" i="1"/>
  <c r="G128" i="1"/>
  <c r="F127" i="1"/>
  <c r="G129" i="1"/>
  <c r="D23" i="7"/>
  <c r="D33" i="7" s="1"/>
  <c r="E49" i="6" s="1"/>
  <c r="E23" i="7"/>
  <c r="E33" i="7" s="1"/>
  <c r="F49" i="6" s="1"/>
  <c r="F23" i="7"/>
  <c r="F33" i="7" s="1"/>
  <c r="G49" i="6" s="1"/>
  <c r="G23" i="7"/>
  <c r="G33" i="7" s="1"/>
  <c r="H49" i="6" s="1"/>
  <c r="H23" i="7"/>
  <c r="H33" i="7" s="1"/>
  <c r="I49" i="6" s="1"/>
  <c r="E65" i="6"/>
  <c r="F65" i="6"/>
  <c r="G65" i="6"/>
  <c r="H65" i="6"/>
  <c r="I65" i="6"/>
  <c r="D65" i="6"/>
  <c r="D15" i="9" s="1"/>
  <c r="D56" i="6"/>
  <c r="D14" i="9" s="1"/>
  <c r="D42" i="6"/>
  <c r="D14" i="5" l="1"/>
  <c r="D13" i="9"/>
  <c r="I38" i="6"/>
  <c r="I41" i="6"/>
  <c r="H38" i="6"/>
  <c r="H41" i="6"/>
  <c r="G41" i="6"/>
  <c r="G38" i="6"/>
  <c r="F38" i="6"/>
  <c r="F41" i="6"/>
  <c r="H34" i="7"/>
  <c r="G34" i="7"/>
  <c r="H24" i="7"/>
  <c r="I9" i="5" s="1"/>
  <c r="F34" i="7"/>
  <c r="G24" i="7"/>
  <c r="H9" i="5" s="1"/>
  <c r="F24" i="7"/>
  <c r="G9" i="5" s="1"/>
  <c r="E34" i="7"/>
  <c r="D34" i="7"/>
  <c r="E24" i="7"/>
  <c r="F9" i="5" s="1"/>
  <c r="F8" i="6"/>
  <c r="F8" i="5"/>
  <c r="G8" i="11"/>
  <c r="F8" i="1"/>
  <c r="F137" i="1" s="1"/>
  <c r="G8" i="2"/>
  <c r="G8" i="12"/>
  <c r="G8" i="1"/>
  <c r="G137" i="1" s="1"/>
  <c r="H8" i="12"/>
  <c r="G8" i="6"/>
  <c r="H8" i="2"/>
  <c r="H8" i="11"/>
  <c r="G8" i="5"/>
  <c r="J8" i="2"/>
  <c r="I8" i="5"/>
  <c r="J8" i="12"/>
  <c r="I8" i="6"/>
  <c r="J8" i="11"/>
  <c r="I8" i="1"/>
  <c r="I137" i="1" s="1"/>
  <c r="I8" i="11"/>
  <c r="H8" i="5"/>
  <c r="I8" i="12"/>
  <c r="H8" i="6"/>
  <c r="I8" i="2"/>
  <c r="H8" i="1"/>
  <c r="H137" i="1" s="1"/>
  <c r="F8" i="11"/>
  <c r="E8" i="1"/>
  <c r="E8" i="6"/>
  <c r="E8" i="5"/>
  <c r="F8" i="12"/>
  <c r="F8" i="2"/>
  <c r="H127" i="1"/>
  <c r="H128" i="1"/>
  <c r="H129" i="1"/>
  <c r="G13" i="5"/>
  <c r="F13" i="5"/>
  <c r="F18" i="5"/>
  <c r="H13" i="5"/>
  <c r="D18" i="5"/>
  <c r="I18" i="5"/>
  <c r="H18" i="5"/>
  <c r="G18" i="5"/>
  <c r="E18" i="5"/>
  <c r="I13" i="5"/>
  <c r="D15" i="5"/>
  <c r="D59" i="6"/>
  <c r="D67" i="6" s="1"/>
  <c r="D13" i="5"/>
  <c r="D12" i="9"/>
  <c r="D16" i="9" s="1"/>
  <c r="E12" i="9"/>
  <c r="E13" i="5"/>
  <c r="E36" i="6"/>
  <c r="F23" i="9"/>
  <c r="I36" i="6"/>
  <c r="J47" i="11" s="1"/>
  <c r="H36" i="6"/>
  <c r="I47" i="11" s="1"/>
  <c r="G36" i="6"/>
  <c r="H47" i="11" s="1"/>
  <c r="F36" i="6"/>
  <c r="G47" i="11" s="1"/>
  <c r="F47" i="11" l="1"/>
  <c r="I64" i="2"/>
  <c r="I62" i="11"/>
  <c r="I63" i="11" s="1"/>
  <c r="I80" i="11"/>
  <c r="J62" i="11"/>
  <c r="J63" i="11" s="1"/>
  <c r="J80" i="11"/>
  <c r="J81" i="11" s="1"/>
  <c r="J99" i="11" s="1"/>
  <c r="J64" i="2"/>
  <c r="J65" i="2" s="1"/>
  <c r="J50" i="2"/>
  <c r="J51" i="2" s="1"/>
  <c r="J32" i="2"/>
  <c r="J33" i="2" s="1"/>
  <c r="H62" i="11"/>
  <c r="H63" i="11" s="1"/>
  <c r="H44" i="11"/>
  <c r="H45" i="11" s="1"/>
  <c r="H80" i="11"/>
  <c r="H81" i="11" s="1"/>
  <c r="H64" i="2"/>
  <c r="H65" i="2" s="1"/>
  <c r="G80" i="11"/>
  <c r="G81" i="11" s="1"/>
  <c r="G62" i="11"/>
  <c r="G63" i="11" s="1"/>
  <c r="G44" i="11"/>
  <c r="G45" i="11" s="1"/>
  <c r="G64" i="2"/>
  <c r="G65" i="2" s="1"/>
  <c r="F50" i="2"/>
  <c r="F51" i="2" s="1"/>
  <c r="F32" i="2"/>
  <c r="F33" i="2" s="1"/>
  <c r="F80" i="11"/>
  <c r="F62" i="11"/>
  <c r="F63" i="11" s="1"/>
  <c r="E48" i="6"/>
  <c r="E56" i="6" s="1"/>
  <c r="E57" i="6" s="1"/>
  <c r="I34" i="6"/>
  <c r="J41" i="12"/>
  <c r="J39" i="12"/>
  <c r="J26" i="12"/>
  <c r="I99" i="11"/>
  <c r="I79" i="2"/>
  <c r="I65" i="2"/>
  <c r="H34" i="6"/>
  <c r="I41" i="12"/>
  <c r="I39" i="12"/>
  <c r="I26" i="12"/>
  <c r="H99" i="11"/>
  <c r="H79" i="2"/>
  <c r="G34" i="6"/>
  <c r="H41" i="12"/>
  <c r="H39" i="12"/>
  <c r="H26" i="12"/>
  <c r="G79" i="2"/>
  <c r="G99" i="11"/>
  <c r="G41" i="12"/>
  <c r="G39" i="12"/>
  <c r="G26" i="12"/>
  <c r="F34" i="6"/>
  <c r="F79" i="2"/>
  <c r="F65" i="2"/>
  <c r="F26" i="12"/>
  <c r="F41" i="12"/>
  <c r="F39" i="12"/>
  <c r="E34" i="6"/>
  <c r="E137" i="1"/>
  <c r="F99" i="11"/>
  <c r="H9" i="2"/>
  <c r="H9" i="11"/>
  <c r="H9" i="12"/>
  <c r="I9" i="12"/>
  <c r="I9" i="11"/>
  <c r="G9" i="2"/>
  <c r="G9" i="12"/>
  <c r="G9" i="11"/>
  <c r="J9" i="11"/>
  <c r="J9" i="12"/>
  <c r="F12" i="9"/>
  <c r="G12" i="9" s="1"/>
  <c r="H12" i="9" s="1"/>
  <c r="I12" i="9" s="1"/>
  <c r="J12" i="9" s="1"/>
  <c r="K12" i="9" s="1"/>
  <c r="L12" i="9" s="1"/>
  <c r="M12" i="9" s="1"/>
  <c r="N12" i="9" s="1"/>
  <c r="D16" i="5"/>
  <c r="D19" i="5" s="1"/>
  <c r="D20" i="5" s="1"/>
  <c r="I129" i="1"/>
  <c r="I127" i="1"/>
  <c r="I128" i="1"/>
  <c r="G42" i="6"/>
  <c r="G43" i="6" s="1"/>
  <c r="G48" i="6"/>
  <c r="G56" i="6" s="1"/>
  <c r="G57" i="6" s="1"/>
  <c r="H42" i="6"/>
  <c r="H43" i="6" s="1"/>
  <c r="H48" i="6"/>
  <c r="H56" i="6" s="1"/>
  <c r="H57" i="6" s="1"/>
  <c r="I42" i="6"/>
  <c r="I43" i="6" s="1"/>
  <c r="I48" i="6"/>
  <c r="I56" i="6" s="1"/>
  <c r="I57" i="6" s="1"/>
  <c r="F42" i="6"/>
  <c r="F43" i="6" s="1"/>
  <c r="F48" i="6"/>
  <c r="F56" i="6" s="1"/>
  <c r="F57" i="6" s="1"/>
  <c r="I9" i="2"/>
  <c r="E42" i="6"/>
  <c r="J9" i="2"/>
  <c r="G23" i="9"/>
  <c r="E124" i="1"/>
  <c r="G124" i="1"/>
  <c r="D124" i="1"/>
  <c r="I124" i="1"/>
  <c r="D126" i="1"/>
  <c r="D120" i="1"/>
  <c r="E120" i="1"/>
  <c r="E19" i="9" s="1"/>
  <c r="F19" i="9" s="1"/>
  <c r="E12" i="1"/>
  <c r="D12" i="1"/>
  <c r="D123" i="1" s="1"/>
  <c r="E123" i="1" l="1"/>
  <c r="F12" i="1"/>
  <c r="G12" i="1" s="1"/>
  <c r="H12" i="1" s="1"/>
  <c r="I12" i="1" s="1"/>
  <c r="I44" i="11"/>
  <c r="I45" i="11" s="1"/>
  <c r="H32" i="2"/>
  <c r="H33" i="2" s="1"/>
  <c r="I32" i="2"/>
  <c r="I33" i="2" s="1"/>
  <c r="I81" i="11"/>
  <c r="J44" i="11"/>
  <c r="J45" i="11" s="1"/>
  <c r="H100" i="11"/>
  <c r="G50" i="2"/>
  <c r="G51" i="2" s="1"/>
  <c r="G100" i="11"/>
  <c r="G32" i="2"/>
  <c r="G33" i="2" s="1"/>
  <c r="F44" i="11"/>
  <c r="F45" i="11" s="1"/>
  <c r="F81" i="11"/>
  <c r="F80" i="2"/>
  <c r="E15" i="5"/>
  <c r="E13" i="9"/>
  <c r="F13" i="9" s="1"/>
  <c r="G13" i="9" s="1"/>
  <c r="H13" i="9" s="1"/>
  <c r="I13" i="9" s="1"/>
  <c r="J13" i="9" s="1"/>
  <c r="K13" i="9" s="1"/>
  <c r="L13" i="9" s="1"/>
  <c r="M13" i="9" s="1"/>
  <c r="N13" i="9" s="1"/>
  <c r="O13" i="9" s="1"/>
  <c r="P13" i="9" s="1"/>
  <c r="E43" i="6"/>
  <c r="H50" i="2"/>
  <c r="H51" i="2" s="1"/>
  <c r="I50" i="2"/>
  <c r="D19" i="9"/>
  <c r="G19" i="9"/>
  <c r="H19" i="9" s="1"/>
  <c r="I19" i="9" s="1"/>
  <c r="J19" i="9" s="1"/>
  <c r="K19" i="9" s="1"/>
  <c r="L19" i="9" s="1"/>
  <c r="M19" i="9" s="1"/>
  <c r="N19" i="9" s="1"/>
  <c r="O19" i="9" s="1"/>
  <c r="P19" i="9" s="1"/>
  <c r="H14" i="5"/>
  <c r="E59" i="6"/>
  <c r="E60" i="6" s="1"/>
  <c r="I15" i="5"/>
  <c r="I59" i="6"/>
  <c r="I60" i="6" s="1"/>
  <c r="G15" i="5"/>
  <c r="G59" i="6"/>
  <c r="G60" i="6" s="1"/>
  <c r="F15" i="5"/>
  <c r="F59" i="6"/>
  <c r="F60" i="6" s="1"/>
  <c r="H15" i="5"/>
  <c r="H59" i="6"/>
  <c r="H60" i="6" s="1"/>
  <c r="E14" i="5"/>
  <c r="H23" i="9"/>
  <c r="O12" i="9"/>
  <c r="I14" i="5"/>
  <c r="G14" i="5"/>
  <c r="F14" i="5"/>
  <c r="E126" i="1"/>
  <c r="F120" i="1"/>
  <c r="E23" i="5"/>
  <c r="D125" i="1"/>
  <c r="D23" i="5"/>
  <c r="F123" i="1"/>
  <c r="E125" i="1"/>
  <c r="H124" i="1"/>
  <c r="F124" i="1"/>
  <c r="F126" i="1"/>
  <c r="I100" i="11" l="1"/>
  <c r="H25" i="5" s="1"/>
  <c r="G80" i="2"/>
  <c r="G81" i="2" s="1"/>
  <c r="J100" i="11"/>
  <c r="I25" i="5" s="1"/>
  <c r="G25" i="5"/>
  <c r="H101" i="11"/>
  <c r="F25" i="5"/>
  <c r="G101" i="11"/>
  <c r="F100" i="11"/>
  <c r="F101" i="11" s="1"/>
  <c r="E26" i="5"/>
  <c r="F81" i="2"/>
  <c r="H80" i="2"/>
  <c r="H81" i="2" s="1"/>
  <c r="I80" i="2"/>
  <c r="I81" i="2" s="1"/>
  <c r="I51" i="2"/>
  <c r="J14" i="9"/>
  <c r="K14" i="9" s="1"/>
  <c r="L14" i="9" s="1"/>
  <c r="M14" i="9" s="1"/>
  <c r="N14" i="9" s="1"/>
  <c r="O14" i="9" s="1"/>
  <c r="P14" i="9" s="1"/>
  <c r="E16" i="9"/>
  <c r="Q13" i="9"/>
  <c r="F16" i="9"/>
  <c r="Q19" i="9"/>
  <c r="F16" i="5"/>
  <c r="I16" i="5"/>
  <c r="I38" i="5" s="1"/>
  <c r="G16" i="5"/>
  <c r="G38" i="5" s="1"/>
  <c r="E16" i="5"/>
  <c r="E38" i="5" s="1"/>
  <c r="H16" i="5"/>
  <c r="H38" i="5" s="1"/>
  <c r="J79" i="2"/>
  <c r="G67" i="6"/>
  <c r="G68" i="6" s="1"/>
  <c r="I67" i="6"/>
  <c r="I68" i="6" s="1"/>
  <c r="E67" i="6"/>
  <c r="E68" i="6" s="1"/>
  <c r="F67" i="6"/>
  <c r="F68" i="6" s="1"/>
  <c r="H67" i="6"/>
  <c r="H68" i="6" s="1"/>
  <c r="G16" i="9"/>
  <c r="I23" i="9"/>
  <c r="P12" i="9"/>
  <c r="Q12" i="9" s="1"/>
  <c r="D130" i="1"/>
  <c r="F125" i="1"/>
  <c r="F130" i="1" s="1"/>
  <c r="E130" i="1"/>
  <c r="F23" i="5"/>
  <c r="G123" i="1"/>
  <c r="G126" i="1"/>
  <c r="G120" i="1"/>
  <c r="Q14" i="9" l="1"/>
  <c r="I101" i="11"/>
  <c r="J101" i="11"/>
  <c r="F26" i="5"/>
  <c r="F20" i="9"/>
  <c r="G20" i="9" s="1"/>
  <c r="H20" i="9" s="1"/>
  <c r="I20" i="9" s="1"/>
  <c r="J20" i="9" s="1"/>
  <c r="K20" i="9" s="1"/>
  <c r="L20" i="9" s="1"/>
  <c r="M20" i="9" s="1"/>
  <c r="N20" i="9" s="1"/>
  <c r="O20" i="9" s="1"/>
  <c r="P20" i="9" s="1"/>
  <c r="E21" i="9"/>
  <c r="F21" i="9" s="1"/>
  <c r="G21" i="9" s="1"/>
  <c r="H21" i="9" s="1"/>
  <c r="E25" i="5"/>
  <c r="H26" i="5"/>
  <c r="G26" i="5"/>
  <c r="F22" i="9"/>
  <c r="G22" i="9" s="1"/>
  <c r="H22" i="9" s="1"/>
  <c r="I22" i="9" s="1"/>
  <c r="J22" i="9" s="1"/>
  <c r="K22" i="9" s="1"/>
  <c r="L22" i="9" s="1"/>
  <c r="M22" i="9" s="1"/>
  <c r="N22" i="9" s="1"/>
  <c r="O22" i="9" s="1"/>
  <c r="Q16" i="9"/>
  <c r="F19" i="5"/>
  <c r="F38" i="5"/>
  <c r="G19" i="5"/>
  <c r="I19" i="5"/>
  <c r="H19" i="5"/>
  <c r="E19" i="5"/>
  <c r="J80" i="2"/>
  <c r="D20" i="9"/>
  <c r="E132" i="1"/>
  <c r="E136" i="1" s="1"/>
  <c r="D24" i="5"/>
  <c r="D132" i="1"/>
  <c r="D134" i="1" s="1"/>
  <c r="H16" i="9"/>
  <c r="J23" i="9"/>
  <c r="E24" i="5"/>
  <c r="F132" i="1"/>
  <c r="F136" i="1" s="1"/>
  <c r="F24" i="5"/>
  <c r="G23" i="5"/>
  <c r="G125" i="1"/>
  <c r="H126" i="1"/>
  <c r="H123" i="1"/>
  <c r="H120" i="1"/>
  <c r="D25" i="9" l="1"/>
  <c r="D27" i="9" s="1"/>
  <c r="D29" i="9" s="1"/>
  <c r="E10" i="9" s="1"/>
  <c r="E20" i="9"/>
  <c r="E25" i="9" s="1"/>
  <c r="E27" i="9" s="1"/>
  <c r="F25" i="9"/>
  <c r="F27" i="9" s="1"/>
  <c r="Q22" i="9"/>
  <c r="I26" i="5"/>
  <c r="J81" i="2"/>
  <c r="F27" i="5"/>
  <c r="F37" i="5" s="1"/>
  <c r="D27" i="5"/>
  <c r="D37" i="5" s="1"/>
  <c r="E27" i="5"/>
  <c r="E40" i="5" s="1"/>
  <c r="E134" i="1"/>
  <c r="F134" i="1"/>
  <c r="G25" i="9"/>
  <c r="G27" i="9" s="1"/>
  <c r="E135" i="1"/>
  <c r="D135" i="1"/>
  <c r="I16" i="9"/>
  <c r="I21" i="9"/>
  <c r="H25" i="9"/>
  <c r="H27" i="9" s="1"/>
  <c r="K23" i="9"/>
  <c r="F135" i="1"/>
  <c r="H23" i="5"/>
  <c r="G130" i="1"/>
  <c r="H125" i="1"/>
  <c r="I126" i="1"/>
  <c r="I123" i="1"/>
  <c r="I120" i="1"/>
  <c r="E29" i="9" l="1"/>
  <c r="F10" i="9" s="1"/>
  <c r="F29" i="9" s="1"/>
  <c r="G10" i="9" s="1"/>
  <c r="G29" i="9" s="1"/>
  <c r="H10" i="9" s="1"/>
  <c r="H29" i="9" s="1"/>
  <c r="I10" i="9" s="1"/>
  <c r="Q20" i="9"/>
  <c r="E37" i="5"/>
  <c r="F29" i="5"/>
  <c r="F30" i="5" s="1"/>
  <c r="F32" i="5" s="1"/>
  <c r="F41" i="5" s="1"/>
  <c r="F40" i="5"/>
  <c r="D29" i="5"/>
  <c r="E29" i="5"/>
  <c r="J21" i="9"/>
  <c r="I25" i="9"/>
  <c r="I27" i="9" s="1"/>
  <c r="J16" i="9"/>
  <c r="L23" i="9"/>
  <c r="H130" i="1"/>
  <c r="H132" i="1" s="1"/>
  <c r="H136" i="1" s="1"/>
  <c r="I23" i="5"/>
  <c r="G132" i="1"/>
  <c r="G136" i="1" s="1"/>
  <c r="G24" i="5"/>
  <c r="I125" i="1"/>
  <c r="F33" i="5" l="1"/>
  <c r="D30" i="5"/>
  <c r="D32" i="5" s="1"/>
  <c r="D33" i="5" s="1"/>
  <c r="D34" i="5" s="1"/>
  <c r="E30" i="5"/>
  <c r="E32" i="5" s="1"/>
  <c r="E41" i="5" s="1"/>
  <c r="G27" i="5"/>
  <c r="G40" i="5" s="1"/>
  <c r="G134" i="1"/>
  <c r="H134" i="1"/>
  <c r="I29" i="9"/>
  <c r="J10" i="9" s="1"/>
  <c r="K16" i="9"/>
  <c r="K21" i="9"/>
  <c r="J25" i="9"/>
  <c r="J27" i="9" s="1"/>
  <c r="M23" i="9"/>
  <c r="H24" i="5"/>
  <c r="H135" i="1"/>
  <c r="G135" i="1"/>
  <c r="I130" i="1"/>
  <c r="G37" i="5" l="1"/>
  <c r="D36" i="5"/>
  <c r="D35" i="5"/>
  <c r="E11" i="5"/>
  <c r="E33" i="5"/>
  <c r="G29" i="5"/>
  <c r="H27" i="5"/>
  <c r="H40" i="5" s="1"/>
  <c r="J29" i="9"/>
  <c r="K10" i="9" s="1"/>
  <c r="L21" i="9"/>
  <c r="K25" i="9"/>
  <c r="K27" i="9" s="1"/>
  <c r="L16" i="9"/>
  <c r="N23" i="9"/>
  <c r="I132" i="1"/>
  <c r="I136" i="1" s="1"/>
  <c r="I24" i="5"/>
  <c r="E20" i="5" l="1"/>
  <c r="E39" i="5" s="1"/>
  <c r="H37" i="5"/>
  <c r="E34" i="5"/>
  <c r="F11" i="5" s="1"/>
  <c r="H29" i="5"/>
  <c r="G30" i="5"/>
  <c r="G32" i="5" s="1"/>
  <c r="G41" i="5" s="1"/>
  <c r="I27" i="5"/>
  <c r="K29" i="9"/>
  <c r="L10" i="9" s="1"/>
  <c r="I134" i="1"/>
  <c r="M16" i="9"/>
  <c r="M21" i="9"/>
  <c r="L25" i="9"/>
  <c r="L27" i="9" s="1"/>
  <c r="O23" i="9"/>
  <c r="I135" i="1"/>
  <c r="F20" i="5" l="1"/>
  <c r="F39" i="5" s="1"/>
  <c r="E35" i="5"/>
  <c r="E36" i="5"/>
  <c r="I37" i="5"/>
  <c r="I40" i="5"/>
  <c r="F34" i="5"/>
  <c r="G33" i="5"/>
  <c r="I29" i="5"/>
  <c r="H30" i="5"/>
  <c r="H32" i="5" s="1"/>
  <c r="H41" i="5" s="1"/>
  <c r="L29" i="9"/>
  <c r="M10" i="9" s="1"/>
  <c r="N21" i="9"/>
  <c r="M25" i="9"/>
  <c r="M27" i="9" s="1"/>
  <c r="N16" i="9"/>
  <c r="P23" i="9"/>
  <c r="Q23" i="9" s="1"/>
  <c r="F36" i="5" l="1"/>
  <c r="F35" i="5"/>
  <c r="G11" i="5"/>
  <c r="H33" i="5"/>
  <c r="I30" i="5"/>
  <c r="I32" i="5" s="1"/>
  <c r="I41" i="5" s="1"/>
  <c r="M29" i="9"/>
  <c r="N10" i="9" s="1"/>
  <c r="P16" i="9"/>
  <c r="O16" i="9"/>
  <c r="O21" i="9"/>
  <c r="N25" i="9"/>
  <c r="N27" i="9" s="1"/>
  <c r="G20" i="5" l="1"/>
  <c r="G39" i="5" s="1"/>
  <c r="G34" i="5"/>
  <c r="G36" i="5" s="1"/>
  <c r="I33" i="5"/>
  <c r="N29" i="9"/>
  <c r="O10" i="9" s="1"/>
  <c r="P21" i="9"/>
  <c r="O25" i="9"/>
  <c r="O27" i="9" s="1"/>
  <c r="H11" i="5" l="1"/>
  <c r="G35" i="5"/>
  <c r="P25" i="9"/>
  <c r="P27" i="9" s="1"/>
  <c r="Q21" i="9"/>
  <c r="O29" i="9"/>
  <c r="P10" i="9" s="1"/>
  <c r="H20" i="5" l="1"/>
  <c r="H39" i="5" s="1"/>
  <c r="H34" i="5"/>
  <c r="H35" i="5" s="1"/>
  <c r="P29" i="9"/>
  <c r="Q25" i="9"/>
  <c r="Q27" i="9" s="1"/>
  <c r="H36" i="5" l="1"/>
  <c r="I11" i="5"/>
  <c r="I34" i="5" l="1"/>
  <c r="I36" i="5" s="1"/>
  <c r="I20" i="5"/>
  <c r="I39" i="5" s="1"/>
  <c r="I35" i="5" l="1"/>
</calcChain>
</file>

<file path=xl/sharedStrings.xml><?xml version="1.0" encoding="utf-8"?>
<sst xmlns="http://schemas.openxmlformats.org/spreadsheetml/2006/main" count="811" uniqueCount="538">
  <si>
    <t>Individual Position</t>
  </si>
  <si>
    <t>Employment Status</t>
  </si>
  <si>
    <t>Year 0</t>
  </si>
  <si>
    <t>Year 1</t>
  </si>
  <si>
    <t>Year 2</t>
  </si>
  <si>
    <t>Year 3</t>
  </si>
  <si>
    <t>Year 4</t>
  </si>
  <si>
    <t>Year 5</t>
  </si>
  <si>
    <t>Benefit Category</t>
  </si>
  <si>
    <t>PERS</t>
  </si>
  <si>
    <t>Social Security</t>
  </si>
  <si>
    <t>Medicare</t>
  </si>
  <si>
    <t>Health Ins.</t>
  </si>
  <si>
    <t>Other misc. group benefits total:</t>
  </si>
  <si>
    <t>Full-time</t>
  </si>
  <si>
    <t>Part-time</t>
  </si>
  <si>
    <t>Explanation comments/notes:</t>
  </si>
  <si>
    <t>Total Annual Wages:</t>
  </si>
  <si>
    <t>Benefits totals:</t>
  </si>
  <si>
    <t>Benefits sub-total:</t>
  </si>
  <si>
    <t>Wages % of total compensation:</t>
  </si>
  <si>
    <t>Benefits % of total compensation:</t>
  </si>
  <si>
    <t>PCPF Per-Pupil base</t>
  </si>
  <si>
    <t>Revenue Item</t>
  </si>
  <si>
    <t>PCFP - Adjusted Base Funding</t>
  </si>
  <si>
    <t>PCFP - English Learner</t>
  </si>
  <si>
    <t>PCFP - At-Risk</t>
  </si>
  <si>
    <t>PCFP Gifted and Talented</t>
  </si>
  <si>
    <t>Unrestricted Grants-in-Aid, direct from the Federal Govt.</t>
  </si>
  <si>
    <t>Unrestricted Grants-in-Aid from the Federal Govt. through the State</t>
  </si>
  <si>
    <t>Restricted Grants-in-Aid direct from the Federal Govt.</t>
  </si>
  <si>
    <t>National School Lunch Program</t>
  </si>
  <si>
    <t>Grants-in-Aid from the Federal Govt., through other Inter. Agencies</t>
  </si>
  <si>
    <t>E-Rate Funds</t>
  </si>
  <si>
    <t>Revenue Code</t>
  </si>
  <si>
    <t>PCFP ELL Per pupil</t>
  </si>
  <si>
    <t>PCFP At-Risk per pupil</t>
  </si>
  <si>
    <t>PCFP GATE per pupil</t>
  </si>
  <si>
    <t>State SPED per pupil</t>
  </si>
  <si>
    <t>Sub-total Local Revenue:</t>
  </si>
  <si>
    <t>Local Revenue:</t>
  </si>
  <si>
    <t>State Revenue:</t>
  </si>
  <si>
    <t>Federal Revenue:</t>
  </si>
  <si>
    <t>Sub-total State Revenue:</t>
  </si>
  <si>
    <t>Sub-total Federal Revenue:</t>
  </si>
  <si>
    <t>Sub-total Other Revenue:</t>
  </si>
  <si>
    <t>Other Revenue:</t>
  </si>
  <si>
    <t>State Special Education Funding</t>
  </si>
  <si>
    <t>Average Daily Enrollment Projections (ADE)</t>
  </si>
  <si>
    <t>Pre-K</t>
  </si>
  <si>
    <t>Kindergarten</t>
  </si>
  <si>
    <t>1st grade</t>
  </si>
  <si>
    <t>2nd grade</t>
  </si>
  <si>
    <t>3rd grade</t>
  </si>
  <si>
    <t>4th grade</t>
  </si>
  <si>
    <t>5th grade</t>
  </si>
  <si>
    <t>6th grade</t>
  </si>
  <si>
    <t>7th grade</t>
  </si>
  <si>
    <t>8th grade</t>
  </si>
  <si>
    <t>9th grade</t>
  </si>
  <si>
    <t>10th grade</t>
  </si>
  <si>
    <t>11th grade</t>
  </si>
  <si>
    <t>12th grade</t>
  </si>
  <si>
    <t>Total K-12 ADE:</t>
  </si>
  <si>
    <t>SPED</t>
  </si>
  <si>
    <t>ELL</t>
  </si>
  <si>
    <t>At-Risk</t>
  </si>
  <si>
    <t>Gate</t>
  </si>
  <si>
    <t>Weighted Populations ADE</t>
  </si>
  <si>
    <t>Code</t>
  </si>
  <si>
    <t>Revenue/Expenditure category</t>
  </si>
  <si>
    <t>Revenue:</t>
  </si>
  <si>
    <t>Total Local Revenue</t>
  </si>
  <si>
    <t>Total State Revenue</t>
  </si>
  <si>
    <t>Total Federal Revenue</t>
  </si>
  <si>
    <t>Total Other Revenue</t>
  </si>
  <si>
    <t>Expenditures:</t>
  </si>
  <si>
    <t>Wages</t>
  </si>
  <si>
    <t>Benefits</t>
  </si>
  <si>
    <t>Purchased Services</t>
  </si>
  <si>
    <t>Supplies</t>
  </si>
  <si>
    <t>Capital Expenditures (Property, equipment)</t>
  </si>
  <si>
    <t>Debt Service (principal &amp; interest)</t>
  </si>
  <si>
    <t>Sub-total expenditures:</t>
  </si>
  <si>
    <t>Sub-total revenue:</t>
  </si>
  <si>
    <t>Net Change in funds (Revenue - Expenditures):</t>
  </si>
  <si>
    <t>Other State Grants</t>
  </si>
  <si>
    <t>Expenditure Code</t>
  </si>
  <si>
    <t>Property Insurance</t>
  </si>
  <si>
    <t>Land &amp; Land Improvements (bare land purchase, land improvements such as infrastructure)</t>
  </si>
  <si>
    <t>Vehicles</t>
  </si>
  <si>
    <t>Furnitures &amp; Fixtures</t>
  </si>
  <si>
    <t>Technology - Hardware</t>
  </si>
  <si>
    <t>Bond Proceeds</t>
  </si>
  <si>
    <t>Year 0 total</t>
  </si>
  <si>
    <t>July</t>
  </si>
  <si>
    <t>August</t>
  </si>
  <si>
    <t>September</t>
  </si>
  <si>
    <t>October</t>
  </si>
  <si>
    <t>November</t>
  </si>
  <si>
    <t>December</t>
  </si>
  <si>
    <t>January</t>
  </si>
  <si>
    <t>February</t>
  </si>
  <si>
    <t>March</t>
  </si>
  <si>
    <t>April</t>
  </si>
  <si>
    <t>May</t>
  </si>
  <si>
    <t>June</t>
  </si>
  <si>
    <t>Net Change in CASH (Revenue - Expenditures):</t>
  </si>
  <si>
    <t>Expenditures (ACTUAL EXPENDED):</t>
  </si>
  <si>
    <t>Revenue (ACTUAL RECEIVED):</t>
  </si>
  <si>
    <t>Ending CASH Balance (OCB + Net Change):</t>
  </si>
  <si>
    <t>*Cash balance as of last day of the month</t>
  </si>
  <si>
    <t>*cash balance as of first day of the month = prior month ending balance</t>
  </si>
  <si>
    <t>Annual Financial Summary (Fund Basis)</t>
  </si>
  <si>
    <t>Opening Fund Balance (OFB)</t>
  </si>
  <si>
    <t>Expenditure Code Description</t>
  </si>
  <si>
    <t>Expenditure Item Description</t>
  </si>
  <si>
    <t>Opening CASH Balance (OCB)</t>
  </si>
  <si>
    <t>Ending Fund Balance (EFB):</t>
  </si>
  <si>
    <t>*Calculated as OFB + Net Change in Funds</t>
  </si>
  <si>
    <t>School:</t>
  </si>
  <si>
    <t>Opening Year:</t>
  </si>
  <si>
    <t>EFB % of Total Expenditures:</t>
  </si>
  <si>
    <t>EFB % of Total Revenue:</t>
  </si>
  <si>
    <t>Enrollment growth %:</t>
  </si>
  <si>
    <t>FRL % of total ADE</t>
  </si>
  <si>
    <t>Location:</t>
  </si>
  <si>
    <t>Federal IDEA per pupil estimate</t>
  </si>
  <si>
    <t>Title IV Part A (if qualified and funds available)</t>
  </si>
  <si>
    <t>Title III ELL annual estimate (if qualified and funds available)</t>
  </si>
  <si>
    <t>Title II Part A annual estimate (if qualified and funds available)</t>
  </si>
  <si>
    <t>Title I Part A per pupil estimate (if qualified and funds available)</t>
  </si>
  <si>
    <t>FRL Direct Cert count</t>
  </si>
  <si>
    <t>Total ADE:</t>
  </si>
  <si>
    <t>Food Services revenue from student fees/sales</t>
  </si>
  <si>
    <t>Contributions/donations/fundraising from Private Sources</t>
  </si>
  <si>
    <t>Investment Income (interest)</t>
  </si>
  <si>
    <t>School Activities (student dues and fees)</t>
  </si>
  <si>
    <t>Loan Proceeds &gt; 12 months</t>
  </si>
  <si>
    <t>TOTAL ANNUAL ESTIMATED REVENUE:</t>
  </si>
  <si>
    <t>Grade/Level ADE</t>
  </si>
  <si>
    <t>ANNUAL REVENUE PROJECTIONS</t>
  </si>
  <si>
    <t>ANNUAL REVENUE INPUTS</t>
  </si>
  <si>
    <t>ANNUAL REVENUE ESTIMATES</t>
  </si>
  <si>
    <t>Total Operating Revenue:</t>
  </si>
  <si>
    <t>Per Pupil Revenue:</t>
  </si>
  <si>
    <t>ADE Growth % year over year:</t>
  </si>
  <si>
    <t>School Year:</t>
  </si>
  <si>
    <t>Annual Staff Compensation Projections</t>
  </si>
  <si>
    <t>Workers Compensation</t>
  </si>
  <si>
    <t>Other misc. group benefits combined total:</t>
  </si>
  <si>
    <t>All</t>
  </si>
  <si>
    <t>Total compensation cost per pupil:</t>
  </si>
  <si>
    <t>Annual benefits inputs</t>
  </si>
  <si>
    <t>Annual wages by position</t>
  </si>
  <si>
    <t>Unemployment insurance</t>
  </si>
  <si>
    <t>Staff employment status</t>
  </si>
  <si>
    <t>Full-Time</t>
  </si>
  <si>
    <t>Part-Time</t>
  </si>
  <si>
    <t>Support Staff (Nurses, counselors, IT)</t>
  </si>
  <si>
    <t>Other Support Staff (maint/custodial, bus drivers, food service, etc.)</t>
  </si>
  <si>
    <t>Total Compensation Costs:</t>
  </si>
  <si>
    <t>Instructional aides</t>
  </si>
  <si>
    <t>General Ed Teachers (Licensed &amp; unlicensed)</t>
  </si>
  <si>
    <t>Weighted Population Teachers (SPED, ELL, GATE)</t>
  </si>
  <si>
    <t>Gen Ed Teacher-student ratio</t>
  </si>
  <si>
    <t>School leadership &amp; administration (administrators, front office, clerical)</t>
  </si>
  <si>
    <t>Instructional Supplies (classroom related)</t>
  </si>
  <si>
    <t>General Supplies - Non-IT Related of Lower Value ($999 or less)</t>
  </si>
  <si>
    <t>General Supplies - Non-IT Related of Higher Value ($1,000-$4,999)</t>
  </si>
  <si>
    <t>Natural Gas</t>
  </si>
  <si>
    <t>Electricity</t>
  </si>
  <si>
    <t>Textbooks</t>
  </si>
  <si>
    <t>IT hardware of Lower value ($999 or less)</t>
  </si>
  <si>
    <t>IT hardware of Higher Value ($1000-$4999)</t>
  </si>
  <si>
    <t>IT software installed on devices</t>
  </si>
  <si>
    <t>IT web based programs</t>
  </si>
  <si>
    <t>Food expenditures for school food service programs</t>
  </si>
  <si>
    <t>Supply description</t>
  </si>
  <si>
    <t>Front office/admin Supplies</t>
  </si>
  <si>
    <t>Facility supplies (utilities, maintenance/custodial, buildings &amp; grounds)</t>
  </si>
  <si>
    <t>Other support service supplies (nurse, counselors, food service, IT, etc.)</t>
  </si>
  <si>
    <t>Sub-total Instructional Supplies:</t>
  </si>
  <si>
    <t>Sub-total Admin Supplies:</t>
  </si>
  <si>
    <t>Sub-total Other Supplies:</t>
  </si>
  <si>
    <t>Sub-total Facility Supplies:</t>
  </si>
  <si>
    <t>Total costs per pupil:</t>
  </si>
  <si>
    <t>Annual  Expenditure Estimate - PURCHASED SERVICES</t>
  </si>
  <si>
    <t>Instructional Services (general classroom related)</t>
  </si>
  <si>
    <t>Instructional Services (weighted populations - SPED, ELL, GATE related)</t>
  </si>
  <si>
    <t>Front office/admin services</t>
  </si>
  <si>
    <t>Other support service services (nurse, counselors, food service, IT, etc.)</t>
  </si>
  <si>
    <t>Facility services (utilities, maintenance/custodial, buildings &amp; grounds)</t>
  </si>
  <si>
    <t>Services description</t>
  </si>
  <si>
    <t>Codes</t>
  </si>
  <si>
    <t>Professional Ed Services (curriculum, assessment, counseling)</t>
  </si>
  <si>
    <t>Prof. Development - Teachers</t>
  </si>
  <si>
    <t>Prof. Development - Inst. Aids</t>
  </si>
  <si>
    <t>Prof. Development - Licensed Admin</t>
  </si>
  <si>
    <t>Prof. Development - Non-Lic. Admin</t>
  </si>
  <si>
    <t>Prof. Development - Other Licensed (counselors, nurses, etc.)</t>
  </si>
  <si>
    <t>Prof. Development - Other Non-Lic. Staff</t>
  </si>
  <si>
    <t>Other Prof. Services (legal, accountants, therapists, etc.)</t>
  </si>
  <si>
    <t>Charter Mgmt Firm/Agency fees</t>
  </si>
  <si>
    <t>Marketing Services</t>
  </si>
  <si>
    <t>Technology Services (data processing, student assessment, IT support, etc.)</t>
  </si>
  <si>
    <t>Other misc services (non-professional)</t>
  </si>
  <si>
    <t>Utility services (water, sewer)</t>
  </si>
  <si>
    <t>Cleaning services (waste, custodial)</t>
  </si>
  <si>
    <t>Maintenance services, Non-IT (bldgs &amp; grounds)</t>
  </si>
  <si>
    <t>Maintenance Services, IT/Tech</t>
  </si>
  <si>
    <t>Rental services, Land/Bldgs</t>
  </si>
  <si>
    <t>Rental services, Equipment &amp; Vehicles</t>
  </si>
  <si>
    <t>Rental services, Tech</t>
  </si>
  <si>
    <t>Rental services, Misc (books, supplies, etc.)</t>
  </si>
  <si>
    <t>Construction services</t>
  </si>
  <si>
    <t>Student transportation services</t>
  </si>
  <si>
    <t>Liability Insurance</t>
  </si>
  <si>
    <t>Communication services (phone, internet, postage)</t>
  </si>
  <si>
    <t>Advertising (ads, social media, etc.)</t>
  </si>
  <si>
    <t>Printing &amp; Binding</t>
  </si>
  <si>
    <t>Tuition paid (post-secondary, districts, other charters)</t>
  </si>
  <si>
    <t>Food Service Mgmt</t>
  </si>
  <si>
    <t>Travel costs for Staff</t>
  </si>
  <si>
    <t>Charter Sponsorship Fees (SPCSA fee)</t>
  </si>
  <si>
    <t>Construction Services (below $5k)</t>
  </si>
  <si>
    <t>Capital Purchases description</t>
  </si>
  <si>
    <t>Buildings (purchase of existing buildings)</t>
  </si>
  <si>
    <t>Machinery</t>
  </si>
  <si>
    <t>Annual  Expenditure Estimate - SUPPLIES (less than $5k)</t>
  </si>
  <si>
    <t>Technology - Software</t>
  </si>
  <si>
    <t>Debt Service description</t>
  </si>
  <si>
    <t>Dues &amp; Fees (student contests/events, memberships)</t>
  </si>
  <si>
    <t>Redemption of Principal Debt</t>
  </si>
  <si>
    <t>Debt issuance costs (bonds)</t>
  </si>
  <si>
    <t>Capital lease payments (leases &gt; 12 months)</t>
  </si>
  <si>
    <t>Interest expense on long-term debt</t>
  </si>
  <si>
    <t>Capital Expenditures above $5k capitalization threshold</t>
  </si>
  <si>
    <t>Debt Service &amp; Capital Leases</t>
  </si>
  <si>
    <t>Sub-total Capital expenditures:</t>
  </si>
  <si>
    <t>Sub-total expenditures per pupil:</t>
  </si>
  <si>
    <t>Sub-total Debt expenditures:</t>
  </si>
  <si>
    <t>Sub-total Instructional services:</t>
  </si>
  <si>
    <t>Sub-total Admin services:</t>
  </si>
  <si>
    <t>Sub-total Other services:</t>
  </si>
  <si>
    <t>Sub-total Facility services:</t>
  </si>
  <si>
    <t>Total expenditures per pupil:</t>
  </si>
  <si>
    <t>Annual  Expenditure Estimate - Capital Purchases &amp; Debt</t>
  </si>
  <si>
    <t>Sub-total Operating Revenue:</t>
  </si>
  <si>
    <t>Operating Revenue per pupil:</t>
  </si>
  <si>
    <t>Total resources per pupil:</t>
  </si>
  <si>
    <t>Sub-total Operating Expenditures:</t>
  </si>
  <si>
    <t>Operating expenditures per pupil:</t>
  </si>
  <si>
    <t>Total Annual Revenue:</t>
  </si>
  <si>
    <t>TOTAL ANNUAL SUPPLIES:</t>
  </si>
  <si>
    <t>TOTAL ANNUAL PURCHASED SERVICES:</t>
  </si>
  <si>
    <t>TOTAL ANNUAL CAPITAL &amp; DEBT:</t>
  </si>
  <si>
    <t>Compensation cost % of Operating Expenditures:</t>
  </si>
  <si>
    <t>Sub-total Operating &amp; Capital expenditures:</t>
  </si>
  <si>
    <t>Total Expenditures:</t>
  </si>
  <si>
    <t>Contingency fund (3% max):</t>
  </si>
  <si>
    <t>Year 1 Total</t>
  </si>
  <si>
    <t>Cash Flow Estimates, Years 0 and 1</t>
  </si>
  <si>
    <t>WORKBOOK INPUTS</t>
  </si>
  <si>
    <t>Total Available Resources (OFB + Revenue):</t>
  </si>
  <si>
    <t>INTRODUCTION TO THE FINANCIAL PLAN WORKBOOK</t>
  </si>
  <si>
    <t>UNDERSTANDING THE WORKBOOK</t>
  </si>
  <si>
    <t>INSTRUCTIONS</t>
  </si>
  <si>
    <t>You are here.</t>
  </si>
  <si>
    <t>STAFF</t>
  </si>
  <si>
    <t>Transparent Nevada</t>
  </si>
  <si>
    <t>SUMMARY</t>
  </si>
  <si>
    <t>Financial Plan Workbook Preparation Team</t>
  </si>
  <si>
    <t>Name</t>
  </si>
  <si>
    <t>Member of CTF?</t>
  </si>
  <si>
    <t>Paid Preparer?</t>
  </si>
  <si>
    <t>Proposed Role With School</t>
  </si>
  <si>
    <t>Proposed Name of School:</t>
  </si>
  <si>
    <t>Board Member Approval:</t>
  </si>
  <si>
    <t>Name of Committee To Form contact(s)</t>
  </si>
  <si>
    <t>Phone number</t>
  </si>
  <si>
    <t xml:space="preserve">  email address</t>
  </si>
  <si>
    <t>Test</t>
  </si>
  <si>
    <t>School Location(s) under consideration: (Addresses or cross streets, City)(1 minimum, 2 maximum)</t>
  </si>
  <si>
    <t>Site 2</t>
  </si>
  <si>
    <t>Specific address recommended but not required .  Target cross streets required at a minimum.</t>
  </si>
  <si>
    <t>Supporting documentation attached? (y/n)</t>
  </si>
  <si>
    <t>Three sample Listings of buildings in targeted/planned zip code being considered.</t>
  </si>
  <si>
    <t>Listing must show available square footage, lease rates, location. (E.g., Loopnet)</t>
  </si>
  <si>
    <t>For start-up funding</t>
  </si>
  <si>
    <t>For fundraising</t>
  </si>
  <si>
    <t>FINANCIAL PLAN TITLE SHEET</t>
  </si>
  <si>
    <t>Proposed Location (City)</t>
  </si>
  <si>
    <t>Proposed Location (County)</t>
  </si>
  <si>
    <t>Proposed Opening Year:</t>
  </si>
  <si>
    <t>FRL count with 1.6 multiplier</t>
  </si>
  <si>
    <t>ENROLLMENT</t>
  </si>
  <si>
    <t>REVENUE</t>
  </si>
  <si>
    <t>SUPPLIES</t>
  </si>
  <si>
    <t>SERVICES</t>
  </si>
  <si>
    <t>CAPITAL &amp; DEBT</t>
  </si>
  <si>
    <t>CASH FLOW</t>
  </si>
  <si>
    <t>Total Other Revenue (short term debt &lt;12mos or working capital portion of long-term debt)</t>
  </si>
  <si>
    <t>Health Ins. Annual premium</t>
  </si>
  <si>
    <r>
      <t xml:space="preserve">This New School Financial Plan Workbook (FPW) is a critical and mandatory component of the new scool application.  The financial health of a school is vital to the success of its programs, and utlimately the success of educational outcomes for students.  It is also one of the primary reasons charter schools fail across the nation.  This workbook spans the first 6 years of the school, including year 0, which is considered the 'planning' phase of the school 1 year prior to the school's opening.  
</t>
    </r>
    <r>
      <rPr>
        <b/>
        <sz val="11"/>
        <color theme="1"/>
        <rFont val="Aptos Narrow"/>
        <family val="2"/>
        <scheme val="minor"/>
      </rPr>
      <t xml:space="preserve">Please familiarize yourself with the following general instructions prior to data entry. </t>
    </r>
  </si>
  <si>
    <t xml:space="preserve">Applicants must enter projected Average Daily Enrollment (ADE) for all grade levels for years 1-5, including prospective weighted populations including: Special Education (SPED), English Language Learners (ELL), At-Risk (AR) populations, Gifted and Talented (GATE), and the quantity of students projected to qualify for Medicaid direct certification.  </t>
  </si>
  <si>
    <t>HELPFUL LINKS</t>
  </si>
  <si>
    <t>NRS 354</t>
  </si>
  <si>
    <t>NAC 387</t>
  </si>
  <si>
    <t>Chart of Accounts</t>
  </si>
  <si>
    <t>This section will capture all revenue sources projected to be received by the school beginning with year 0.  The tab has 2 distinct sections, Revenue Inputs and Annual Revenue Estimates.  The Revenue Inputs will be provided by the SPCSA, and the Revenue Estimates section is for schools to enter various projected revenues in subcategories aligning with the NDE Chart of Accounts (see link below).  Most of the State and Federal revenue lines will be automatically calculated based on the Inputs provided by the SPCSA.</t>
  </si>
  <si>
    <t>The general format of this workbook aligns with the Nevada Department of Education's prescribed chart of accounts for education finance.  This account code structure aligns with the National Center for Education Statistics (NCES) for Federal reporting purposes.  For detailed descriptions on the Chart of Accounts, see links at the bottom of this page.
In accordance with NRS 354, the creation of fiscal funds is required to account for revenue and expenditures in local governments.  This includes public school districts and charter schools.  NAC 387 dictates the budget authority for school boards and leaders in expending funds.</t>
  </si>
  <si>
    <t>The hiring plan reflected in this sheet MUST match the Staffing Plan table in the narrative and the organizational charts. This tab must contain ALL school employees. DO NOT include contracted service providers, consultants, etc. in this section.  For those items, use the Services section and see the Chart of Accounts for detailed descriptions on how to code them.</t>
  </si>
  <si>
    <t>Use the same titles/role names that you use in your application and will use in the school.</t>
  </si>
  <si>
    <t>The Benefits Inputs section has both hard-coded items, such as PERS, Social Security and Medicaid, provided by SPCSA staff, and estimates for the applicant to input.  These items will be utilized in calculating the Benefits section at the bottom.</t>
  </si>
  <si>
    <t>Positions that change status from one year to the next (i.e. part-time to full-time) should be captured on separate lines in order to code the employment status correctly.</t>
  </si>
  <si>
    <t>This section is for the applicant to list all supplies purchased below the NDE capitalization threshold of $5,000.  Use the drop-down menu in each cell of column C to select a supply category, then input a description of the supply being purchased in column D.  Column B will show the applicable Chart of Account object code.  For a more detailed description of the code, visit the Chart of Accounts link at the bottom of the page.</t>
  </si>
  <si>
    <t>Items purchased should align with the academic program plan outlined in the school's application.</t>
  </si>
  <si>
    <t>Use the Explanation/Notes section to describe purchasing methodology/reasoning.  Some examples might include notes around technology replacement timelines, annual per pupil general supply assumptions, etc.</t>
  </si>
  <si>
    <t>This section is for the applicant to list all services purchased by the school and as categorized by the Chart of Accounts.  Use the drop-down menu in each cell of column C to select a service category, then input a description of the service being purchased in column D.  Column B will show the applicable Chart of Account object code.  For a more detailed description of the code, visit the Chart of Accounts link at the bottom of the page.</t>
  </si>
  <si>
    <t>Use the Explanation/Notes section to describe purchasing methodology/reasoning.  Some examples might include subcontractor descriptions, growth in service expenditures related to student growth, etc.</t>
  </si>
  <si>
    <t>This tab is divided into 2 sections, Capital Expenditures and Debt.   Use the drop-down menu in each cell of column C to select a relevant category, then input a description of the item in column D.  Column B will show the applicable Chart of Account object code.  For a more detailed description of the code, visit the Chart of Accounts link at the bottom of the page.</t>
  </si>
  <si>
    <t>Capital purchases are for all goods exceeding the NDE capitalization threshold of $5,000.  Examples include:  building and land purchases, vehicles, technology hardware, equipment, and construction services (labor and materials).</t>
  </si>
  <si>
    <t>Debt &amp; Capital Leases include all debt instruments with terms greater than 12 months.  In accordance with GASB 87, leases for buildings, equipment, etc. greater than 12 months are to be captured as debt rather than a supply or service purchase.  Other examples of debt include:  working capital loans greater than 12 months, bonds for building purchases/construction, vehicle loans, etc.</t>
  </si>
  <si>
    <t>NAC 354</t>
  </si>
  <si>
    <t>This tab summarizes all the financial and enrollment information from the other tabs in similar fashion to other financial reports required by the State.  Only the contingency line requires user input.  Applicants should review this information for accuracy prior to submitting the workbook.  In accordance with NAC 354.650, ending fund balances below 4% of expenditures in any given year require written notification and approval from the SPCSA and the Nevada Department of Education.</t>
  </si>
  <si>
    <t>For Year 0, fundraising, donations and grants (including CSP) should be captured in the Local Revenues section.</t>
  </si>
  <si>
    <t>Debt instruments greater than 12 months, such as bond financing, bank loans, equipment loans, etc. should be captured in the Other Revenue Section.</t>
  </si>
  <si>
    <t>Microsoft Excel is the required software program to be used for this workbook.  It will not function property in other programs such as Google Sheets.</t>
  </si>
  <si>
    <r>
      <t xml:space="preserve">YELLOW cell indicate that applicant inputs are accepted and/or required. Applicants should input data </t>
    </r>
    <r>
      <rPr>
        <b/>
        <u/>
        <sz val="11"/>
        <color theme="1"/>
        <rFont val="Aptos"/>
        <family val="2"/>
      </rPr>
      <t>ONLY in yellow cells</t>
    </r>
    <r>
      <rPr>
        <sz val="11"/>
        <color theme="1"/>
        <rFont val="Aptos"/>
        <family val="2"/>
      </rPr>
      <t>.</t>
    </r>
  </si>
  <si>
    <t>GREY cells are those that are not applicable and therefore not required or usable.</t>
  </si>
  <si>
    <t>Applicants MUST complete ALL sheets with yellow cells, starting with the Title Page.</t>
  </si>
  <si>
    <r>
      <rPr>
        <sz val="11"/>
        <color theme="1"/>
        <rFont val="Aptos"/>
        <family val="2"/>
      </rPr>
      <t>A member of the proposed school’s board must review and approve the FPW.</t>
    </r>
    <r>
      <rPr>
        <sz val="11"/>
        <color theme="1"/>
        <rFont val="Symbol"/>
        <family val="1"/>
        <charset val="2"/>
      </rPr>
      <t xml:space="preserve"> </t>
    </r>
    <r>
      <rPr>
        <sz val="11"/>
        <color theme="1"/>
        <rFont val="Aptos Narrow"/>
        <family val="2"/>
        <scheme val="minor"/>
      </rPr>
      <t>Board members are expected to be prepared to discuss the FPW at the interview.</t>
    </r>
  </si>
  <si>
    <t>DO NOT delete any worksheet, add additional worksheets, or re-order the worksheet tabs.</t>
  </si>
  <si>
    <t xml:space="preserve">Within each worksheet, applicants may not need to input values in EVERY yellow cell. </t>
  </si>
  <si>
    <t>Note that inputs on various sheets will be used to calculate or complete other sections of the workbook.</t>
  </si>
  <si>
    <t>Each input line includes a field titled “Explanation comments/notes.” This is for applicants to explain, in detail, their methodology/reasoning for the input item.</t>
  </si>
  <si>
    <t>Please remember that the figures entered in this workbook should align with your application, and specifically your Budget Narrative.</t>
  </si>
  <si>
    <t>TAB DESCRIPTIONS AND INSTRUCTIONS</t>
  </si>
  <si>
    <t>TITLE</t>
  </si>
  <si>
    <r>
      <rPr>
        <sz val="11"/>
        <color theme="1"/>
        <rFont val="Aptos Narrow"/>
        <family val="2"/>
        <scheme val="minor"/>
      </rPr>
      <t>Column C, Employment Status, determines each employee's benefit selections.   ALL employees eligible for PERS are considered Full-Time.</t>
    </r>
  </si>
  <si>
    <r>
      <t xml:space="preserve">This tab captures the projected cash flow for the school for years 0 and 1 of operations.  Year 0 is summarized in 1 column, while year 1, the first year of school operations, is tracked by month for the entire year.  Although initial formulas are input into many of the yellow input cells, it is the </t>
    </r>
    <r>
      <rPr>
        <b/>
        <u/>
        <sz val="11"/>
        <color theme="1"/>
        <rFont val="Aptos Narrow"/>
        <family val="2"/>
        <scheme val="minor"/>
      </rPr>
      <t>applicant's responsibility to finalize</t>
    </r>
    <r>
      <rPr>
        <sz val="11"/>
        <color theme="1"/>
        <rFont val="Aptos Narrow"/>
        <family val="2"/>
        <scheme val="minor"/>
      </rPr>
      <t xml:space="preserve"> the estimated cash flow projections for each month/year.  </t>
    </r>
  </si>
  <si>
    <t>PCFP Adjusted Base Funding FY26-27</t>
  </si>
  <si>
    <t>Carson City</t>
  </si>
  <si>
    <t>Churchill</t>
  </si>
  <si>
    <t>Clark</t>
  </si>
  <si>
    <t>Douglas</t>
  </si>
  <si>
    <t>Elko</t>
  </si>
  <si>
    <t>Esmeralda</t>
  </si>
  <si>
    <t>Eureka</t>
  </si>
  <si>
    <t>Humboldt</t>
  </si>
  <si>
    <t>Lander</t>
  </si>
  <si>
    <t>Lincoln</t>
  </si>
  <si>
    <t>Lyon</t>
  </si>
  <si>
    <t>Mineral</t>
  </si>
  <si>
    <t>Nye</t>
  </si>
  <si>
    <t>Pershing</t>
  </si>
  <si>
    <t>Storey</t>
  </si>
  <si>
    <t>Washoe</t>
  </si>
  <si>
    <t>White Pine</t>
  </si>
  <si>
    <t>Per Pupil Adjusted Base</t>
  </si>
  <si>
    <t>County</t>
  </si>
  <si>
    <t>Statewide base (online schools)</t>
  </si>
  <si>
    <t>Enter information in yellow cells only. You must enter a correct County of location, as this will determine your school's PCFP per pupil funding on the revenue tab.  You also MUST identify the primary preparers of the FPW, even if they are not on the CTF, including any contributing vendors, whether paid or unpaid. Additionally, at least one proposed board member must review and approve the completed FPW by inputting their name(s) in cell 9G. Board members are expected to be able to discuss the FPW during the interview.</t>
  </si>
  <si>
    <t>Based on EE/ER contribution rate for 2026-27 school year.  Staff working at minimum of .75FTE must receive PERS.</t>
  </si>
  <si>
    <t>Only for staff not eligible for PERS (less than .75 FTE)</t>
  </si>
  <si>
    <t>Employment status eligibility</t>
  </si>
  <si>
    <t>Applicable to all staff</t>
  </si>
  <si>
    <t>1.25% of PCFP base revenue</t>
  </si>
  <si>
    <t>*SPCSA sponsor fee, deducted monthly from PCFP payment</t>
  </si>
  <si>
    <t>Legal Prep Charter Academy</t>
  </si>
  <si>
    <t>Las Vegas</t>
  </si>
  <si>
    <t>Samuel Finkelstein</t>
  </si>
  <si>
    <t>Dr. W. James Donner</t>
  </si>
  <si>
    <t>Yes</t>
  </si>
  <si>
    <t>No</t>
  </si>
  <si>
    <t>CEO</t>
  </si>
  <si>
    <t>Board Member / Treasurer</t>
  </si>
  <si>
    <t>E-Rate revenue is based on a 90% discount rate due to the school’s high percentage of economically disadvantaged students. Category 1 funding is based on estimated high-speed Internet service (approximately $1,300/month), while Category 2 funding is included in Year 1 only based on the federal per-student cap for internal connections. No Category 2 funding is assumed in Years 2–5.</t>
  </si>
  <si>
    <t>Charter Schools Program (CSP) funding is based on a previously awarded grant for Legal Prep’s Indianapolis campus, with similar assumptions used for planning purposes. Legal Prep intends to apply for CSP start-up funding through Opportunity 180 during the upcoming Nevada grant cycle. While final award amounts and timing are subject to approval, this projection reflects a reasonable and conservative estimate of anticipated funding to support Year 0 planning and early implementation.</t>
  </si>
  <si>
    <t>Paraprofessional</t>
  </si>
  <si>
    <t>Principal</t>
  </si>
  <si>
    <t>Special Populations Coordinator</t>
  </si>
  <si>
    <t>Social Worker</t>
  </si>
  <si>
    <t>School Launch Director</t>
  </si>
  <si>
    <t>Internship Coordinator</t>
  </si>
  <si>
    <t>Teacher salaries reflect a blended average of early-career and experienced educators, designed to remain competitive with Clark County School District while maintaining financial sustainability. Annual increases reflect modest step and cost-of-living adjustments.</t>
  </si>
  <si>
    <t>Salaries align with general education teacher scale with consideration for specialized certifications and responsibilities. Staffing levels are aligned to projected student needs and service requirements.</t>
  </si>
  <si>
    <t>Compensation reflects market rates for support staff in Las Vegas and increases modestly over time to support retention and consistency in student services.</t>
  </si>
  <si>
    <t>Salaries are aligned with local market rates for school-based mental health professionals and reflect the school’s commitment to providing strong social-emotional and student support services.</t>
  </si>
  <si>
    <t>Compensation reflects a blended role focused on school culture, safety, and student support, and is aligned to charter school benchmarks rather than traditional district assistant principal roles.</t>
  </si>
  <si>
    <t>Assistant Principal compensation is aligned to local market rates and reflects increasing leadership responsibility as the school grows.</t>
  </si>
  <si>
    <t>Compensation reflects the specialized expertise required to oversee special education and ELL compliance and programming, including relevant certifications and leadership responsibilities.</t>
  </si>
  <si>
    <t>Salaries reflect the importance of postsecondary planning and career readiness within the Legal Prep model, aligned to market rates for similar roles.</t>
  </si>
  <si>
    <t>Administrative staff salaries reflect local market rates and increase modestly over time to support retention and operational continuity.</t>
  </si>
  <si>
    <t>Health insurance costs are estimated at approximately $7,500 per full-time employee in Year 1, based on expected employer premium contributions and plan design. A 3% annual increase is applied in future years to reflect anticipated cost growth.</t>
  </si>
  <si>
    <t>Classroom Supplies</t>
  </si>
  <si>
    <t>$50 per student</t>
  </si>
  <si>
    <t>Student Uniforms</t>
  </si>
  <si>
    <t>Offset by uniform purchases of $60 per student</t>
  </si>
  <si>
    <t>Students purchase uniform shirts, sweatshirt, and school supplies that are provided at cost</t>
  </si>
  <si>
    <t>SPED Related Service Providers</t>
  </si>
  <si>
    <t>Y1 SPED Service Providers: Nurse at 7 hours per week x 40 weeks x $50 ($14,000); Psych at 7 hours per week x 40 weeks x $60 ($16,800); Speech at 1 hour per week x 40 weeks x $50 ($2K). Built in annual increases</t>
  </si>
  <si>
    <t>Professional Development, including retreat and summer PD leading into each school year</t>
  </si>
  <si>
    <t>Substitute Teachers</t>
  </si>
  <si>
    <t>Number of gen ed teachers x 10 PTO days x $150 per sub</t>
  </si>
  <si>
    <t>Audit Services</t>
  </si>
  <si>
    <t>Shared professional services</t>
  </si>
  <si>
    <t>Service Contract with Legal Prep Charter Academies, which includes: (1) administrative oversight; (2) compliance; (3) accounting services; (4) purchasing support; (5) human resources; (6) limited legal services; (7) law program facilitation; (8) student information system; (9) data dashboards; and (10) development services. In addition, the Service Contract will include reimbursement of salary for Chicago academic staff providing curriculum planning, SPED services, teacher training and coaching, and performance assessment (which reimbursements are incorporated into the personnel costs budgeted above).</t>
  </si>
  <si>
    <t>Custodial Service Contract</t>
  </si>
  <si>
    <t>Student Recruitment</t>
  </si>
  <si>
    <t>General Office Supplies</t>
  </si>
  <si>
    <t>Slow growth model starting with one middle school and one high school grade; conservative enrollment targets based on historical data from Clark County charter schools</t>
  </si>
  <si>
    <t>Rating estimated to drop after year 2</t>
  </si>
  <si>
    <t>Estimated sub-total of other group policy premiums</t>
  </si>
  <si>
    <t>High School English 1</t>
  </si>
  <si>
    <t>High School Math 1</t>
  </si>
  <si>
    <t>High School Law 1</t>
  </si>
  <si>
    <t>Middle School - 6th 1</t>
  </si>
  <si>
    <t>Middle School - 6th 2</t>
  </si>
  <si>
    <t>High School English 2</t>
  </si>
  <si>
    <t>High School Math 3</t>
  </si>
  <si>
    <t>High School Math 2</t>
  </si>
  <si>
    <t>High School Science 1</t>
  </si>
  <si>
    <t>Middle School Elective 1</t>
  </si>
  <si>
    <t>High School Soc Studies 1</t>
  </si>
  <si>
    <t>High School Foreign Lang 1</t>
  </si>
  <si>
    <t>Middle School - 7th 1</t>
  </si>
  <si>
    <t>Middle School - 7th 2</t>
  </si>
  <si>
    <t>High School English 3</t>
  </si>
  <si>
    <t>High School Law 2</t>
  </si>
  <si>
    <t>High School Science 2</t>
  </si>
  <si>
    <t>Middle School - 8th 1</t>
  </si>
  <si>
    <t>Middle School - 8th 2</t>
  </si>
  <si>
    <t>Middle School - 8th 3</t>
  </si>
  <si>
    <t>High School English 4</t>
  </si>
  <si>
    <t>High School Math 4</t>
  </si>
  <si>
    <t>High School Soc Studies 2</t>
  </si>
  <si>
    <t>High School Elective 1</t>
  </si>
  <si>
    <t>High School Law 3</t>
  </si>
  <si>
    <t>Special Education 1</t>
  </si>
  <si>
    <t>ELL Teacher 1</t>
  </si>
  <si>
    <t>Special Education 2</t>
  </si>
  <si>
    <t>Special Education 3</t>
  </si>
  <si>
    <t>Special Education 4</t>
  </si>
  <si>
    <t>ELL Teacher 2</t>
  </si>
  <si>
    <t>Instructional aide 1</t>
  </si>
  <si>
    <t>Instructional aide 2</t>
  </si>
  <si>
    <t>SEL Counselor 1</t>
  </si>
  <si>
    <t>SEL Counselor 2</t>
  </si>
  <si>
    <t>Assistant Dean 1</t>
  </si>
  <si>
    <t>Assistant Dean 2</t>
  </si>
  <si>
    <t>Assistant Dean 3</t>
  </si>
  <si>
    <t>Assistant Principal 1</t>
  </si>
  <si>
    <t>Assistant Principal 2</t>
  </si>
  <si>
    <t>Office Admin 1</t>
  </si>
  <si>
    <t>Office Admin 2</t>
  </si>
  <si>
    <t>College Counselor 1</t>
  </si>
  <si>
    <t>Principal salary is competitive with local district leadership roles and reflects the additional responsibilities of a founding principal, including oversight of school launch, staffing, and program implementation. This position starts in Year 0.</t>
  </si>
  <si>
    <t>Student Chromebooks</t>
  </si>
  <si>
    <t>Chromebook Charging Stations</t>
  </si>
  <si>
    <t>Chromebook Cases</t>
  </si>
  <si>
    <t>Classroom FF&amp;E</t>
  </si>
  <si>
    <t>Classroom Monitors</t>
  </si>
  <si>
    <t>Internet Service</t>
  </si>
  <si>
    <t>Estimated 2 GB Internet service ($1,300 per month), 90% of this amount is offset by revenue</t>
  </si>
  <si>
    <t>Facility Lease</t>
  </si>
  <si>
    <t>Copier Lease</t>
  </si>
  <si>
    <t>Satellite bus service for students</t>
  </si>
  <si>
    <t>Student Chromebooks - Lenovo 100e ($350 per device)</t>
  </si>
  <si>
    <t>Classroom Desk &amp; Chair Sets ($150 per set x 30 desks per classroom)</t>
  </si>
  <si>
    <t>Student Chromebook Case - Gumdrop DropTech Laptop Case for Lenovo 300e Chromebook – Drop Tested, Rugged, Shockproof ($44 per case)</t>
  </si>
  <si>
    <t>75" television monitors for classroom projection ($750 per device)</t>
  </si>
  <si>
    <t>Dell Latitude 5550 AI-Ready 15.6" Laptop – Intel Core Ultra 7 - 16 GB RAM - 512 GB SSD - Windows 11 Pro - 2024 Version ($1300 per device)</t>
  </si>
  <si>
    <t>Classroom Telephones</t>
  </si>
  <si>
    <t>Support Staff Computers</t>
  </si>
  <si>
    <t>Support Staff Telephones</t>
  </si>
  <si>
    <t>VOIP Classroom Telephones ($150 per device)</t>
  </si>
  <si>
    <t>Non-instructional supplies</t>
  </si>
  <si>
    <t>Evolve Express Weapons Detector</t>
  </si>
  <si>
    <t>Radios and Charging Stations</t>
  </si>
  <si>
    <t>Web-based student safety platforms</t>
  </si>
  <si>
    <t>Go Guardian and Hapara subscriptions</t>
  </si>
  <si>
    <t>Web-based programs for instruction and assessment</t>
  </si>
  <si>
    <t>Infinite Campus SIS</t>
  </si>
  <si>
    <t>$15K Start-Up costs + $12 per student subscription</t>
  </si>
  <si>
    <t>Includes IXL, Progress Learning platform, Edgenuity, Mastery Manager, Quizzz, Peardeck, Nearpod, and Diffit</t>
  </si>
  <si>
    <t>Cannon copier lease</t>
  </si>
  <si>
    <t>This line reflects contracted support from Legal Prep’s Illinois-based organization to provide fractional leadership across key functions, including the CEO, Development Director, Director of Operations, and Director of Legal Programming. These roles support essential startup activities such as recruitment, enrollment, financial systems, compliance, and program design. The amount represents a reasonable allocation of shared expertise during the incubation year and initial implementation period and is anticipated to be funded through the CSP.</t>
  </si>
  <si>
    <t>Contracted startup support from affiliated Legal Prep organization to provide fractional executive, development, operations, and programmatic leadership during the incubation year and initial implementation period</t>
  </si>
  <si>
    <t>Technology Infrasture</t>
  </si>
  <si>
    <t>Servers, switches, and WiFi access points</t>
  </si>
  <si>
    <t>Security cameras and classroom entry access</t>
  </si>
  <si>
    <t>Family Outreach and Enrollment Coordinator</t>
  </si>
  <si>
    <t>Year 0 support for student recruitment and enrollment - independent contractor position</t>
  </si>
  <si>
    <t>Teacher and Suport Staff Computers</t>
  </si>
  <si>
    <t>Telephone Service</t>
  </si>
  <si>
    <t>$75 per device</t>
  </si>
  <si>
    <t>Business Personal Property Insurance</t>
  </si>
  <si>
    <t>VOIP phone service costs are based on estimated per-line monthly fees for administrative and instructional use, scaled to staffing levels and adjusted modestly as the school grows.</t>
  </si>
  <si>
    <t>Business personal property insurance covering school-owned equipment, technology, and furnishings, based on estimated replacement value and standard coverage levels.</t>
  </si>
  <si>
    <t>General liability insurance based on standard charter school coverage levels ($1M/$2M), protecting against claims related to student, staff, and visitor incidents.</t>
  </si>
  <si>
    <t>D&amp;O Insurance</t>
  </si>
  <si>
    <t>Directors and Officers (D&amp;O) insurance is based on standard coverage levels for public charter schools, providing protection for the Board of Directors and school leadership against claims related to governance, employment practices, and regulatory compliance. Estimated costs reflect comparable charter school policies and market rates.</t>
  </si>
  <si>
    <t>Chromebook charging station to securely store, charge, and manage loaner and overflow student devices, based on mid-range commercial pricing for durable, lockable charging carts with integrated power management. ($400 per unit)</t>
  </si>
  <si>
    <t>Utility costs are based on projected facility square footage growth over time and assume the school will grow into the space gradually. Electricity is budgeted higher than natural gas due to cooling demands, while both lines remain conservative planning estimates during the school’s early years.</t>
  </si>
  <si>
    <t>Student Incentive Program</t>
  </si>
  <si>
    <t>Law Program - Supplies</t>
  </si>
  <si>
    <t>Sports, Clubs, and Activities - Supplies</t>
  </si>
  <si>
    <t>Sports, Clubs, and Activities - Services</t>
  </si>
  <si>
    <t>Law Program - Services</t>
  </si>
  <si>
    <t>Student incentive costs are based on approximately $35 per student and include materials such as rewards, recognition items, and student engagement supports.</t>
  </si>
  <si>
    <t>Sports and extracurricular supplies include equipment, uniforms, and materials necessary to support student activities and programming.</t>
  </si>
  <si>
    <t>Law program supplies include instructional materials, mock trial resources, and other program-specific items that support the Legal Prep academic model.</t>
  </si>
  <si>
    <t>Law program services are primarily driven by transportation costs associated with off-site programming, as well as potential stipends or contracted services to support experiential learning opportunities.</t>
  </si>
  <si>
    <t>Sports and extracurricular services reflect costs associated with transportation for activities</t>
  </si>
  <si>
    <t>Sports and extracurricular services reflect costs associated with stipends for coaches and club sponsors, and other contracted services supporting student programming.</t>
  </si>
  <si>
    <t>First year with our internal rising 9th graders; increased 9th to 120 students without additional external recruitment needed</t>
  </si>
  <si>
    <t>Larger freshman class in the prior year is maintained</t>
  </si>
  <si>
    <t>Assumes alignment with high-need Clark County School District averages for students with IEPs, consistent with Legal Prep's inclusive model (15% of ADE)</t>
  </si>
  <si>
    <t>Reflects targeted recruitment in linguistically diverse communities and aligns with ELL populations in high-need Las Vegas schools (20% of ADE)</t>
  </si>
  <si>
    <t>Based on expected enrollment of predominantly economically disadvantaged population, consistent with SPCSA Needs Assessment priorities (80% of ADE)</t>
  </si>
  <si>
    <t>Assumes a high-poverty student population with targeted recruitment in high-need CCSD communities (75% of ADE)</t>
  </si>
  <si>
    <t>Only in place for year 1; position is replaced by an AP of Instruction in year 2</t>
  </si>
  <si>
    <t>General maintenance / custodial supplies</t>
  </si>
  <si>
    <t>Supplies beyond what is provided as a part of our cleaning company contract, which is under services</t>
  </si>
  <si>
    <t>$500 per teacher</t>
  </si>
  <si>
    <t>Investment in Evolv Express supports safe, efficient entry procedures through modern weapons detection technology. The system reduces staffing burden, minimizes disruptions, and aligns with the school's goal of maintaining a secure yet welcoming environment</t>
  </si>
  <si>
    <t>Initial lease is $300K ($25K per month); estimated 5% increase per year. Lease amount is assumed to include waste removal, as well as share of water/sewage fee</t>
  </si>
  <si>
    <t>CSP funding available at the beginning of the year, but other federal sources not received until November in Y1</t>
  </si>
  <si>
    <t>Benefits are paid in the following month</t>
  </si>
  <si>
    <t>10-month employees have the option to receive salary over 12 months</t>
  </si>
  <si>
    <t>$152,950 in year 2 supplies are purchasd in June using CSP funding; the remaining supplies are spread over the school year</t>
  </si>
  <si>
    <t>1.5% contingency budgeted to cover unknown costs</t>
  </si>
  <si>
    <t>Food Service Management Company</t>
  </si>
  <si>
    <t>Offsetting expense for food service revenue</t>
  </si>
  <si>
    <t>Food service revenue is based on participation in the federal Community Eligibility Provision (CEP), which allows the school to provide free breakfast and lunch to all students. Assumes 60% breakfast participation and 80% lunch participation over a 180-day school year, using estimated federal reimbursement rates of $2.50 per breakfast and $4.00 per lunch. Enrollment projections are applied for each year, with a 2% annual inflation increase in reimbursement rates.Offsetting expense is included under Services.</t>
  </si>
  <si>
    <t>$40K per bus route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</si>
</sst>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quot;SYE &quot;General"/>
    <numFmt numFmtId="168" formatCode="000\-000\-0000"/>
  </numFmts>
  <fonts count="33" x14ac:knownFonts="1">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
      <sz val="11"/>
      <color rgb="FF000000"/>
      <name val="Calibri"/>
      <family val="2"/>
    </font>
    <font>
      <b/>
      <sz val="12"/>
      <color theme="1"/>
      <name val="Aptos Narrow"/>
      <family val="2"/>
      <scheme val="minor"/>
    </font>
    <font>
      <b/>
      <u/>
      <sz val="11"/>
      <color theme="1"/>
      <name val="Aptos Narrow"/>
      <family val="2"/>
      <scheme val="minor"/>
    </font>
    <font>
      <sz val="10"/>
      <color theme="1"/>
      <name val="Aptos Narrow"/>
      <family val="2"/>
      <scheme val="minor"/>
    </font>
    <font>
      <sz val="9"/>
      <color theme="1"/>
      <name val="Aptos Narrow"/>
      <family val="2"/>
      <scheme val="minor"/>
    </font>
    <font>
      <b/>
      <u val="singleAccounting"/>
      <sz val="11"/>
      <color theme="1"/>
      <name val="Aptos Narrow"/>
      <family val="2"/>
      <scheme val="minor"/>
    </font>
    <font>
      <b/>
      <sz val="16"/>
      <color theme="1"/>
      <name val="Aptos Narrow"/>
      <family val="2"/>
      <scheme val="minor"/>
    </font>
    <font>
      <b/>
      <sz val="14"/>
      <color theme="1"/>
      <name val="Aptos Narrow"/>
      <family val="2"/>
      <scheme val="minor"/>
    </font>
    <font>
      <b/>
      <sz val="10"/>
      <color theme="1"/>
      <name val="Aptos Narrow"/>
      <family val="2"/>
      <scheme val="minor"/>
    </font>
    <font>
      <b/>
      <sz val="9"/>
      <color theme="1"/>
      <name val="Aptos Narrow"/>
      <family val="2"/>
      <scheme val="minor"/>
    </font>
    <font>
      <b/>
      <u/>
      <sz val="12"/>
      <color theme="1"/>
      <name val="Aptos Narrow"/>
      <family val="2"/>
      <scheme val="minor"/>
    </font>
    <font>
      <b/>
      <sz val="14"/>
      <color theme="0"/>
      <name val="Aptos Narrow"/>
      <family val="2"/>
      <scheme val="minor"/>
    </font>
    <font>
      <sz val="11"/>
      <color theme="1"/>
      <name val="Symbol"/>
      <family val="1"/>
      <charset val="2"/>
    </font>
    <font>
      <sz val="11"/>
      <color theme="1"/>
      <name val="Aptos"/>
      <family val="2"/>
    </font>
    <font>
      <u/>
      <sz val="8.8000000000000007"/>
      <color theme="10"/>
      <name val="Calibri"/>
      <family val="2"/>
    </font>
    <font>
      <sz val="12"/>
      <color indexed="8"/>
      <name val="Aptos Narrow"/>
      <family val="2"/>
      <scheme val="minor"/>
    </font>
    <font>
      <b/>
      <sz val="14"/>
      <color rgb="FF0000FF"/>
      <name val="Aptos Narrow"/>
      <family val="2"/>
      <scheme val="minor"/>
    </font>
    <font>
      <b/>
      <sz val="28"/>
      <color rgb="FF0000FF"/>
      <name val="Aptos Narrow"/>
      <family val="2"/>
      <scheme val="minor"/>
    </font>
    <font>
      <sz val="11"/>
      <color indexed="8"/>
      <name val="Aptos Narrow"/>
      <family val="2"/>
      <scheme val="minor"/>
    </font>
    <font>
      <b/>
      <sz val="11"/>
      <color indexed="8"/>
      <name val="Aptos Narrow"/>
      <family val="2"/>
      <scheme val="minor"/>
    </font>
    <font>
      <sz val="11"/>
      <color rgb="FF0000FF"/>
      <name val="Aptos Narrow"/>
      <family val="2"/>
      <scheme val="minor"/>
    </font>
    <font>
      <sz val="12"/>
      <color rgb="FF0000FF"/>
      <name val="Aptos Narrow"/>
      <family val="2"/>
      <scheme val="minor"/>
    </font>
    <font>
      <i/>
      <sz val="11"/>
      <color indexed="8"/>
      <name val="Aptos Narrow"/>
      <family val="2"/>
      <scheme val="minor"/>
    </font>
    <font>
      <b/>
      <sz val="18"/>
      <color theme="1"/>
      <name val="Aptos Narrow"/>
      <family val="2"/>
      <scheme val="minor"/>
    </font>
    <font>
      <b/>
      <sz val="16"/>
      <color theme="0"/>
      <name val="Aptos Narrow"/>
      <family val="2"/>
      <scheme val="minor"/>
    </font>
    <font>
      <sz val="11"/>
      <color theme="2" tint="-0.249977111117893"/>
      <name val="Aptos Narrow"/>
      <family val="2"/>
      <scheme val="minor"/>
    </font>
    <font>
      <u/>
      <sz val="11"/>
      <color theme="10"/>
      <name val="Aptos Narrow"/>
      <family val="2"/>
      <scheme val="minor"/>
    </font>
    <font>
      <b/>
      <u/>
      <sz val="11"/>
      <color theme="1"/>
      <name val="Aptos"/>
      <family val="2"/>
    </font>
    <font>
      <sz val="11"/>
      <color theme="1"/>
      <name val="Symbol"/>
      <family val="2"/>
      <charset val="2"/>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theme="3" tint="0.59999389629810485"/>
        <bgColor indexed="64"/>
      </patternFill>
    </fill>
    <fill>
      <patternFill patternType="solid">
        <fgColor indexed="43"/>
        <bgColor indexed="64"/>
      </patternFill>
    </fill>
    <fill>
      <patternFill patternType="solid">
        <fgColor theme="1"/>
        <bgColor indexed="64"/>
      </patternFill>
    </fill>
  </fills>
  <borders count="31">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top style="thin">
        <color indexed="64"/>
      </top>
      <bottom style="hair">
        <color indexed="22"/>
      </bottom>
      <diagonal/>
    </border>
    <border>
      <left/>
      <right/>
      <top/>
      <bottom style="hair">
        <color indexed="22"/>
      </bottom>
      <diagonal/>
    </border>
    <border>
      <left/>
      <right/>
      <top style="hair">
        <color indexed="22"/>
      </top>
      <bottom style="hair">
        <color indexed="22"/>
      </bottom>
      <diagonal/>
    </border>
    <border>
      <left style="hair">
        <color indexed="22"/>
      </left>
      <right style="hair">
        <color indexed="22"/>
      </right>
      <top style="hair">
        <color indexed="22"/>
      </top>
      <bottom style="hair">
        <color indexed="22"/>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alignment vertical="top"/>
      <protection locked="0"/>
    </xf>
    <xf numFmtId="0" fontId="30" fillId="0" borderId="0" applyNumberFormat="0" applyFill="0" applyBorder="0" applyAlignment="0" applyProtection="0"/>
  </cellStyleXfs>
  <cellXfs count="278">
    <xf numFmtId="0" fontId="0" fillId="0" borderId="0" xfId="0"/>
    <xf numFmtId="0" fontId="0" fillId="0" borderId="0" xfId="0" applyAlignment="1">
      <alignment horizontal="center"/>
    </xf>
    <xf numFmtId="0" fontId="0" fillId="0" borderId="0" xfId="0" applyAlignment="1">
      <alignment wrapText="1"/>
    </xf>
    <xf numFmtId="0" fontId="0" fillId="0" borderId="1" xfId="0" applyBorder="1" applyAlignment="1">
      <alignment wrapText="1"/>
    </xf>
    <xf numFmtId="0" fontId="0" fillId="0" borderId="0" xfId="0" applyAlignment="1">
      <alignment horizontal="left"/>
    </xf>
    <xf numFmtId="165" fontId="0" fillId="0" borderId="0" xfId="2" applyNumberFormat="1" applyFont="1"/>
    <xf numFmtId="0" fontId="0" fillId="0" borderId="1" xfId="0" applyBorder="1" applyAlignment="1">
      <alignment horizontal="center"/>
    </xf>
    <xf numFmtId="0" fontId="0" fillId="0" borderId="0" xfId="0" applyAlignment="1">
      <alignment horizontal="left" indent="1"/>
    </xf>
    <xf numFmtId="0" fontId="0" fillId="0" borderId="2" xfId="0" applyBorder="1"/>
    <xf numFmtId="0" fontId="0" fillId="0" borderId="2" xfId="0" applyBorder="1" applyAlignment="1">
      <alignment horizontal="center"/>
    </xf>
    <xf numFmtId="165" fontId="0" fillId="0" borderId="2" xfId="2" applyNumberFormat="1" applyFont="1" applyBorder="1"/>
    <xf numFmtId="0" fontId="2" fillId="0" borderId="0" xfId="0" applyFont="1" applyAlignment="1">
      <alignment horizontal="left"/>
    </xf>
    <xf numFmtId="165" fontId="0" fillId="0" borderId="0" xfId="2" applyNumberFormat="1" applyFont="1" applyAlignment="1">
      <alignment horizontal="left" indent="1"/>
    </xf>
    <xf numFmtId="165" fontId="0" fillId="0" borderId="1" xfId="2" applyNumberFormat="1" applyFont="1" applyBorder="1" applyAlignment="1">
      <alignment horizontal="left" indent="1"/>
    </xf>
    <xf numFmtId="0" fontId="0" fillId="0" borderId="0" xfId="0" applyAlignment="1">
      <alignment horizontal="center" wrapText="1"/>
    </xf>
    <xf numFmtId="0" fontId="0" fillId="0" borderId="0" xfId="0" applyAlignment="1">
      <alignment horizontal="left" wrapText="1"/>
    </xf>
    <xf numFmtId="0" fontId="6" fillId="0" borderId="0" xfId="0" applyFont="1" applyAlignment="1">
      <alignment horizontal="left"/>
    </xf>
    <xf numFmtId="0" fontId="0" fillId="0" borderId="1" xfId="0" applyBorder="1" applyAlignment="1">
      <alignment horizontal="left" indent="1"/>
    </xf>
    <xf numFmtId="165" fontId="0" fillId="0" borderId="0" xfId="2" applyNumberFormat="1" applyFont="1" applyBorder="1" applyAlignment="1">
      <alignment horizontal="right" wrapText="1"/>
    </xf>
    <xf numFmtId="0" fontId="2" fillId="0" borderId="1" xfId="0" applyFont="1" applyBorder="1" applyAlignment="1">
      <alignment horizontal="center" wrapText="1"/>
    </xf>
    <xf numFmtId="0" fontId="2" fillId="0" borderId="1" xfId="0" applyFont="1" applyBorder="1" applyAlignment="1">
      <alignment horizontal="left" wrapText="1"/>
    </xf>
    <xf numFmtId="0" fontId="2" fillId="0" borderId="1" xfId="0" applyFont="1" applyBorder="1" applyAlignment="1">
      <alignment horizontal="right" wrapText="1"/>
    </xf>
    <xf numFmtId="165" fontId="0" fillId="0" borderId="0" xfId="2" applyNumberFormat="1" applyFont="1" applyBorder="1"/>
    <xf numFmtId="0" fontId="2" fillId="0" borderId="1" xfId="0" applyFont="1" applyBorder="1" applyAlignment="1">
      <alignment wrapText="1"/>
    </xf>
    <xf numFmtId="0" fontId="2" fillId="0" borderId="1" xfId="0" applyFont="1" applyBorder="1"/>
    <xf numFmtId="165" fontId="9" fillId="0" borderId="2" xfId="2" applyNumberFormat="1" applyFont="1" applyBorder="1"/>
    <xf numFmtId="0" fontId="0" fillId="0" borderId="5" xfId="0" applyBorder="1" applyAlignment="1">
      <alignment horizontal="center"/>
    </xf>
    <xf numFmtId="165" fontId="8" fillId="0" borderId="0" xfId="2" applyNumberFormat="1" applyFont="1" applyAlignment="1">
      <alignment horizontal="right"/>
    </xf>
    <xf numFmtId="165" fontId="0" fillId="0" borderId="6" xfId="2" applyNumberFormat="1" applyFont="1" applyBorder="1" applyAlignment="1">
      <alignment horizontal="right" wrapText="1"/>
    </xf>
    <xf numFmtId="165" fontId="0" fillId="0" borderId="6" xfId="2" applyNumberFormat="1" applyFont="1" applyBorder="1"/>
    <xf numFmtId="165" fontId="0" fillId="0" borderId="7" xfId="2" applyNumberFormat="1" applyFont="1" applyBorder="1"/>
    <xf numFmtId="165" fontId="8" fillId="0" borderId="6" xfId="2" applyNumberFormat="1" applyFont="1" applyBorder="1"/>
    <xf numFmtId="165" fontId="0" fillId="0" borderId="8" xfId="2" applyNumberFormat="1" applyFont="1" applyBorder="1"/>
    <xf numFmtId="0" fontId="2" fillId="0" borderId="3" xfId="0" applyFont="1" applyBorder="1" applyAlignment="1">
      <alignment horizontal="left" indent="1"/>
    </xf>
    <xf numFmtId="165" fontId="2" fillId="0" borderId="4" xfId="2" applyNumberFormat="1" applyFont="1" applyBorder="1"/>
    <xf numFmtId="165" fontId="2" fillId="0" borderId="3" xfId="2" applyNumberFormat="1" applyFont="1" applyBorder="1"/>
    <xf numFmtId="0" fontId="11" fillId="0" borderId="0" xfId="0" applyFont="1" applyAlignment="1">
      <alignment horizontal="right"/>
    </xf>
    <xf numFmtId="0" fontId="8" fillId="0" borderId="0" xfId="0" applyFont="1" applyAlignment="1">
      <alignment horizontal="right" wrapText="1"/>
    </xf>
    <xf numFmtId="0" fontId="11" fillId="0" borderId="0" xfId="0" applyFont="1" applyAlignment="1">
      <alignment horizontal="left" indent="1"/>
    </xf>
    <xf numFmtId="0" fontId="10" fillId="0" borderId="0" xfId="0" applyFont="1" applyAlignment="1">
      <alignment horizontal="center"/>
    </xf>
    <xf numFmtId="0" fontId="11" fillId="0" borderId="0" xfId="0" applyFont="1" applyAlignment="1">
      <alignment horizontal="right" indent="2"/>
    </xf>
    <xf numFmtId="0" fontId="0" fillId="0" borderId="10" xfId="0" applyBorder="1" applyAlignment="1">
      <alignment horizontal="center"/>
    </xf>
    <xf numFmtId="0" fontId="0" fillId="0" borderId="11" xfId="0" applyBorder="1"/>
    <xf numFmtId="0" fontId="0" fillId="0" borderId="9" xfId="0" applyBorder="1" applyAlignment="1">
      <alignment horizontal="center" wrapText="1"/>
    </xf>
    <xf numFmtId="0" fontId="0" fillId="0" borderId="13" xfId="0" applyBorder="1" applyAlignment="1">
      <alignment horizontal="left" wrapText="1"/>
    </xf>
    <xf numFmtId="0" fontId="0" fillId="0" borderId="14" xfId="0" applyBorder="1" applyAlignment="1">
      <alignment horizontal="center"/>
    </xf>
    <xf numFmtId="0" fontId="0" fillId="0" borderId="15" xfId="0" applyBorder="1"/>
    <xf numFmtId="0" fontId="0" fillId="0" borderId="9" xfId="0" applyBorder="1" applyAlignment="1">
      <alignment horizontal="center"/>
    </xf>
    <xf numFmtId="0" fontId="0" fillId="0" borderId="13" xfId="0" applyBorder="1"/>
    <xf numFmtId="0" fontId="2" fillId="0" borderId="9" xfId="0" applyFont="1" applyBorder="1" applyAlignment="1">
      <alignment horizontal="center" wrapText="1"/>
    </xf>
    <xf numFmtId="0" fontId="2" fillId="0" borderId="13" xfId="0" applyFont="1" applyBorder="1" applyAlignment="1">
      <alignment horizontal="left" wrapText="1"/>
    </xf>
    <xf numFmtId="0" fontId="0" fillId="0" borderId="14" xfId="0" applyBorder="1" applyAlignment="1">
      <alignment horizontal="center" wrapText="1"/>
    </xf>
    <xf numFmtId="165" fontId="0" fillId="0" borderId="0" xfId="2" applyNumberFormat="1" applyFont="1" applyBorder="1" applyAlignment="1">
      <alignment horizontal="left" indent="1"/>
    </xf>
    <xf numFmtId="0" fontId="0" fillId="0" borderId="16" xfId="0" applyBorder="1" applyAlignment="1">
      <alignment horizontal="center"/>
    </xf>
    <xf numFmtId="0" fontId="5" fillId="0" borderId="11" xfId="0" applyFont="1" applyBorder="1"/>
    <xf numFmtId="0" fontId="11" fillId="0" borderId="17" xfId="0" applyFont="1" applyBorder="1" applyAlignment="1">
      <alignment horizontal="right"/>
    </xf>
    <xf numFmtId="0" fontId="0" fillId="5" borderId="6" xfId="0" applyFill="1" applyBorder="1"/>
    <xf numFmtId="0" fontId="0" fillId="0" borderId="6" xfId="0" applyBorder="1"/>
    <xf numFmtId="0" fontId="5" fillId="0" borderId="18" xfId="0" applyFont="1" applyBorder="1"/>
    <xf numFmtId="0" fontId="0" fillId="0" borderId="7" xfId="0" applyBorder="1" applyAlignment="1">
      <alignment horizontal="right" wrapText="1"/>
    </xf>
    <xf numFmtId="0" fontId="2" fillId="0" borderId="7" xfId="0" applyFont="1" applyBorder="1" applyAlignment="1">
      <alignment horizontal="right" wrapText="1"/>
    </xf>
    <xf numFmtId="165" fontId="0" fillId="5" borderId="6" xfId="2" applyNumberFormat="1" applyFont="1" applyFill="1" applyBorder="1"/>
    <xf numFmtId="165" fontId="0" fillId="5" borderId="7" xfId="2" applyNumberFormat="1" applyFont="1" applyFill="1" applyBorder="1"/>
    <xf numFmtId="0" fontId="0" fillId="0" borderId="11" xfId="0" applyBorder="1" applyAlignment="1">
      <alignment horizontal="center"/>
    </xf>
    <xf numFmtId="0" fontId="5" fillId="0" borderId="10" xfId="0" applyFont="1" applyBorder="1" applyAlignment="1">
      <alignment horizontal="left" indent="1"/>
    </xf>
    <xf numFmtId="0" fontId="5" fillId="0" borderId="0" xfId="0" applyFont="1" applyAlignment="1">
      <alignment horizontal="right" indent="2"/>
    </xf>
    <xf numFmtId="0" fontId="5" fillId="0" borderId="17" xfId="0" applyFont="1" applyBorder="1" applyAlignment="1">
      <alignment horizontal="right"/>
    </xf>
    <xf numFmtId="0" fontId="5" fillId="0" borderId="0" xfId="0" applyFont="1"/>
    <xf numFmtId="0" fontId="11" fillId="0" borderId="6" xfId="0" applyFont="1" applyBorder="1"/>
    <xf numFmtId="0" fontId="0" fillId="3" borderId="6" xfId="0" applyFill="1" applyBorder="1"/>
    <xf numFmtId="0" fontId="0" fillId="3" borderId="8" xfId="0" applyFill="1" applyBorder="1"/>
    <xf numFmtId="0" fontId="0" fillId="3" borderId="7" xfId="0" applyFill="1" applyBorder="1"/>
    <xf numFmtId="166" fontId="0" fillId="0" borderId="6" xfId="1" applyNumberFormat="1" applyFont="1" applyBorder="1"/>
    <xf numFmtId="164" fontId="8" fillId="0" borderId="6" xfId="3" applyNumberFormat="1" applyFont="1" applyBorder="1"/>
    <xf numFmtId="166" fontId="2" fillId="0" borderId="7" xfId="1" applyNumberFormat="1" applyFont="1" applyBorder="1" applyAlignment="1">
      <alignment horizontal="right" wrapText="1"/>
    </xf>
    <xf numFmtId="164" fontId="0" fillId="0" borderId="7" xfId="3" applyNumberFormat="1" applyFont="1" applyBorder="1"/>
    <xf numFmtId="165" fontId="0" fillId="0" borderId="6" xfId="2" applyNumberFormat="1" applyFont="1" applyFill="1" applyBorder="1"/>
    <xf numFmtId="165" fontId="0" fillId="0" borderId="0" xfId="2" applyNumberFormat="1" applyFont="1" applyBorder="1" applyAlignment="1">
      <alignment horizontal="right" indent="1"/>
    </xf>
    <xf numFmtId="165" fontId="8" fillId="0" borderId="0" xfId="2" applyNumberFormat="1" applyFont="1" applyBorder="1" applyAlignment="1">
      <alignment horizontal="right" indent="1"/>
    </xf>
    <xf numFmtId="0" fontId="0" fillId="5" borderId="6" xfId="2" applyNumberFormat="1" applyFont="1" applyFill="1" applyBorder="1"/>
    <xf numFmtId="0" fontId="0" fillId="6" borderId="6" xfId="0" applyFill="1" applyBorder="1"/>
    <xf numFmtId="164" fontId="8" fillId="6" borderId="6" xfId="3" applyNumberFormat="1" applyFont="1" applyFill="1" applyBorder="1"/>
    <xf numFmtId="0" fontId="11" fillId="0" borderId="0" xfId="0" applyFont="1" applyAlignment="1">
      <alignment horizontal="right" indent="1"/>
    </xf>
    <xf numFmtId="0" fontId="2" fillId="0" borderId="0" xfId="0" applyFont="1" applyAlignment="1">
      <alignment horizontal="center" wrapText="1"/>
    </xf>
    <xf numFmtId="0" fontId="2" fillId="0" borderId="0" xfId="0" applyFont="1" applyAlignment="1">
      <alignment horizontal="right" indent="2"/>
    </xf>
    <xf numFmtId="0" fontId="5" fillId="0" borderId="10" xfId="0" applyFont="1" applyBorder="1"/>
    <xf numFmtId="0" fontId="0" fillId="0" borderId="12" xfId="0" applyBorder="1" applyAlignment="1">
      <alignment wrapText="1"/>
    </xf>
    <xf numFmtId="0" fontId="7" fillId="0" borderId="14" xfId="0" applyFont="1" applyBorder="1"/>
    <xf numFmtId="0" fontId="7" fillId="0" borderId="9" xfId="0" applyFont="1" applyBorder="1" applyAlignment="1">
      <alignment wrapText="1"/>
    </xf>
    <xf numFmtId="0" fontId="0" fillId="0" borderId="0" xfId="0" applyAlignment="1">
      <alignment horizontal="left" wrapText="1" indent="1"/>
    </xf>
    <xf numFmtId="0" fontId="0" fillId="0" borderId="12" xfId="0" applyBorder="1" applyAlignment="1">
      <alignment horizontal="left" wrapText="1" indent="1"/>
    </xf>
    <xf numFmtId="0" fontId="2" fillId="0" borderId="9" xfId="0" applyFont="1" applyBorder="1" applyAlignment="1">
      <alignment wrapText="1"/>
    </xf>
    <xf numFmtId="0" fontId="2" fillId="0" borderId="13" xfId="0" applyFont="1" applyBorder="1" applyAlignment="1">
      <alignment horizontal="left" wrapText="1" indent="1"/>
    </xf>
    <xf numFmtId="0" fontId="6" fillId="0" borderId="14" xfId="0" applyFont="1" applyBorder="1" applyAlignment="1">
      <alignment horizontal="left" indent="1"/>
    </xf>
    <xf numFmtId="0" fontId="0" fillId="0" borderId="14" xfId="0" applyBorder="1" applyAlignment="1">
      <alignment horizontal="left" indent="2"/>
    </xf>
    <xf numFmtId="0" fontId="2" fillId="0" borderId="9" xfId="0" applyFont="1" applyBorder="1"/>
    <xf numFmtId="0" fontId="2" fillId="0" borderId="1" xfId="0" applyFont="1" applyBorder="1" applyAlignment="1">
      <alignment horizontal="center"/>
    </xf>
    <xf numFmtId="0" fontId="6" fillId="0" borderId="10" xfId="0" applyFont="1" applyBorder="1" applyAlignment="1">
      <alignment horizontal="left" indent="1"/>
    </xf>
    <xf numFmtId="0" fontId="0" fillId="0" borderId="9" xfId="0" applyBorder="1" applyAlignment="1">
      <alignment horizontal="left" wrapText="1" indent="2"/>
    </xf>
    <xf numFmtId="0" fontId="2" fillId="0" borderId="9" xfId="0" applyFont="1" applyBorder="1" applyAlignment="1">
      <alignment horizontal="left" indent="2"/>
    </xf>
    <xf numFmtId="10" fontId="7" fillId="0" borderId="6" xfId="3" applyNumberFormat="1" applyFont="1" applyBorder="1"/>
    <xf numFmtId="0" fontId="2" fillId="0" borderId="6" xfId="0" applyFont="1" applyBorder="1" applyAlignment="1">
      <alignment horizontal="right" wrapText="1"/>
    </xf>
    <xf numFmtId="165" fontId="2" fillId="0" borderId="7" xfId="2" applyNumberFormat="1" applyFont="1" applyBorder="1"/>
    <xf numFmtId="165" fontId="0" fillId="0" borderId="18" xfId="2" applyNumberFormat="1" applyFont="1" applyBorder="1"/>
    <xf numFmtId="165" fontId="4" fillId="0" borderId="6" xfId="0" applyNumberFormat="1" applyFont="1" applyBorder="1" applyAlignment="1">
      <alignment horizontal="right"/>
    </xf>
    <xf numFmtId="165" fontId="4" fillId="0" borderId="7" xfId="0" applyNumberFormat="1" applyFont="1" applyBorder="1" applyAlignment="1">
      <alignment horizontal="right"/>
    </xf>
    <xf numFmtId="164" fontId="7" fillId="0" borderId="6" xfId="3" applyNumberFormat="1" applyFont="1" applyBorder="1"/>
    <xf numFmtId="165" fontId="0" fillId="6" borderId="7" xfId="2" applyNumberFormat="1" applyFont="1" applyFill="1" applyBorder="1"/>
    <xf numFmtId="0" fontId="12" fillId="0" borderId="9" xfId="0" applyFont="1" applyBorder="1"/>
    <xf numFmtId="0" fontId="12" fillId="0" borderId="7" xfId="0" applyFont="1" applyBorder="1" applyAlignment="1">
      <alignment horizontal="right" wrapText="1"/>
    </xf>
    <xf numFmtId="0" fontId="12" fillId="0" borderId="13" xfId="0" applyFont="1" applyBorder="1" applyAlignment="1">
      <alignment horizontal="left" wrapText="1" indent="1"/>
    </xf>
    <xf numFmtId="0" fontId="8" fillId="0" borderId="15" xfId="0" applyFont="1" applyBorder="1" applyAlignment="1">
      <alignment horizontal="left" wrapText="1" indent="1"/>
    </xf>
    <xf numFmtId="0" fontId="8" fillId="0" borderId="13" xfId="0" applyFont="1" applyBorder="1" applyAlignment="1">
      <alignment horizontal="left" wrapText="1" indent="1"/>
    </xf>
    <xf numFmtId="0" fontId="13" fillId="0" borderId="15" xfId="0" applyFont="1" applyBorder="1" applyAlignment="1">
      <alignment horizontal="left" wrapText="1" indent="1"/>
    </xf>
    <xf numFmtId="0" fontId="8" fillId="0" borderId="0" xfId="0" applyFont="1" applyAlignment="1">
      <alignment horizontal="left" wrapText="1" indent="1"/>
    </xf>
    <xf numFmtId="0" fontId="8" fillId="0" borderId="12" xfId="0" applyFont="1" applyBorder="1" applyAlignment="1">
      <alignment horizontal="left" wrapText="1" indent="1"/>
    </xf>
    <xf numFmtId="0" fontId="8" fillId="0" borderId="2" xfId="0" applyFont="1" applyBorder="1" applyAlignment="1">
      <alignment horizontal="left" wrapText="1" indent="1"/>
    </xf>
    <xf numFmtId="0" fontId="6" fillId="0" borderId="0" xfId="0" applyFont="1" applyAlignment="1">
      <alignment wrapText="1"/>
    </xf>
    <xf numFmtId="0" fontId="7" fillId="0" borderId="0" xfId="0" applyFont="1" applyAlignment="1">
      <alignment horizontal="right" indent="2"/>
    </xf>
    <xf numFmtId="165" fontId="0" fillId="6" borderId="6" xfId="2" applyNumberFormat="1" applyFont="1" applyFill="1" applyBorder="1"/>
    <xf numFmtId="165" fontId="7" fillId="0" borderId="6" xfId="2" applyNumberFormat="1" applyFont="1" applyFill="1" applyBorder="1"/>
    <xf numFmtId="43" fontId="7" fillId="0" borderId="7" xfId="1" applyFont="1" applyBorder="1"/>
    <xf numFmtId="0" fontId="6" fillId="0" borderId="2" xfId="0" applyFont="1" applyBorder="1" applyAlignment="1">
      <alignment wrapText="1"/>
    </xf>
    <xf numFmtId="165" fontId="0" fillId="0" borderId="6" xfId="0" applyNumberFormat="1" applyBorder="1"/>
    <xf numFmtId="0" fontId="7" fillId="6" borderId="6" xfId="0" applyFont="1" applyFill="1" applyBorder="1"/>
    <xf numFmtId="0" fontId="7" fillId="6" borderId="8" xfId="0" applyFont="1" applyFill="1" applyBorder="1"/>
    <xf numFmtId="0" fontId="7" fillId="6" borderId="7" xfId="0" applyFont="1" applyFill="1" applyBorder="1"/>
    <xf numFmtId="0" fontId="5" fillId="0" borderId="6" xfId="0" applyFont="1" applyBorder="1"/>
    <xf numFmtId="44" fontId="7" fillId="0" borderId="6" xfId="0" applyNumberFormat="1" applyFont="1" applyBorder="1"/>
    <xf numFmtId="44" fontId="7" fillId="0" borderId="8" xfId="0" applyNumberFormat="1" applyFont="1" applyBorder="1"/>
    <xf numFmtId="44" fontId="7" fillId="0" borderId="7" xfId="0" applyNumberFormat="1" applyFont="1" applyBorder="1"/>
    <xf numFmtId="0" fontId="8" fillId="6" borderId="6" xfId="0" applyFont="1" applyFill="1" applyBorder="1"/>
    <xf numFmtId="0" fontId="2" fillId="0" borderId="10" xfId="0" applyFont="1" applyBorder="1" applyAlignment="1">
      <alignment horizontal="center" wrapText="1"/>
    </xf>
    <xf numFmtId="0" fontId="6" fillId="0" borderId="11" xfId="0" applyFont="1" applyBorder="1" applyAlignment="1">
      <alignment wrapText="1"/>
    </xf>
    <xf numFmtId="0" fontId="2" fillId="0" borderId="11" xfId="0" applyFont="1" applyBorder="1" applyAlignment="1">
      <alignment wrapText="1"/>
    </xf>
    <xf numFmtId="0" fontId="2" fillId="0" borderId="18" xfId="0" applyFont="1" applyBorder="1" applyAlignment="1">
      <alignment horizontal="right" wrapText="1"/>
    </xf>
    <xf numFmtId="0" fontId="2" fillId="0" borderId="12" xfId="0" applyFont="1" applyBorder="1" applyAlignment="1">
      <alignment horizontal="left" wrapText="1"/>
    </xf>
    <xf numFmtId="0" fontId="7" fillId="0" borderId="0" xfId="0" applyFont="1" applyAlignment="1">
      <alignment horizontal="right" wrapText="1" indent="1"/>
    </xf>
    <xf numFmtId="0" fontId="7" fillId="0" borderId="15" xfId="0" applyFont="1" applyBorder="1" applyAlignment="1">
      <alignment wrapText="1"/>
    </xf>
    <xf numFmtId="0" fontId="7" fillId="0" borderId="0" xfId="0" applyFont="1" applyAlignment="1">
      <alignment horizontal="left" wrapText="1" indent="1"/>
    </xf>
    <xf numFmtId="0" fontId="7" fillId="0" borderId="19" xfId="0" applyFont="1" applyBorder="1" applyAlignment="1">
      <alignment wrapText="1"/>
    </xf>
    <xf numFmtId="0" fontId="2" fillId="0" borderId="14" xfId="0" applyFont="1" applyBorder="1" applyAlignment="1">
      <alignment horizontal="center"/>
    </xf>
    <xf numFmtId="0" fontId="2" fillId="0" borderId="0" xfId="0" applyFont="1"/>
    <xf numFmtId="0" fontId="7" fillId="0" borderId="1" xfId="0" applyFont="1" applyBorder="1" applyAlignment="1">
      <alignment horizontal="right" wrapText="1" indent="1"/>
    </xf>
    <xf numFmtId="0" fontId="6" fillId="0" borderId="0" xfId="0" applyFont="1"/>
    <xf numFmtId="0" fontId="6" fillId="0" borderId="11" xfId="0" applyFont="1" applyBorder="1"/>
    <xf numFmtId="0" fontId="7" fillId="0" borderId="19" xfId="0" applyFont="1" applyBorder="1" applyAlignment="1">
      <alignment horizontal="right" wrapText="1" indent="1"/>
    </xf>
    <xf numFmtId="0" fontId="0" fillId="0" borderId="10" xfId="0" applyBorder="1" applyAlignment="1">
      <alignment horizontal="center" wrapText="1"/>
    </xf>
    <xf numFmtId="0" fontId="14" fillId="0" borderId="0" xfId="0" applyFont="1" applyAlignment="1">
      <alignment horizontal="left"/>
    </xf>
    <xf numFmtId="165" fontId="8" fillId="0" borderId="0" xfId="2" applyNumberFormat="1" applyFont="1" applyBorder="1" applyAlignment="1">
      <alignment horizontal="right"/>
    </xf>
    <xf numFmtId="165" fontId="8" fillId="0" borderId="11" xfId="2" applyNumberFormat="1" applyFont="1" applyBorder="1" applyAlignment="1">
      <alignment horizontal="right"/>
    </xf>
    <xf numFmtId="165" fontId="8" fillId="0" borderId="1" xfId="2" applyNumberFormat="1" applyFont="1" applyBorder="1" applyAlignment="1">
      <alignment horizontal="right" indent="1"/>
    </xf>
    <xf numFmtId="0" fontId="0" fillId="0" borderId="7" xfId="2" applyNumberFormat="1" applyFont="1" applyFill="1" applyBorder="1"/>
    <xf numFmtId="165" fontId="8" fillId="0" borderId="7" xfId="2" applyNumberFormat="1" applyFont="1" applyBorder="1"/>
    <xf numFmtId="165" fontId="0" fillId="0" borderId="21" xfId="2" applyNumberFormat="1" applyFont="1" applyBorder="1"/>
    <xf numFmtId="165" fontId="1" fillId="0" borderId="7" xfId="2" applyNumberFormat="1" applyFont="1" applyBorder="1"/>
    <xf numFmtId="165" fontId="8" fillId="0" borderId="18" xfId="2" applyNumberFormat="1" applyFont="1" applyBorder="1"/>
    <xf numFmtId="165" fontId="0" fillId="0" borderId="4" xfId="2" applyNumberFormat="1" applyFont="1" applyBorder="1" applyAlignment="1">
      <alignment horizontal="right" wrapText="1"/>
    </xf>
    <xf numFmtId="0" fontId="2" fillId="0" borderId="5" xfId="0" applyFont="1" applyBorder="1" applyAlignment="1">
      <alignment horizontal="center"/>
    </xf>
    <xf numFmtId="0" fontId="5" fillId="0" borderId="0" xfId="0" applyFont="1" applyAlignment="1">
      <alignment horizontal="right" indent="1"/>
    </xf>
    <xf numFmtId="165" fontId="5" fillId="0" borderId="6" xfId="2" applyNumberFormat="1" applyFont="1" applyBorder="1"/>
    <xf numFmtId="165" fontId="0" fillId="0" borderId="20" xfId="2" applyNumberFormat="1" applyFont="1" applyBorder="1" applyAlignment="1">
      <alignment horizontal="right" indent="1"/>
    </xf>
    <xf numFmtId="165" fontId="8" fillId="0" borderId="4" xfId="2" applyNumberFormat="1" applyFont="1" applyBorder="1"/>
    <xf numFmtId="165" fontId="8" fillId="5" borderId="4" xfId="2" applyNumberFormat="1" applyFont="1" applyFill="1" applyBorder="1"/>
    <xf numFmtId="0" fontId="2" fillId="0" borderId="1" xfId="0" applyFont="1" applyBorder="1" applyAlignment="1">
      <alignment horizontal="right" indent="1"/>
    </xf>
    <xf numFmtId="165" fontId="0" fillId="0" borderId="4" xfId="2" applyNumberFormat="1" applyFont="1" applyFill="1" applyBorder="1" applyAlignment="1">
      <alignment horizontal="right" wrapText="1"/>
    </xf>
    <xf numFmtId="0" fontId="5" fillId="0" borderId="3" xfId="0" applyFont="1" applyBorder="1" applyAlignment="1">
      <alignment horizontal="left" wrapText="1"/>
    </xf>
    <xf numFmtId="0" fontId="10" fillId="0" borderId="0" xfId="0" applyFont="1"/>
    <xf numFmtId="0" fontId="2" fillId="0" borderId="18" xfId="0" applyFont="1" applyBorder="1" applyAlignment="1">
      <alignment horizontal="center"/>
    </xf>
    <xf numFmtId="0" fontId="2" fillId="0" borderId="9" xfId="0" applyFont="1" applyBorder="1" applyAlignment="1">
      <alignment horizontal="right" wrapText="1"/>
    </xf>
    <xf numFmtId="0" fontId="2" fillId="0" borderId="13" xfId="0" applyFont="1" applyBorder="1" applyAlignment="1">
      <alignment horizontal="right" wrapText="1"/>
    </xf>
    <xf numFmtId="165" fontId="0" fillId="0" borderId="14" xfId="2" applyNumberFormat="1" applyFont="1" applyBorder="1" applyAlignment="1">
      <alignment horizontal="right" wrapText="1"/>
    </xf>
    <xf numFmtId="165" fontId="0" fillId="0" borderId="14" xfId="2" applyNumberFormat="1" applyFont="1" applyBorder="1"/>
    <xf numFmtId="165" fontId="0" fillId="0" borderId="16" xfId="2" applyNumberFormat="1" applyFont="1" applyBorder="1"/>
    <xf numFmtId="165" fontId="2" fillId="0" borderId="5" xfId="2" applyNumberFormat="1" applyFont="1" applyBorder="1"/>
    <xf numFmtId="0" fontId="0" fillId="0" borderId="13" xfId="0" applyBorder="1" applyAlignment="1">
      <alignment horizontal="left" indent="1"/>
    </xf>
    <xf numFmtId="165" fontId="0" fillId="6" borderId="18" xfId="2" applyNumberFormat="1" applyFont="1" applyFill="1" applyBorder="1" applyAlignment="1">
      <alignment horizontal="right" wrapText="1"/>
    </xf>
    <xf numFmtId="165" fontId="0" fillId="0" borderId="7" xfId="2" applyNumberFormat="1" applyFont="1" applyFill="1" applyBorder="1"/>
    <xf numFmtId="165" fontId="2" fillId="6" borderId="7" xfId="2" applyNumberFormat="1" applyFont="1" applyFill="1" applyBorder="1"/>
    <xf numFmtId="0" fontId="2" fillId="0" borderId="10" xfId="0" applyFont="1" applyBorder="1" applyAlignment="1">
      <alignment horizontal="left" indent="1"/>
    </xf>
    <xf numFmtId="0" fontId="2" fillId="0" borderId="11" xfId="0" applyFont="1" applyBorder="1"/>
    <xf numFmtId="0" fontId="2" fillId="0" borderId="12" xfId="0" applyFont="1" applyBorder="1"/>
    <xf numFmtId="165" fontId="0" fillId="0" borderId="1" xfId="2" applyNumberFormat="1" applyFont="1" applyBorder="1" applyAlignment="1">
      <alignment horizontal="right"/>
    </xf>
    <xf numFmtId="0" fontId="5" fillId="0" borderId="1" xfId="0" applyFont="1" applyBorder="1" applyAlignment="1">
      <alignment horizontal="left"/>
    </xf>
    <xf numFmtId="165" fontId="0" fillId="0" borderId="22" xfId="2" applyNumberFormat="1" applyFont="1" applyBorder="1" applyAlignment="1">
      <alignment horizontal="right" indent="1"/>
    </xf>
    <xf numFmtId="0" fontId="0" fillId="0" borderId="0" xfId="0" applyAlignment="1">
      <alignment vertical="top" wrapText="1"/>
    </xf>
    <xf numFmtId="0" fontId="15" fillId="7" borderId="23" xfId="0" applyFont="1" applyFill="1" applyBorder="1" applyAlignment="1">
      <alignment horizontal="center" vertical="top" wrapText="1"/>
    </xf>
    <xf numFmtId="0" fontId="0" fillId="0" borderId="0" xfId="0" applyAlignment="1">
      <alignment horizontal="left" vertical="top" wrapText="1"/>
    </xf>
    <xf numFmtId="0" fontId="2" fillId="8" borderId="25" xfId="0" applyFont="1" applyFill="1" applyBorder="1" applyAlignment="1">
      <alignment horizontal="left" vertical="top" wrapText="1"/>
    </xf>
    <xf numFmtId="0" fontId="21" fillId="0" borderId="0" xfId="0" applyFont="1" applyProtection="1">
      <protection locked="0"/>
    </xf>
    <xf numFmtId="167" fontId="23" fillId="0" borderId="0" xfId="0" applyNumberFormat="1" applyFont="1" applyAlignment="1">
      <alignment horizontal="center"/>
    </xf>
    <xf numFmtId="0" fontId="23" fillId="0" borderId="1" xfId="0" applyFont="1" applyBorder="1"/>
    <xf numFmtId="0" fontId="23" fillId="0" borderId="1" xfId="0" applyFont="1" applyBorder="1" applyAlignment="1">
      <alignment horizontal="center"/>
    </xf>
    <xf numFmtId="168" fontId="24" fillId="9" borderId="28" xfId="4" applyNumberFormat="1" applyFont="1" applyFill="1" applyBorder="1" applyAlignment="1" applyProtection="1">
      <alignment horizontal="center" wrapText="1"/>
      <protection locked="0"/>
    </xf>
    <xf numFmtId="0" fontId="26" fillId="0" borderId="0" xfId="0" applyFont="1"/>
    <xf numFmtId="0" fontId="23" fillId="0" borderId="0" xfId="0" applyFont="1"/>
    <xf numFmtId="0" fontId="24" fillId="9" borderId="30" xfId="0" applyFont="1" applyFill="1" applyBorder="1" applyAlignment="1" applyProtection="1">
      <alignment horizontal="center"/>
      <protection locked="0"/>
    </xf>
    <xf numFmtId="0" fontId="22" fillId="0" borderId="0" xfId="0" applyFont="1" applyAlignment="1">
      <alignment horizontal="left"/>
    </xf>
    <xf numFmtId="0" fontId="22" fillId="0" borderId="0" xfId="0" applyFont="1" applyAlignment="1">
      <alignment horizontal="center"/>
    </xf>
    <xf numFmtId="0" fontId="22" fillId="0" borderId="0" xfId="0" applyFont="1"/>
    <xf numFmtId="0" fontId="19" fillId="0" borderId="4" xfId="0" applyFont="1" applyBorder="1"/>
    <xf numFmtId="0" fontId="27" fillId="0" borderId="0" xfId="0" applyFont="1"/>
    <xf numFmtId="0" fontId="0" fillId="4" borderId="4" xfId="0" applyFill="1" applyBorder="1" applyAlignment="1" applyProtection="1">
      <alignment horizontal="center"/>
      <protection locked="0"/>
    </xf>
    <xf numFmtId="0" fontId="2" fillId="0" borderId="4" xfId="0" applyFont="1" applyBorder="1" applyAlignment="1">
      <alignment horizontal="center" wrapText="1"/>
    </xf>
    <xf numFmtId="0" fontId="0" fillId="0" borderId="2" xfId="0" applyBorder="1" applyAlignment="1">
      <alignment horizontal="left" wrapText="1"/>
    </xf>
    <xf numFmtId="0" fontId="17" fillId="0" borderId="25" xfId="0" applyFont="1" applyBorder="1" applyAlignment="1">
      <alignment horizontal="left" vertical="top" wrapText="1"/>
    </xf>
    <xf numFmtId="0" fontId="2" fillId="0" borderId="4" xfId="0" applyFont="1" applyBorder="1" applyAlignment="1">
      <alignment horizontal="left" indent="1"/>
    </xf>
    <xf numFmtId="0" fontId="0" fillId="4" borderId="4" xfId="0" applyFill="1" applyBorder="1" applyAlignment="1" applyProtection="1">
      <alignment horizontal="left" indent="1"/>
      <protection locked="0"/>
    </xf>
    <xf numFmtId="0" fontId="22" fillId="9" borderId="27" xfId="4" applyFont="1" applyFill="1" applyBorder="1" applyAlignment="1" applyProtection="1">
      <alignment horizontal="left" wrapText="1"/>
      <protection locked="0"/>
    </xf>
    <xf numFmtId="0" fontId="22" fillId="9" borderId="29" xfId="4" applyFont="1" applyFill="1" applyBorder="1" applyAlignment="1" applyProtection="1">
      <alignment horizontal="left" wrapText="1"/>
      <protection locked="0"/>
    </xf>
    <xf numFmtId="0" fontId="0" fillId="4" borderId="5" xfId="0" applyFill="1" applyBorder="1" applyProtection="1">
      <protection locked="0"/>
    </xf>
    <xf numFmtId="0" fontId="0" fillId="4" borderId="26" xfId="0" applyFill="1" applyBorder="1" applyProtection="1">
      <protection locked="0"/>
    </xf>
    <xf numFmtId="165" fontId="29" fillId="2" borderId="6" xfId="2" applyNumberFormat="1" applyFont="1" applyFill="1" applyBorder="1"/>
    <xf numFmtId="165" fontId="29" fillId="2" borderId="7" xfId="2" applyNumberFormat="1" applyFont="1" applyFill="1" applyBorder="1"/>
    <xf numFmtId="165" fontId="0" fillId="0" borderId="1" xfId="2" applyNumberFormat="1" applyFont="1" applyBorder="1" applyAlignment="1">
      <alignment horizontal="left" wrapText="1" indent="1"/>
    </xf>
    <xf numFmtId="1" fontId="0" fillId="0" borderId="6" xfId="0" applyNumberFormat="1" applyBorder="1"/>
    <xf numFmtId="0" fontId="0" fillId="0" borderId="24" xfId="0" applyBorder="1" applyAlignment="1">
      <alignment horizontal="left" vertical="top" wrapText="1"/>
    </xf>
    <xf numFmtId="0" fontId="17" fillId="0" borderId="25" xfId="0" applyFont="1" applyBorder="1" applyAlignment="1">
      <alignment horizontal="left" vertical="top" wrapText="1" indent="2"/>
    </xf>
    <xf numFmtId="0" fontId="32" fillId="0" borderId="25" xfId="0" applyFont="1" applyBorder="1" applyAlignment="1">
      <alignment horizontal="left" vertical="top" wrapText="1" indent="2"/>
    </xf>
    <xf numFmtId="0" fontId="17" fillId="0" borderId="24" xfId="0" applyFont="1" applyBorder="1" applyAlignment="1">
      <alignment horizontal="left" vertical="top" wrapText="1" indent="2"/>
    </xf>
    <xf numFmtId="0" fontId="28" fillId="7" borderId="23" xfId="0" applyFont="1" applyFill="1" applyBorder="1" applyAlignment="1">
      <alignment horizontal="center" vertical="top" wrapText="1"/>
    </xf>
    <xf numFmtId="0" fontId="0" fillId="0" borderId="25" xfId="0" applyBorder="1" applyAlignment="1">
      <alignment horizontal="left" vertical="top" wrapText="1"/>
    </xf>
    <xf numFmtId="0" fontId="0" fillId="0" borderId="25" xfId="0" applyBorder="1" applyAlignment="1">
      <alignment vertical="top" wrapText="1"/>
    </xf>
    <xf numFmtId="0" fontId="0" fillId="0" borderId="25" xfId="0" applyBorder="1" applyAlignment="1">
      <alignment horizontal="left" vertical="top" wrapText="1" indent="2"/>
    </xf>
    <xf numFmtId="0" fontId="0" fillId="0" borderId="25" xfId="0" applyBorder="1" applyAlignment="1">
      <alignment horizontal="left" vertical="top" indent="2"/>
    </xf>
    <xf numFmtId="0" fontId="30" fillId="0" borderId="0" xfId="5" applyBorder="1" applyAlignment="1">
      <alignment horizontal="left" vertical="top" wrapText="1" indent="1"/>
    </xf>
    <xf numFmtId="0" fontId="30" fillId="0" borderId="0" xfId="4" applyFont="1" applyFill="1" applyBorder="1" applyAlignment="1" applyProtection="1">
      <alignment horizontal="left" vertical="top" wrapText="1" indent="1"/>
    </xf>
    <xf numFmtId="164" fontId="0" fillId="4" borderId="14" xfId="0" applyNumberFormat="1" applyFill="1" applyBorder="1" applyAlignment="1" applyProtection="1">
      <alignment horizontal="center"/>
      <protection locked="0"/>
    </xf>
    <xf numFmtId="37" fontId="0" fillId="4" borderId="6" xfId="1" applyNumberFormat="1" applyFont="1" applyFill="1" applyBorder="1" applyProtection="1">
      <protection locked="0"/>
    </xf>
    <xf numFmtId="37" fontId="0" fillId="4" borderId="8" xfId="1" applyNumberFormat="1" applyFont="1" applyFill="1" applyBorder="1" applyProtection="1">
      <protection locked="0"/>
    </xf>
    <xf numFmtId="1" fontId="0" fillId="4" borderId="6" xfId="1" applyNumberFormat="1" applyFont="1" applyFill="1" applyBorder="1" applyProtection="1">
      <protection locked="0"/>
    </xf>
    <xf numFmtId="1" fontId="0" fillId="4" borderId="6" xfId="0" applyNumberFormat="1" applyFill="1" applyBorder="1" applyProtection="1">
      <protection locked="0"/>
    </xf>
    <xf numFmtId="165" fontId="0" fillId="4" borderId="6" xfId="2" applyNumberFormat="1" applyFont="1" applyFill="1" applyBorder="1" applyProtection="1">
      <protection locked="0"/>
    </xf>
    <xf numFmtId="165" fontId="0" fillId="4" borderId="7" xfId="2" applyNumberFormat="1" applyFont="1" applyFill="1" applyBorder="1" applyProtection="1">
      <protection locked="0"/>
    </xf>
    <xf numFmtId="165" fontId="7" fillId="4" borderId="6" xfId="2" applyNumberFormat="1" applyFont="1" applyFill="1" applyBorder="1" applyProtection="1">
      <protection locked="0"/>
    </xf>
    <xf numFmtId="10" fontId="7" fillId="4" borderId="6" xfId="3" applyNumberFormat="1" applyFont="1" applyFill="1" applyBorder="1" applyProtection="1">
      <protection locked="0"/>
    </xf>
    <xf numFmtId="10" fontId="7" fillId="4" borderId="7" xfId="3" applyNumberFormat="1" applyFont="1" applyFill="1" applyBorder="1" applyProtection="1">
      <protection locked="0"/>
    </xf>
    <xf numFmtId="0" fontId="0" fillId="4" borderId="14" xfId="0" applyFill="1" applyBorder="1" applyAlignment="1" applyProtection="1">
      <alignment horizontal="left" indent="2"/>
      <protection locked="0"/>
    </xf>
    <xf numFmtId="0" fontId="0" fillId="4" borderId="0" xfId="0" applyFill="1" applyAlignment="1" applyProtection="1">
      <alignment horizontal="center"/>
      <protection locked="0"/>
    </xf>
    <xf numFmtId="0" fontId="0" fillId="4" borderId="9" xfId="0" applyFill="1" applyBorder="1" applyProtection="1">
      <protection locked="0"/>
    </xf>
    <xf numFmtId="0" fontId="0" fillId="4" borderId="1" xfId="0" applyFill="1" applyBorder="1" applyAlignment="1" applyProtection="1">
      <alignment horizontal="center"/>
      <protection locked="0"/>
    </xf>
    <xf numFmtId="0" fontId="8" fillId="0" borderId="13" xfId="0" applyFont="1" applyBorder="1" applyAlignment="1" applyProtection="1">
      <alignment horizontal="left" wrapText="1" indent="1"/>
      <protection locked="0"/>
    </xf>
    <xf numFmtId="0" fontId="7" fillId="4" borderId="0" xfId="0" applyFont="1" applyFill="1" applyAlignment="1" applyProtection="1">
      <alignment horizontal="left" wrapText="1" indent="1"/>
      <protection locked="0"/>
    </xf>
    <xf numFmtId="165" fontId="0" fillId="4" borderId="6" xfId="0" applyNumberFormat="1" applyFill="1" applyBorder="1" applyProtection="1">
      <protection locked="0"/>
    </xf>
    <xf numFmtId="0" fontId="7" fillId="4" borderId="15" xfId="0" applyFont="1" applyFill="1" applyBorder="1" applyAlignment="1" applyProtection="1">
      <alignment wrapText="1"/>
      <protection locked="0"/>
    </xf>
    <xf numFmtId="0" fontId="7" fillId="4" borderId="1" xfId="0" applyFont="1" applyFill="1" applyBorder="1" applyAlignment="1" applyProtection="1">
      <alignment horizontal="left" wrapText="1" indent="1"/>
      <protection locked="0"/>
    </xf>
    <xf numFmtId="165" fontId="0" fillId="4" borderId="7" xfId="0" applyNumberFormat="1" applyFill="1" applyBorder="1" applyProtection="1">
      <protection locked="0"/>
    </xf>
    <xf numFmtId="0" fontId="7" fillId="4" borderId="13" xfId="0" applyFont="1" applyFill="1" applyBorder="1" applyAlignment="1" applyProtection="1">
      <alignment wrapText="1"/>
      <protection locked="0"/>
    </xf>
    <xf numFmtId="165" fontId="0" fillId="4" borderId="14" xfId="2" applyNumberFormat="1" applyFont="1" applyFill="1" applyBorder="1" applyProtection="1">
      <protection locked="0"/>
    </xf>
    <xf numFmtId="165" fontId="0" fillId="4" borderId="0" xfId="2" applyNumberFormat="1" applyFont="1" applyFill="1" applyBorder="1" applyProtection="1">
      <protection locked="0"/>
    </xf>
    <xf numFmtId="165" fontId="0" fillId="4" borderId="9" xfId="2" applyNumberFormat="1" applyFont="1" applyFill="1" applyBorder="1" applyProtection="1">
      <protection locked="0"/>
    </xf>
    <xf numFmtId="165" fontId="0" fillId="4" borderId="1" xfId="2" applyNumberFormat="1" applyFont="1" applyFill="1" applyBorder="1" applyProtection="1">
      <protection locked="0"/>
    </xf>
    <xf numFmtId="0" fontId="7" fillId="4" borderId="0" xfId="0" applyFont="1" applyFill="1" applyAlignment="1" applyProtection="1">
      <alignment horizontal="left" wrapText="1"/>
      <protection locked="0"/>
    </xf>
    <xf numFmtId="0" fontId="7" fillId="4" borderId="9" xfId="0" applyFont="1" applyFill="1" applyBorder="1" applyAlignment="1" applyProtection="1">
      <alignment horizontal="left" wrapText="1"/>
      <protection locked="0"/>
    </xf>
    <xf numFmtId="0" fontId="0" fillId="0" borderId="15" xfId="0" applyBorder="1" applyAlignment="1" applyProtection="1">
      <alignment horizontal="left" wrapText="1"/>
      <protection locked="0"/>
    </xf>
    <xf numFmtId="0" fontId="0" fillId="0" borderId="15" xfId="0" applyBorder="1" applyAlignment="1" applyProtection="1">
      <alignment wrapText="1"/>
      <protection locked="0"/>
    </xf>
    <xf numFmtId="0" fontId="7" fillId="4" borderId="15" xfId="0" applyFont="1" applyFill="1" applyBorder="1" applyAlignment="1" applyProtection="1">
      <alignment horizontal="left" wrapText="1"/>
      <protection locked="0"/>
    </xf>
    <xf numFmtId="0" fontId="7" fillId="4" borderId="7" xfId="0" applyFont="1" applyFill="1" applyBorder="1" applyAlignment="1" applyProtection="1">
      <alignment horizontal="left" wrapText="1"/>
      <protection locked="0"/>
    </xf>
    <xf numFmtId="0" fontId="7" fillId="4" borderId="13" xfId="0" applyFont="1" applyFill="1" applyBorder="1" applyAlignment="1" applyProtection="1">
      <alignment horizontal="left" wrapText="1"/>
      <protection locked="0"/>
    </xf>
    <xf numFmtId="0" fontId="8" fillId="4" borderId="15" xfId="0" applyFont="1" applyFill="1" applyBorder="1" applyAlignment="1" applyProtection="1">
      <alignment horizontal="left" wrapText="1" indent="1"/>
      <protection locked="0"/>
    </xf>
    <xf numFmtId="0" fontId="8" fillId="4" borderId="13" xfId="0" applyFont="1" applyFill="1" applyBorder="1" applyAlignment="1" applyProtection="1">
      <alignment horizontal="left" wrapText="1" indent="1"/>
      <protection locked="0"/>
    </xf>
    <xf numFmtId="0" fontId="7" fillId="4" borderId="12" xfId="0" applyFont="1" applyFill="1" applyBorder="1" applyAlignment="1" applyProtection="1">
      <alignment horizontal="left" wrapText="1"/>
      <protection locked="0"/>
    </xf>
    <xf numFmtId="0" fontId="7" fillId="4" borderId="15" xfId="0" applyFont="1" applyFill="1" applyBorder="1" applyProtection="1">
      <protection locked="0"/>
    </xf>
    <xf numFmtId="0" fontId="7" fillId="4" borderId="12" xfId="0" applyFont="1" applyFill="1" applyBorder="1" applyProtection="1">
      <protection locked="0"/>
    </xf>
    <xf numFmtId="0" fontId="7" fillId="4" borderId="0" xfId="0" applyFont="1" applyFill="1" applyAlignment="1" applyProtection="1">
      <alignment wrapText="1"/>
      <protection locked="0"/>
    </xf>
    <xf numFmtId="0" fontId="7" fillId="0" borderId="0" xfId="0" applyFont="1" applyAlignment="1">
      <alignment wrapText="1"/>
    </xf>
    <xf numFmtId="0" fontId="28" fillId="10" borderId="0" xfId="0" applyFont="1" applyFill="1" applyAlignment="1">
      <alignment horizontal="center"/>
    </xf>
    <xf numFmtId="0" fontId="24" fillId="9" borderId="29" xfId="0" applyFont="1" applyFill="1" applyBorder="1" applyAlignment="1" applyProtection="1">
      <alignment horizontal="left"/>
      <protection locked="0"/>
    </xf>
    <xf numFmtId="0" fontId="23" fillId="0" borderId="1" xfId="0" applyFont="1" applyBorder="1" applyAlignment="1">
      <alignment wrapText="1"/>
    </xf>
    <xf numFmtId="0" fontId="25" fillId="9" borderId="27" xfId="0" applyFont="1" applyFill="1" applyBorder="1" applyAlignment="1" applyProtection="1">
      <alignment horizontal="left"/>
      <protection locked="0"/>
    </xf>
    <xf numFmtId="0" fontId="25" fillId="9" borderId="29" xfId="0" applyFont="1" applyFill="1" applyBorder="1" applyAlignment="1" applyProtection="1">
      <alignment horizontal="left"/>
      <protection locked="0"/>
    </xf>
    <xf numFmtId="0" fontId="5" fillId="0" borderId="4" xfId="0" applyFont="1" applyBorder="1" applyAlignment="1">
      <alignment horizontal="center"/>
    </xf>
    <xf numFmtId="0" fontId="24" fillId="9" borderId="27" xfId="0" applyFont="1" applyFill="1" applyBorder="1" applyAlignment="1" applyProtection="1">
      <alignment horizontal="left"/>
      <protection locked="0"/>
    </xf>
    <xf numFmtId="0" fontId="20" fillId="4" borderId="4" xfId="0" applyFont="1" applyFill="1" applyBorder="1" applyAlignment="1" applyProtection="1">
      <alignment horizontal="left" wrapText="1" indent="1"/>
      <protection locked="0"/>
    </xf>
    <xf numFmtId="0" fontId="20" fillId="4" borderId="4" xfId="0" applyFont="1" applyFill="1" applyBorder="1" applyAlignment="1" applyProtection="1">
      <alignment horizontal="left" indent="1"/>
      <protection locked="0"/>
    </xf>
    <xf numFmtId="0" fontId="15" fillId="10" borderId="0" xfId="0" applyFont="1" applyFill="1" applyAlignment="1">
      <alignment horizontal="center"/>
    </xf>
    <xf numFmtId="0" fontId="10" fillId="0" borderId="0" xfId="0" applyFont="1" applyAlignment="1">
      <alignment horizontal="left"/>
    </xf>
    <xf numFmtId="0" fontId="2" fillId="0" borderId="0" xfId="0" applyFont="1" applyAlignment="1">
      <alignment horizontal="center"/>
    </xf>
  </cellXfs>
  <cellStyles count="6">
    <cellStyle name="Comma" xfId="1" builtinId="3"/>
    <cellStyle name="Currency" xfId="2" builtinId="4"/>
    <cellStyle name="Hyperlink" xfId="5" builtinId="8"/>
    <cellStyle name="Hyperlink 2" xfId="4" xr:uid="{00000000-0005-0000-0000-000003000000}"/>
    <cellStyle name="Normal" xfId="0" builtinId="0"/>
    <cellStyle name="Percent" xfId="3" builtinId="5"/>
  </cellStyles>
  <dxfs count="3">
    <dxf>
      <font>
        <color rgb="FF9C0006"/>
      </font>
      <fill>
        <patternFill>
          <bgColor rgb="FFFFC7CE"/>
        </patternFill>
      </fill>
    </dxf>
    <dxf>
      <font>
        <color rgb="FF9C0006"/>
      </font>
      <fill>
        <patternFill>
          <bgColor rgb="FFFFC7CE"/>
        </patternFill>
      </fill>
    </dxf>
    <dxf>
      <fill>
        <patternFill>
          <bgColor indexed="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v-my.sharepoint.com/Users/dusty/AppData/Roaming/Microsoft/Excel/250513-Northern-Nevada-Wildflower-Financial-Plan-2025%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esources"/>
      <sheetName val="Cover &amp; Loc"/>
      <sheetName val="Checklist &amp; TOC"/>
      <sheetName val="Mkt Res"/>
      <sheetName val=" Enrol &amp; Rev"/>
      <sheetName val="Pre Y1 (Incubation)"/>
      <sheetName val="CF Y1 Mo"/>
      <sheetName val="Staff"/>
      <sheetName val="Facilities"/>
      <sheetName val="Gen Optg"/>
      <sheetName val="Ins"/>
      <sheetName val="FFE&amp;T"/>
      <sheetName val="Marketing"/>
      <sheetName val="EMO-CMO-BOSP"/>
      <sheetName val="Summary"/>
      <sheetName val="Statistics"/>
      <sheetName val="Info--&gt;"/>
      <sheetName val="PCFP Rates"/>
      <sheetName val="Demographics"/>
      <sheetName val="Facilities wkst"/>
      <sheetName val="Dev Notes"/>
      <sheetName val="Note FFE"/>
      <sheetName val="Eq wip"/>
      <sheetName val="Scratchpad (2)"/>
      <sheetName val="Levers"/>
      <sheetName val="Scratchpad"/>
      <sheetName val="Transp"/>
      <sheetName val="Star Ratings"/>
    </sheetNames>
    <sheetDataSet>
      <sheetData sheetId="0"/>
      <sheetData sheetId="1"/>
      <sheetData sheetId="2">
        <row r="9">
          <cell r="A9" t="str">
            <v>Northern Nevada Wildflower Montessori</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state.nv.us/nac/nac-387.html" TargetMode="External"/><Relationship Id="rId2" Type="http://schemas.openxmlformats.org/officeDocument/2006/relationships/hyperlink" Target="https://www.leg.state.nv.us/nrs/nrs-354.html" TargetMode="External"/><Relationship Id="rId1" Type="http://schemas.openxmlformats.org/officeDocument/2006/relationships/hyperlink" Target="https://transparentnevada.com/agencies/salaries/charter-schools/" TargetMode="External"/><Relationship Id="rId6" Type="http://schemas.openxmlformats.org/officeDocument/2006/relationships/printerSettings" Target="../printerSettings/printerSettings1.bin"/><Relationship Id="rId5" Type="http://schemas.openxmlformats.org/officeDocument/2006/relationships/hyperlink" Target="https://www.leg.state.nv.us/nac/NAC-354.html" TargetMode="External"/><Relationship Id="rId4" Type="http://schemas.openxmlformats.org/officeDocument/2006/relationships/hyperlink" Target="https://doe.nv.gov/offices/student-investment-divis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A90"/>
  <sheetViews>
    <sheetView topLeftCell="A41" zoomScale="120" zoomScaleNormal="120" workbookViewId="0">
      <selection activeCell="A49" sqref="A49"/>
    </sheetView>
  </sheetViews>
  <sheetFormatPr defaultColWidth="8.7265625" defaultRowHeight="14.5" x14ac:dyDescent="0.35"/>
  <cols>
    <col min="1" max="1" width="155.26953125" style="185" customWidth="1"/>
  </cols>
  <sheetData>
    <row r="1" spans="1:1" ht="21" x14ac:dyDescent="0.35">
      <c r="A1" s="220" t="s">
        <v>265</v>
      </c>
    </row>
    <row r="2" spans="1:1" ht="73" thickBot="1" x14ac:dyDescent="0.4">
      <c r="A2" s="216" t="s">
        <v>304</v>
      </c>
    </row>
    <row r="3" spans="1:1" ht="15" thickBot="1" x14ac:dyDescent="0.4"/>
    <row r="4" spans="1:1" ht="18.5" x14ac:dyDescent="0.35">
      <c r="A4" s="186" t="s">
        <v>266</v>
      </c>
    </row>
    <row r="5" spans="1:1" ht="72.5" x14ac:dyDescent="0.35">
      <c r="A5" s="205" t="s">
        <v>311</v>
      </c>
    </row>
    <row r="6" spans="1:1" x14ac:dyDescent="0.35">
      <c r="A6" s="217" t="s">
        <v>328</v>
      </c>
    </row>
    <row r="7" spans="1:1" s="2" customFormat="1" x14ac:dyDescent="0.35">
      <c r="A7" s="217" t="s">
        <v>329</v>
      </c>
    </row>
    <row r="8" spans="1:1" s="2" customFormat="1" x14ac:dyDescent="0.35">
      <c r="A8" s="217" t="s">
        <v>330</v>
      </c>
    </row>
    <row r="9" spans="1:1" s="2" customFormat="1" x14ac:dyDescent="0.35">
      <c r="A9" s="217" t="s">
        <v>331</v>
      </c>
    </row>
    <row r="10" spans="1:1" s="2" customFormat="1" x14ac:dyDescent="0.35">
      <c r="A10" s="218" t="s">
        <v>332</v>
      </c>
    </row>
    <row r="11" spans="1:1" s="2" customFormat="1" x14ac:dyDescent="0.35">
      <c r="A11" s="217" t="s">
        <v>333</v>
      </c>
    </row>
    <row r="12" spans="1:1" s="2" customFormat="1" x14ac:dyDescent="0.35">
      <c r="A12" s="217" t="s">
        <v>334</v>
      </c>
    </row>
    <row r="13" spans="1:1" s="2" customFormat="1" x14ac:dyDescent="0.35">
      <c r="A13" s="217" t="s">
        <v>335</v>
      </c>
    </row>
    <row r="14" spans="1:1" s="2" customFormat="1" x14ac:dyDescent="0.35">
      <c r="A14" s="217" t="s">
        <v>336</v>
      </c>
    </row>
    <row r="15" spans="1:1" s="2" customFormat="1" ht="15" thickBot="1" x14ac:dyDescent="0.4">
      <c r="A15" s="219" t="s">
        <v>337</v>
      </c>
    </row>
    <row r="16" spans="1:1" ht="15" thickBot="1" x14ac:dyDescent="0.4">
      <c r="A16" s="187"/>
    </row>
    <row r="17" spans="1:1" ht="18.5" x14ac:dyDescent="0.35">
      <c r="A17" s="186" t="s">
        <v>338</v>
      </c>
    </row>
    <row r="18" spans="1:1" x14ac:dyDescent="0.35">
      <c r="A18" s="188" t="s">
        <v>267</v>
      </c>
    </row>
    <row r="19" spans="1:1" x14ac:dyDescent="0.35">
      <c r="A19" s="221" t="s">
        <v>268</v>
      </c>
    </row>
    <row r="20" spans="1:1" x14ac:dyDescent="0.35">
      <c r="A20" s="188" t="s">
        <v>339</v>
      </c>
    </row>
    <row r="21" spans="1:1" ht="43.5" x14ac:dyDescent="0.35">
      <c r="A21" s="221" t="s">
        <v>363</v>
      </c>
    </row>
    <row r="22" spans="1:1" x14ac:dyDescent="0.35">
      <c r="A22" s="188" t="s">
        <v>271</v>
      </c>
    </row>
    <row r="23" spans="1:1" ht="43.5" x14ac:dyDescent="0.35">
      <c r="A23" s="221" t="s">
        <v>325</v>
      </c>
    </row>
    <row r="24" spans="1:1" x14ac:dyDescent="0.35">
      <c r="A24" s="188" t="s">
        <v>296</v>
      </c>
    </row>
    <row r="25" spans="1:1" ht="34.5" customHeight="1" x14ac:dyDescent="0.35">
      <c r="A25" s="221" t="s">
        <v>305</v>
      </c>
    </row>
    <row r="26" spans="1:1" x14ac:dyDescent="0.35">
      <c r="A26" s="188" t="s">
        <v>297</v>
      </c>
    </row>
    <row r="27" spans="1:1" ht="47.25" customHeight="1" x14ac:dyDescent="0.35">
      <c r="A27" s="222" t="s">
        <v>310</v>
      </c>
    </row>
    <row r="28" spans="1:1" x14ac:dyDescent="0.35">
      <c r="A28" s="223" t="s">
        <v>326</v>
      </c>
    </row>
    <row r="29" spans="1:1" s="2" customFormat="1" x14ac:dyDescent="0.35">
      <c r="A29" s="223" t="s">
        <v>327</v>
      </c>
    </row>
    <row r="30" spans="1:1" x14ac:dyDescent="0.35">
      <c r="A30" s="188" t="s">
        <v>269</v>
      </c>
    </row>
    <row r="31" spans="1:1" ht="33" customHeight="1" x14ac:dyDescent="0.35">
      <c r="A31" s="222" t="s">
        <v>312</v>
      </c>
    </row>
    <row r="32" spans="1:1" ht="29" x14ac:dyDescent="0.35">
      <c r="A32" s="223" t="s">
        <v>314</v>
      </c>
    </row>
    <row r="33" spans="1:1" x14ac:dyDescent="0.35">
      <c r="A33" s="223" t="s">
        <v>313</v>
      </c>
    </row>
    <row r="34" spans="1:1" x14ac:dyDescent="0.35">
      <c r="A34" s="223" t="s">
        <v>340</v>
      </c>
    </row>
    <row r="35" spans="1:1" x14ac:dyDescent="0.35">
      <c r="A35" s="223" t="s">
        <v>315</v>
      </c>
    </row>
    <row r="36" spans="1:1" x14ac:dyDescent="0.35">
      <c r="A36" s="188" t="s">
        <v>298</v>
      </c>
    </row>
    <row r="37" spans="1:1" ht="43.5" x14ac:dyDescent="0.35">
      <c r="A37" s="221" t="s">
        <v>316</v>
      </c>
    </row>
    <row r="38" spans="1:1" x14ac:dyDescent="0.35">
      <c r="A38" s="224" t="s">
        <v>317</v>
      </c>
    </row>
    <row r="39" spans="1:1" ht="29" x14ac:dyDescent="0.35">
      <c r="A39" s="223" t="s">
        <v>318</v>
      </c>
    </row>
    <row r="40" spans="1:1" x14ac:dyDescent="0.35">
      <c r="A40" s="188" t="s">
        <v>299</v>
      </c>
    </row>
    <row r="41" spans="1:1" ht="43.5" x14ac:dyDescent="0.35">
      <c r="A41" s="221" t="s">
        <v>319</v>
      </c>
    </row>
    <row r="42" spans="1:1" x14ac:dyDescent="0.35">
      <c r="A42" s="224" t="s">
        <v>317</v>
      </c>
    </row>
    <row r="43" spans="1:1" ht="29" x14ac:dyDescent="0.35">
      <c r="A43" s="223" t="s">
        <v>320</v>
      </c>
    </row>
    <row r="44" spans="1:1" x14ac:dyDescent="0.35">
      <c r="A44" s="188" t="s">
        <v>300</v>
      </c>
    </row>
    <row r="45" spans="1:1" ht="33.75" customHeight="1" x14ac:dyDescent="0.35">
      <c r="A45" s="221" t="s">
        <v>321</v>
      </c>
    </row>
    <row r="46" spans="1:1" ht="29" x14ac:dyDescent="0.35">
      <c r="A46" s="223" t="s">
        <v>322</v>
      </c>
    </row>
    <row r="47" spans="1:1" ht="43.5" x14ac:dyDescent="0.35">
      <c r="A47" s="223" t="s">
        <v>323</v>
      </c>
    </row>
    <row r="48" spans="1:1" x14ac:dyDescent="0.35">
      <c r="A48" s="188" t="s">
        <v>301</v>
      </c>
    </row>
    <row r="49" spans="1:1" ht="43.5" x14ac:dyDescent="0.35">
      <c r="A49" s="222" t="s">
        <v>341</v>
      </c>
    </row>
    <row r="50" spans="1:1" x14ac:dyDescent="0.35">
      <c r="A50" s="188" t="s">
        <v>306</v>
      </c>
    </row>
    <row r="51" spans="1:1" x14ac:dyDescent="0.35">
      <c r="A51" s="225" t="s">
        <v>307</v>
      </c>
    </row>
    <row r="52" spans="1:1" x14ac:dyDescent="0.35">
      <c r="A52" s="225" t="s">
        <v>308</v>
      </c>
    </row>
    <row r="53" spans="1:1" x14ac:dyDescent="0.35">
      <c r="A53" s="225" t="s">
        <v>324</v>
      </c>
    </row>
    <row r="54" spans="1:1" x14ac:dyDescent="0.35">
      <c r="A54" s="225" t="s">
        <v>309</v>
      </c>
    </row>
    <row r="55" spans="1:1" s="7" customFormat="1" x14ac:dyDescent="0.35">
      <c r="A55" s="226" t="s">
        <v>270</v>
      </c>
    </row>
    <row r="56" spans="1:1" x14ac:dyDescent="0.35">
      <c r="A56" s="187"/>
    </row>
    <row r="57" spans="1:1" x14ac:dyDescent="0.35">
      <c r="A57" s="187"/>
    </row>
    <row r="58" spans="1:1" x14ac:dyDescent="0.35">
      <c r="A58" s="187"/>
    </row>
    <row r="59" spans="1:1" x14ac:dyDescent="0.35">
      <c r="A59" s="187"/>
    </row>
    <row r="60" spans="1:1" x14ac:dyDescent="0.35">
      <c r="A60" s="187"/>
    </row>
    <row r="61" spans="1:1" x14ac:dyDescent="0.35">
      <c r="A61" s="187"/>
    </row>
    <row r="62" spans="1:1" x14ac:dyDescent="0.35">
      <c r="A62" s="187"/>
    </row>
    <row r="63" spans="1:1" x14ac:dyDescent="0.35">
      <c r="A63" s="187"/>
    </row>
    <row r="64" spans="1:1" x14ac:dyDescent="0.35">
      <c r="A64" s="187"/>
    </row>
    <row r="65" spans="1:1" x14ac:dyDescent="0.35">
      <c r="A65" s="187"/>
    </row>
    <row r="66" spans="1:1" x14ac:dyDescent="0.35">
      <c r="A66" s="187"/>
    </row>
    <row r="67" spans="1:1" x14ac:dyDescent="0.35">
      <c r="A67" s="187"/>
    </row>
    <row r="68" spans="1:1" x14ac:dyDescent="0.35">
      <c r="A68" s="187"/>
    </row>
    <row r="69" spans="1:1" x14ac:dyDescent="0.35">
      <c r="A69" s="187"/>
    </row>
    <row r="70" spans="1:1" x14ac:dyDescent="0.35">
      <c r="A70" s="187"/>
    </row>
    <row r="71" spans="1:1" x14ac:dyDescent="0.35">
      <c r="A71" s="187"/>
    </row>
    <row r="72" spans="1:1" x14ac:dyDescent="0.35">
      <c r="A72" s="187"/>
    </row>
    <row r="73" spans="1:1" x14ac:dyDescent="0.35">
      <c r="A73" s="187"/>
    </row>
    <row r="74" spans="1:1" x14ac:dyDescent="0.35">
      <c r="A74" s="187"/>
    </row>
    <row r="75" spans="1:1" x14ac:dyDescent="0.35">
      <c r="A75" s="187"/>
    </row>
    <row r="76" spans="1:1" x14ac:dyDescent="0.35">
      <c r="A76" s="187"/>
    </row>
    <row r="77" spans="1:1" x14ac:dyDescent="0.35">
      <c r="A77" s="187"/>
    </row>
    <row r="78" spans="1:1" x14ac:dyDescent="0.35">
      <c r="A78" s="187"/>
    </row>
    <row r="79" spans="1:1" x14ac:dyDescent="0.35">
      <c r="A79" s="187"/>
    </row>
    <row r="80" spans="1:1" x14ac:dyDescent="0.35">
      <c r="A80" s="187"/>
    </row>
    <row r="81" spans="1:1" x14ac:dyDescent="0.35">
      <c r="A81" s="187"/>
    </row>
    <row r="82" spans="1:1" x14ac:dyDescent="0.35">
      <c r="A82" s="187"/>
    </row>
    <row r="83" spans="1:1" x14ac:dyDescent="0.35">
      <c r="A83" s="187"/>
    </row>
    <row r="84" spans="1:1" x14ac:dyDescent="0.35">
      <c r="A84" s="187"/>
    </row>
    <row r="85" spans="1:1" x14ac:dyDescent="0.35">
      <c r="A85" s="187"/>
    </row>
    <row r="86" spans="1:1" x14ac:dyDescent="0.35">
      <c r="A86" s="187"/>
    </row>
    <row r="87" spans="1:1" x14ac:dyDescent="0.35">
      <c r="A87" s="187"/>
    </row>
    <row r="88" spans="1:1" x14ac:dyDescent="0.35">
      <c r="A88" s="187"/>
    </row>
    <row r="89" spans="1:1" x14ac:dyDescent="0.35">
      <c r="A89" s="187"/>
    </row>
    <row r="90" spans="1:1" x14ac:dyDescent="0.35">
      <c r="A90" s="187"/>
    </row>
  </sheetData>
  <sheetProtection algorithmName="SHA-512" hashValue="F6Q2QzTzvLe2Dsz+eSfqdCACuOU29d3mhx7WpWMyo/XVjMHS17jBRJuQtRHUwDEiI6B4453bMYbJcaRNXyCsdw==" saltValue="haafLSzE50wK8PW+nq1uJw==" spinCount="100000" sheet="1" objects="1" scenarios="1"/>
  <hyperlinks>
    <hyperlink ref="A55" r:id="rId1" xr:uid="{00000000-0004-0000-0000-000000000000}"/>
    <hyperlink ref="A51" r:id="rId2" location="NRS354Sec612" xr:uid="{00000000-0004-0000-0000-000001000000}"/>
    <hyperlink ref="A52" r:id="rId3" location="NAC387Sec735" xr:uid="{00000000-0004-0000-0000-000002000000}"/>
    <hyperlink ref="A54" r:id="rId4" xr:uid="{00000000-0004-0000-0000-000003000000}"/>
    <hyperlink ref="A53" r:id="rId5" location="NAC354Sec650" xr:uid="{00000000-0004-0000-0000-000004000000}"/>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R30"/>
  <sheetViews>
    <sheetView zoomScale="80" zoomScaleNormal="80" workbookViewId="0">
      <pane xSplit="3" ySplit="9" topLeftCell="D11" activePane="bottomRight" state="frozen"/>
      <selection pane="topRight" activeCell="D1" sqref="D1"/>
      <selection pane="bottomLeft" activeCell="A10" sqref="A10"/>
      <selection pane="bottomRight" activeCell="M32" sqref="M32"/>
    </sheetView>
  </sheetViews>
  <sheetFormatPr defaultRowHeight="14.5" x14ac:dyDescent="0.35"/>
  <cols>
    <col min="3" max="3" width="39.90625" customWidth="1"/>
    <col min="4" max="4" width="13.08984375" customWidth="1"/>
    <col min="5" max="5" width="14.08984375" customWidth="1"/>
    <col min="6" max="17" width="11.90625" customWidth="1"/>
    <col min="18" max="18" width="67.08984375" customWidth="1"/>
  </cols>
  <sheetData>
    <row r="1" spans="2:18" ht="18.5" x14ac:dyDescent="0.45">
      <c r="B1" s="36" t="s">
        <v>120</v>
      </c>
      <c r="C1" s="38" t="str">
        <f>Summary!C1</f>
        <v>Legal Prep Charter Academy</v>
      </c>
    </row>
    <row r="2" spans="2:18" ht="18.5" x14ac:dyDescent="0.45">
      <c r="B2" s="36" t="s">
        <v>126</v>
      </c>
      <c r="C2" s="38" t="str">
        <f>Summary!C2</f>
        <v>Las Vegas</v>
      </c>
    </row>
    <row r="3" spans="2:18" ht="18.5" x14ac:dyDescent="0.45">
      <c r="B3" s="36" t="s">
        <v>121</v>
      </c>
      <c r="C3" s="38">
        <f>Summary!C3</f>
        <v>2027</v>
      </c>
    </row>
    <row r="6" spans="2:18" ht="21" x14ac:dyDescent="0.5">
      <c r="B6" s="266" t="s">
        <v>262</v>
      </c>
      <c r="C6" s="266"/>
      <c r="D6" s="266"/>
      <c r="E6" s="266"/>
      <c r="F6" s="266"/>
      <c r="G6" s="266"/>
      <c r="H6" s="266"/>
      <c r="I6" s="266"/>
      <c r="J6" s="266"/>
      <c r="K6" s="266"/>
      <c r="L6" s="266"/>
      <c r="M6" s="266"/>
      <c r="N6" s="266"/>
      <c r="O6" s="266"/>
      <c r="P6" s="266"/>
      <c r="Q6" s="266"/>
    </row>
    <row r="7" spans="2:18" ht="21" x14ac:dyDescent="0.5">
      <c r="C7" s="167"/>
      <c r="D7" s="167"/>
      <c r="E7" s="167"/>
      <c r="F7" s="167"/>
      <c r="G7" s="167"/>
      <c r="H7" s="167"/>
      <c r="I7" s="167"/>
      <c r="J7" s="167"/>
      <c r="K7" s="167"/>
      <c r="L7" s="167"/>
      <c r="M7" s="167"/>
      <c r="N7" s="167"/>
      <c r="O7" s="167"/>
      <c r="P7" s="167"/>
      <c r="Q7" s="39"/>
    </row>
    <row r="8" spans="2:18" x14ac:dyDescent="0.35">
      <c r="B8" s="1"/>
      <c r="D8" s="168" t="str">
        <f>Summary!D7</f>
        <v>2026-2027</v>
      </c>
      <c r="E8" s="179" t="str">
        <f>Summary!E7&amp;" Year 1 ---&gt;"</f>
        <v>2027-2028 Year 1 ---&gt;</v>
      </c>
      <c r="F8" s="180"/>
      <c r="G8" s="180"/>
      <c r="H8" s="180"/>
      <c r="I8" s="180"/>
      <c r="J8" s="180"/>
      <c r="K8" s="180"/>
      <c r="L8" s="180"/>
      <c r="M8" s="180"/>
      <c r="N8" s="180"/>
      <c r="O8" s="180"/>
      <c r="P8" s="180"/>
      <c r="Q8" s="181"/>
    </row>
    <row r="9" spans="2:18" x14ac:dyDescent="0.35">
      <c r="B9" s="19" t="s">
        <v>69</v>
      </c>
      <c r="C9" s="20" t="s">
        <v>70</v>
      </c>
      <c r="D9" s="60" t="s">
        <v>94</v>
      </c>
      <c r="E9" s="169" t="s">
        <v>95</v>
      </c>
      <c r="F9" s="21" t="s">
        <v>96</v>
      </c>
      <c r="G9" s="21" t="s">
        <v>97</v>
      </c>
      <c r="H9" s="21" t="s">
        <v>98</v>
      </c>
      <c r="I9" s="21" t="s">
        <v>99</v>
      </c>
      <c r="J9" s="21" t="s">
        <v>100</v>
      </c>
      <c r="K9" s="21" t="s">
        <v>101</v>
      </c>
      <c r="L9" s="21" t="s">
        <v>102</v>
      </c>
      <c r="M9" s="21" t="s">
        <v>103</v>
      </c>
      <c r="N9" s="21" t="s">
        <v>104</v>
      </c>
      <c r="O9" s="21" t="s">
        <v>105</v>
      </c>
      <c r="P9" s="21" t="s">
        <v>106</v>
      </c>
      <c r="Q9" s="170" t="s">
        <v>261</v>
      </c>
      <c r="R9" s="20" t="s">
        <v>16</v>
      </c>
    </row>
    <row r="10" spans="2:18" x14ac:dyDescent="0.35">
      <c r="B10" s="14"/>
      <c r="C10" s="15" t="s">
        <v>117</v>
      </c>
      <c r="D10" s="28">
        <v>0</v>
      </c>
      <c r="E10" s="171">
        <f>D29</f>
        <v>41833.5</v>
      </c>
      <c r="F10" s="18">
        <f t="shared" ref="F10:P10" si="0">E29</f>
        <v>255119.41666666666</v>
      </c>
      <c r="G10" s="18">
        <f t="shared" si="0"/>
        <v>280822.91666666663</v>
      </c>
      <c r="H10" s="18">
        <f t="shared" si="0"/>
        <v>306526.41666666663</v>
      </c>
      <c r="I10" s="18">
        <f t="shared" si="0"/>
        <v>332229.91666666663</v>
      </c>
      <c r="J10" s="18">
        <f t="shared" si="0"/>
        <v>339183.41666666663</v>
      </c>
      <c r="K10" s="18">
        <f t="shared" si="0"/>
        <v>346136.91666666663</v>
      </c>
      <c r="L10" s="18">
        <f t="shared" si="0"/>
        <v>353090.41666666663</v>
      </c>
      <c r="M10" s="18">
        <f t="shared" si="0"/>
        <v>360043.91666666663</v>
      </c>
      <c r="N10" s="18">
        <f t="shared" si="0"/>
        <v>366997.41666666663</v>
      </c>
      <c r="O10" s="18">
        <f t="shared" si="0"/>
        <v>373950.91666666663</v>
      </c>
      <c r="P10" s="18">
        <f t="shared" si="0"/>
        <v>380904.41666666663</v>
      </c>
      <c r="Q10" s="176"/>
      <c r="R10" s="4" t="s">
        <v>112</v>
      </c>
    </row>
    <row r="11" spans="2:18" ht="23" customHeight="1" x14ac:dyDescent="0.35">
      <c r="B11" s="1"/>
      <c r="C11" s="16" t="s">
        <v>109</v>
      </c>
      <c r="D11" s="29"/>
      <c r="E11" s="172"/>
      <c r="F11" s="22"/>
      <c r="G11" s="22"/>
      <c r="H11" s="22"/>
      <c r="I11" s="22"/>
      <c r="J11" s="22"/>
      <c r="K11" s="22"/>
      <c r="L11" s="22"/>
      <c r="M11" s="22"/>
      <c r="N11" s="22"/>
      <c r="O11" s="22"/>
      <c r="P11" s="22"/>
      <c r="Q11" s="29"/>
    </row>
    <row r="12" spans="2:18" x14ac:dyDescent="0.35">
      <c r="B12" s="1">
        <v>1000</v>
      </c>
      <c r="C12" s="12" t="s">
        <v>72</v>
      </c>
      <c r="D12" s="232">
        <f>Revenue!D$33</f>
        <v>0</v>
      </c>
      <c r="E12" s="248">
        <f>Revenue!E33/12</f>
        <v>933.33333333333337</v>
      </c>
      <c r="F12" s="249">
        <f>E12</f>
        <v>933.33333333333337</v>
      </c>
      <c r="G12" s="249">
        <f t="shared" ref="G12:P12" si="1">F12</f>
        <v>933.33333333333337</v>
      </c>
      <c r="H12" s="249">
        <f t="shared" si="1"/>
        <v>933.33333333333337</v>
      </c>
      <c r="I12" s="249">
        <f t="shared" si="1"/>
        <v>933.33333333333337</v>
      </c>
      <c r="J12" s="249">
        <f t="shared" si="1"/>
        <v>933.33333333333337</v>
      </c>
      <c r="K12" s="249">
        <f t="shared" si="1"/>
        <v>933.33333333333337</v>
      </c>
      <c r="L12" s="249">
        <f t="shared" si="1"/>
        <v>933.33333333333337</v>
      </c>
      <c r="M12" s="249">
        <f t="shared" si="1"/>
        <v>933.33333333333337</v>
      </c>
      <c r="N12" s="249">
        <f t="shared" si="1"/>
        <v>933.33333333333337</v>
      </c>
      <c r="O12" s="249">
        <f t="shared" si="1"/>
        <v>933.33333333333337</v>
      </c>
      <c r="P12" s="249">
        <f t="shared" si="1"/>
        <v>933.33333333333337</v>
      </c>
      <c r="Q12" s="76">
        <f>SUM(E12:P12)</f>
        <v>11200.000000000002</v>
      </c>
      <c r="R12" s="264"/>
    </row>
    <row r="13" spans="2:18" x14ac:dyDescent="0.35">
      <c r="B13" s="1">
        <v>3000</v>
      </c>
      <c r="C13" s="12" t="s">
        <v>73</v>
      </c>
      <c r="D13" s="232">
        <f>Revenue!D42</f>
        <v>0</v>
      </c>
      <c r="E13" s="248">
        <f>Revenue!E42/12</f>
        <v>110856.66666666667</v>
      </c>
      <c r="F13" s="249">
        <f t="shared" ref="F13:P14" si="2">E13</f>
        <v>110856.66666666667</v>
      </c>
      <c r="G13" s="249">
        <f t="shared" si="2"/>
        <v>110856.66666666667</v>
      </c>
      <c r="H13" s="249">
        <f t="shared" si="2"/>
        <v>110856.66666666667</v>
      </c>
      <c r="I13" s="249">
        <f t="shared" si="2"/>
        <v>110856.66666666667</v>
      </c>
      <c r="J13" s="249">
        <f t="shared" si="2"/>
        <v>110856.66666666667</v>
      </c>
      <c r="K13" s="249">
        <f t="shared" si="2"/>
        <v>110856.66666666667</v>
      </c>
      <c r="L13" s="249">
        <f t="shared" si="2"/>
        <v>110856.66666666667</v>
      </c>
      <c r="M13" s="249">
        <f t="shared" si="2"/>
        <v>110856.66666666667</v>
      </c>
      <c r="N13" s="249">
        <f t="shared" si="2"/>
        <v>110856.66666666667</v>
      </c>
      <c r="O13" s="249">
        <f t="shared" si="2"/>
        <v>110856.66666666667</v>
      </c>
      <c r="P13" s="249">
        <f t="shared" si="2"/>
        <v>110856.66666666667</v>
      </c>
      <c r="Q13" s="76">
        <f t="shared" ref="Q13:Q15" si="3">SUM(E13:P13)</f>
        <v>1330280</v>
      </c>
      <c r="R13" s="264"/>
    </row>
    <row r="14" spans="2:18" ht="26.5" x14ac:dyDescent="0.35">
      <c r="B14" s="1">
        <v>4000</v>
      </c>
      <c r="C14" s="12" t="s">
        <v>74</v>
      </c>
      <c r="D14" s="232">
        <f>Revenue!D56</f>
        <v>800000</v>
      </c>
      <c r="E14" s="248">
        <v>250000</v>
      </c>
      <c r="F14" s="249">
        <v>100000</v>
      </c>
      <c r="G14" s="249">
        <v>100000</v>
      </c>
      <c r="H14" s="249">
        <v>100000</v>
      </c>
      <c r="I14" s="249">
        <v>81250</v>
      </c>
      <c r="J14" s="249">
        <f t="shared" si="2"/>
        <v>81250</v>
      </c>
      <c r="K14" s="249">
        <f t="shared" si="2"/>
        <v>81250</v>
      </c>
      <c r="L14" s="249">
        <f t="shared" si="2"/>
        <v>81250</v>
      </c>
      <c r="M14" s="249">
        <f t="shared" si="2"/>
        <v>81250</v>
      </c>
      <c r="N14" s="249">
        <f t="shared" si="2"/>
        <v>81250</v>
      </c>
      <c r="O14" s="249">
        <f t="shared" si="2"/>
        <v>81250</v>
      </c>
      <c r="P14" s="249">
        <f t="shared" si="2"/>
        <v>81250</v>
      </c>
      <c r="Q14" s="76">
        <f t="shared" si="3"/>
        <v>1200000</v>
      </c>
      <c r="R14" s="264" t="s">
        <v>529</v>
      </c>
    </row>
    <row r="15" spans="2:18" ht="29" x14ac:dyDescent="0.35">
      <c r="B15" s="6">
        <v>5000</v>
      </c>
      <c r="C15" s="214" t="s">
        <v>302</v>
      </c>
      <c r="D15" s="233">
        <f>Revenue!D65</f>
        <v>0</v>
      </c>
      <c r="E15" s="250"/>
      <c r="F15" s="251"/>
      <c r="G15" s="251"/>
      <c r="H15" s="251"/>
      <c r="I15" s="251"/>
      <c r="J15" s="251"/>
      <c r="K15" s="251"/>
      <c r="L15" s="251"/>
      <c r="M15" s="251"/>
      <c r="N15" s="251"/>
      <c r="O15" s="251"/>
      <c r="P15" s="251"/>
      <c r="Q15" s="177">
        <f t="shared" si="3"/>
        <v>0</v>
      </c>
      <c r="R15" s="264"/>
    </row>
    <row r="16" spans="2:18" x14ac:dyDescent="0.35">
      <c r="B16" s="1"/>
      <c r="C16" s="12" t="s">
        <v>84</v>
      </c>
      <c r="D16" s="29">
        <f>SUM(D12:D15)</f>
        <v>800000</v>
      </c>
      <c r="E16" s="172">
        <f t="shared" ref="E16:L16" si="4">SUM(E12:E15)</f>
        <v>361790</v>
      </c>
      <c r="F16" s="22">
        <f t="shared" ref="F16" si="5">SUM(F12:F15)</f>
        <v>211790</v>
      </c>
      <c r="G16" s="22">
        <f t="shared" ref="G16" si="6">SUM(G12:G15)</f>
        <v>211790</v>
      </c>
      <c r="H16" s="22">
        <f t="shared" ref="H16" si="7">SUM(H12:H15)</f>
        <v>211790</v>
      </c>
      <c r="I16" s="22">
        <f t="shared" ref="I16" si="8">SUM(I12:I15)</f>
        <v>193040</v>
      </c>
      <c r="J16" s="22">
        <f t="shared" si="4"/>
        <v>193040</v>
      </c>
      <c r="K16" s="22">
        <f t="shared" si="4"/>
        <v>193040</v>
      </c>
      <c r="L16" s="22">
        <f t="shared" si="4"/>
        <v>193040</v>
      </c>
      <c r="M16" s="22">
        <f t="shared" ref="M16" si="9">SUM(M12:M15)</f>
        <v>193040</v>
      </c>
      <c r="N16" s="22">
        <f t="shared" ref="N16" si="10">SUM(N12:N15)</f>
        <v>193040</v>
      </c>
      <c r="O16" s="22">
        <f t="shared" ref="O16" si="11">SUM(O12:O15)</f>
        <v>193040</v>
      </c>
      <c r="P16" s="22">
        <f t="shared" ref="P16:Q16" si="12">SUM(P12:P15)</f>
        <v>193040</v>
      </c>
      <c r="Q16" s="29">
        <f t="shared" si="12"/>
        <v>2541480</v>
      </c>
      <c r="R16" s="265"/>
    </row>
    <row r="17" spans="2:18" x14ac:dyDescent="0.35">
      <c r="B17" s="1"/>
      <c r="C17" s="5"/>
      <c r="D17" s="29"/>
      <c r="E17" s="172"/>
      <c r="F17" s="22"/>
      <c r="G17" s="22"/>
      <c r="H17" s="22"/>
      <c r="I17" s="22"/>
      <c r="J17" s="22"/>
      <c r="K17" s="22"/>
      <c r="L17" s="22"/>
      <c r="M17" s="22"/>
      <c r="N17" s="22"/>
      <c r="O17" s="22"/>
      <c r="P17" s="22"/>
      <c r="Q17" s="29"/>
      <c r="R17" s="265"/>
    </row>
    <row r="18" spans="2:18" x14ac:dyDescent="0.35">
      <c r="B18" s="1"/>
      <c r="C18" s="16" t="s">
        <v>108</v>
      </c>
      <c r="D18" s="29"/>
      <c r="E18" s="172"/>
      <c r="F18" s="22"/>
      <c r="G18" s="22"/>
      <c r="H18" s="22"/>
      <c r="I18" s="22"/>
      <c r="J18" s="22"/>
      <c r="K18" s="22"/>
      <c r="L18" s="22"/>
      <c r="M18" s="22"/>
      <c r="N18" s="22"/>
      <c r="O18" s="22"/>
      <c r="P18" s="22"/>
      <c r="Q18" s="29"/>
      <c r="R18" s="265"/>
    </row>
    <row r="19" spans="2:18" x14ac:dyDescent="0.35">
      <c r="B19" s="1">
        <v>100</v>
      </c>
      <c r="C19" s="7" t="s">
        <v>77</v>
      </c>
      <c r="D19" s="232">
        <f>Staff!D120</f>
        <v>105000</v>
      </c>
      <c r="E19" s="248">
        <f>Staff!E120/12</f>
        <v>73916.666666666672</v>
      </c>
      <c r="F19" s="249">
        <f t="shared" ref="F19:G22" si="13">E19</f>
        <v>73916.666666666672</v>
      </c>
      <c r="G19" s="249">
        <f t="shared" si="13"/>
        <v>73916.666666666672</v>
      </c>
      <c r="H19" s="249">
        <f t="shared" ref="H19:P19" si="14">G19</f>
        <v>73916.666666666672</v>
      </c>
      <c r="I19" s="249">
        <f t="shared" si="14"/>
        <v>73916.666666666672</v>
      </c>
      <c r="J19" s="249">
        <f t="shared" si="14"/>
        <v>73916.666666666672</v>
      </c>
      <c r="K19" s="249">
        <f t="shared" si="14"/>
        <v>73916.666666666672</v>
      </c>
      <c r="L19" s="249">
        <f t="shared" si="14"/>
        <v>73916.666666666672</v>
      </c>
      <c r="M19" s="249">
        <f t="shared" si="14"/>
        <v>73916.666666666672</v>
      </c>
      <c r="N19" s="249">
        <f t="shared" si="14"/>
        <v>73916.666666666672</v>
      </c>
      <c r="O19" s="249">
        <f t="shared" si="14"/>
        <v>73916.666666666672</v>
      </c>
      <c r="P19" s="249">
        <f t="shared" si="14"/>
        <v>73916.666666666672</v>
      </c>
      <c r="Q19" s="76">
        <f t="shared" ref="Q19:Q21" si="15">SUM(E19:P19)</f>
        <v>886999.99999999988</v>
      </c>
      <c r="R19" s="264" t="s">
        <v>531</v>
      </c>
    </row>
    <row r="20" spans="2:18" x14ac:dyDescent="0.35">
      <c r="B20" s="1">
        <v>200</v>
      </c>
      <c r="C20" s="7" t="s">
        <v>78</v>
      </c>
      <c r="D20" s="232">
        <f>Staff!D130</f>
        <v>51450.5</v>
      </c>
      <c r="E20" s="248">
        <f>D20/12</f>
        <v>4287.541666666667</v>
      </c>
      <c r="F20" s="249">
        <f>Staff!E130/12</f>
        <v>41869.958333333336</v>
      </c>
      <c r="G20" s="249">
        <f t="shared" si="13"/>
        <v>41869.958333333336</v>
      </c>
      <c r="H20" s="249">
        <f t="shared" ref="H20:P20" si="16">G20</f>
        <v>41869.958333333336</v>
      </c>
      <c r="I20" s="249">
        <f t="shared" si="16"/>
        <v>41869.958333333336</v>
      </c>
      <c r="J20" s="249">
        <f t="shared" si="16"/>
        <v>41869.958333333336</v>
      </c>
      <c r="K20" s="249">
        <f t="shared" si="16"/>
        <v>41869.958333333336</v>
      </c>
      <c r="L20" s="249">
        <f t="shared" si="16"/>
        <v>41869.958333333336</v>
      </c>
      <c r="M20" s="249">
        <f t="shared" si="16"/>
        <v>41869.958333333336</v>
      </c>
      <c r="N20" s="249">
        <f t="shared" si="16"/>
        <v>41869.958333333336</v>
      </c>
      <c r="O20" s="249">
        <f t="shared" si="16"/>
        <v>41869.958333333336</v>
      </c>
      <c r="P20" s="249">
        <f t="shared" si="16"/>
        <v>41869.958333333336</v>
      </c>
      <c r="Q20" s="76">
        <f t="shared" si="15"/>
        <v>464857.08333333331</v>
      </c>
      <c r="R20" s="264" t="s">
        <v>530</v>
      </c>
    </row>
    <row r="21" spans="2:18" x14ac:dyDescent="0.35">
      <c r="B21" s="1">
        <v>300</v>
      </c>
      <c r="C21" s="7" t="s">
        <v>79</v>
      </c>
      <c r="D21" s="232">
        <f>Services!E100</f>
        <v>292500</v>
      </c>
      <c r="E21" s="248">
        <f>Services!F100/12</f>
        <v>36544.875</v>
      </c>
      <c r="F21" s="249">
        <f t="shared" si="13"/>
        <v>36544.875</v>
      </c>
      <c r="G21" s="249">
        <f t="shared" si="13"/>
        <v>36544.875</v>
      </c>
      <c r="H21" s="249">
        <f t="shared" ref="H21:P21" si="17">G21</f>
        <v>36544.875</v>
      </c>
      <c r="I21" s="249">
        <f t="shared" si="17"/>
        <v>36544.875</v>
      </c>
      <c r="J21" s="249">
        <f t="shared" si="17"/>
        <v>36544.875</v>
      </c>
      <c r="K21" s="249">
        <f t="shared" si="17"/>
        <v>36544.875</v>
      </c>
      <c r="L21" s="249">
        <f t="shared" si="17"/>
        <v>36544.875</v>
      </c>
      <c r="M21" s="249">
        <f t="shared" si="17"/>
        <v>36544.875</v>
      </c>
      <c r="N21" s="249">
        <f t="shared" si="17"/>
        <v>36544.875</v>
      </c>
      <c r="O21" s="249">
        <f t="shared" si="17"/>
        <v>36544.875</v>
      </c>
      <c r="P21" s="249">
        <f t="shared" si="17"/>
        <v>36544.875</v>
      </c>
      <c r="Q21" s="76">
        <f t="shared" si="15"/>
        <v>438538.5</v>
      </c>
      <c r="R21" s="264"/>
    </row>
    <row r="22" spans="2:18" ht="26.5" x14ac:dyDescent="0.35">
      <c r="B22" s="1">
        <v>600</v>
      </c>
      <c r="C22" s="7" t="s">
        <v>80</v>
      </c>
      <c r="D22" s="232">
        <f>Supplies!E80</f>
        <v>249700</v>
      </c>
      <c r="E22" s="248">
        <v>8755</v>
      </c>
      <c r="F22" s="249">
        <f t="shared" si="13"/>
        <v>8755</v>
      </c>
      <c r="G22" s="249">
        <f t="shared" si="13"/>
        <v>8755</v>
      </c>
      <c r="H22" s="249">
        <f t="shared" ref="H22:O22" si="18">G22</f>
        <v>8755</v>
      </c>
      <c r="I22" s="249">
        <f t="shared" si="18"/>
        <v>8755</v>
      </c>
      <c r="J22" s="249">
        <f t="shared" si="18"/>
        <v>8755</v>
      </c>
      <c r="K22" s="249">
        <f t="shared" si="18"/>
        <v>8755</v>
      </c>
      <c r="L22" s="249">
        <f t="shared" si="18"/>
        <v>8755</v>
      </c>
      <c r="M22" s="249">
        <f t="shared" si="18"/>
        <v>8755</v>
      </c>
      <c r="N22" s="249">
        <f t="shared" si="18"/>
        <v>8755</v>
      </c>
      <c r="O22" s="249">
        <f t="shared" si="18"/>
        <v>8755</v>
      </c>
      <c r="P22" s="249">
        <v>161705</v>
      </c>
      <c r="Q22" s="76">
        <f t="shared" ref="Q22:Q24" si="19">SUM(E22:P22)</f>
        <v>258010</v>
      </c>
      <c r="R22" s="264" t="s">
        <v>532</v>
      </c>
    </row>
    <row r="23" spans="2:18" x14ac:dyDescent="0.35">
      <c r="B23" s="1">
        <v>700</v>
      </c>
      <c r="C23" s="7" t="s">
        <v>81</v>
      </c>
      <c r="D23" s="232">
        <f>'Capital &amp; Debt'!E25</f>
        <v>59516</v>
      </c>
      <c r="E23" s="248">
        <f>'Capital &amp; Debt'!F25/12</f>
        <v>0</v>
      </c>
      <c r="F23" s="249">
        <f>E23</f>
        <v>0</v>
      </c>
      <c r="G23" s="249">
        <f t="shared" ref="G23:P23" si="20">F23</f>
        <v>0</v>
      </c>
      <c r="H23" s="249">
        <f t="shared" si="20"/>
        <v>0</v>
      </c>
      <c r="I23" s="249">
        <f t="shared" si="20"/>
        <v>0</v>
      </c>
      <c r="J23" s="249">
        <f t="shared" si="20"/>
        <v>0</v>
      </c>
      <c r="K23" s="249">
        <f t="shared" si="20"/>
        <v>0</v>
      </c>
      <c r="L23" s="249">
        <f t="shared" si="20"/>
        <v>0</v>
      </c>
      <c r="M23" s="249">
        <f t="shared" si="20"/>
        <v>0</v>
      </c>
      <c r="N23" s="249">
        <f t="shared" si="20"/>
        <v>0</v>
      </c>
      <c r="O23" s="249">
        <f t="shared" si="20"/>
        <v>0</v>
      </c>
      <c r="P23" s="249">
        <f t="shared" si="20"/>
        <v>0</v>
      </c>
      <c r="Q23" s="76">
        <f t="shared" si="19"/>
        <v>0</v>
      </c>
      <c r="R23" s="264"/>
    </row>
    <row r="24" spans="2:18" x14ac:dyDescent="0.35">
      <c r="B24" s="6">
        <v>800</v>
      </c>
      <c r="C24" s="175" t="s">
        <v>82</v>
      </c>
      <c r="D24" s="233">
        <f>'Capital &amp; Debt'!E38</f>
        <v>0</v>
      </c>
      <c r="E24" s="250">
        <f>'Capital &amp; Debt'!F38/12</f>
        <v>25000</v>
      </c>
      <c r="F24" s="251">
        <f>E24</f>
        <v>25000</v>
      </c>
      <c r="G24" s="251">
        <f t="shared" ref="G24:P24" si="21">F24</f>
        <v>25000</v>
      </c>
      <c r="H24" s="251">
        <f t="shared" si="21"/>
        <v>25000</v>
      </c>
      <c r="I24" s="251">
        <f t="shared" si="21"/>
        <v>25000</v>
      </c>
      <c r="J24" s="251">
        <f t="shared" si="21"/>
        <v>25000</v>
      </c>
      <c r="K24" s="251">
        <f t="shared" si="21"/>
        <v>25000</v>
      </c>
      <c r="L24" s="251">
        <f t="shared" si="21"/>
        <v>25000</v>
      </c>
      <c r="M24" s="251">
        <f t="shared" si="21"/>
        <v>25000</v>
      </c>
      <c r="N24" s="251">
        <f t="shared" si="21"/>
        <v>25000</v>
      </c>
      <c r="O24" s="251">
        <f t="shared" si="21"/>
        <v>25000</v>
      </c>
      <c r="P24" s="251">
        <f t="shared" si="21"/>
        <v>25000</v>
      </c>
      <c r="Q24" s="177">
        <f t="shared" si="19"/>
        <v>300000</v>
      </c>
      <c r="R24" s="264"/>
    </row>
    <row r="25" spans="2:18" x14ac:dyDescent="0.35">
      <c r="B25" s="1"/>
      <c r="C25" s="12" t="s">
        <v>83</v>
      </c>
      <c r="D25" s="29">
        <f>SUM(D19:D24)</f>
        <v>758166.5</v>
      </c>
      <c r="E25" s="172">
        <f t="shared" ref="E25" si="22">SUM(E19:E24)</f>
        <v>148504.08333333334</v>
      </c>
      <c r="F25" s="22">
        <f t="shared" ref="F25" si="23">SUM(F19:F24)</f>
        <v>186086.5</v>
      </c>
      <c r="G25" s="22">
        <f t="shared" ref="G25" si="24">SUM(G19:G24)</f>
        <v>186086.5</v>
      </c>
      <c r="H25" s="22">
        <f t="shared" ref="H25" si="25">SUM(H19:H24)</f>
        <v>186086.5</v>
      </c>
      <c r="I25" s="22">
        <f t="shared" ref="I25" si="26">SUM(I19:I24)</f>
        <v>186086.5</v>
      </c>
      <c r="J25" s="22">
        <f t="shared" ref="J25" si="27">SUM(J19:J24)</f>
        <v>186086.5</v>
      </c>
      <c r="K25" s="22">
        <f t="shared" ref="K25" si="28">SUM(K19:K24)</f>
        <v>186086.5</v>
      </c>
      <c r="L25" s="22">
        <f t="shared" ref="L25" si="29">SUM(L19:L24)</f>
        <v>186086.5</v>
      </c>
      <c r="M25" s="22">
        <f t="shared" ref="M25" si="30">SUM(M19:M24)</f>
        <v>186086.5</v>
      </c>
      <c r="N25" s="22">
        <f t="shared" ref="N25" si="31">SUM(N19:N24)</f>
        <v>186086.5</v>
      </c>
      <c r="O25" s="22">
        <f t="shared" ref="O25" si="32">SUM(O19:O24)</f>
        <v>186086.5</v>
      </c>
      <c r="P25" s="22">
        <f t="shared" ref="P25" si="33">SUM(P19:P24)</f>
        <v>339036.5</v>
      </c>
      <c r="Q25" s="29">
        <f>SUM(Q19:Q24)</f>
        <v>2348405.583333333</v>
      </c>
      <c r="R25" s="265"/>
    </row>
    <row r="26" spans="2:18" ht="16.5" thickBot="1" x14ac:dyDescent="0.55000000000000004">
      <c r="B26" s="9"/>
      <c r="C26" s="25"/>
      <c r="D26" s="32"/>
      <c r="E26" s="173"/>
      <c r="F26" s="10"/>
      <c r="G26" s="10"/>
      <c r="H26" s="10"/>
      <c r="I26" s="10"/>
      <c r="J26" s="10"/>
      <c r="K26" s="10"/>
      <c r="L26" s="10"/>
      <c r="M26" s="10"/>
      <c r="N26" s="10"/>
      <c r="O26" s="10"/>
      <c r="P26" s="10"/>
      <c r="Q26" s="32"/>
      <c r="R26" s="265"/>
    </row>
    <row r="27" spans="2:18" ht="15" thickTop="1" x14ac:dyDescent="0.35">
      <c r="B27" s="1"/>
      <c r="C27" s="7" t="s">
        <v>107</v>
      </c>
      <c r="D27" s="29">
        <f t="shared" ref="D27:Q27" si="34">D16-D25</f>
        <v>41833.5</v>
      </c>
      <c r="E27" s="172">
        <f t="shared" si="34"/>
        <v>213285.91666666666</v>
      </c>
      <c r="F27" s="22">
        <f t="shared" si="34"/>
        <v>25703.5</v>
      </c>
      <c r="G27" s="22">
        <f t="shared" si="34"/>
        <v>25703.5</v>
      </c>
      <c r="H27" s="22">
        <f t="shared" si="34"/>
        <v>25703.5</v>
      </c>
      <c r="I27" s="22">
        <f t="shared" si="34"/>
        <v>6953.5</v>
      </c>
      <c r="J27" s="22">
        <f t="shared" si="34"/>
        <v>6953.5</v>
      </c>
      <c r="K27" s="22">
        <f t="shared" si="34"/>
        <v>6953.5</v>
      </c>
      <c r="L27" s="22">
        <f t="shared" si="34"/>
        <v>6953.5</v>
      </c>
      <c r="M27" s="22">
        <f t="shared" si="34"/>
        <v>6953.5</v>
      </c>
      <c r="N27" s="22">
        <f t="shared" si="34"/>
        <v>6953.5</v>
      </c>
      <c r="O27" s="22">
        <f t="shared" si="34"/>
        <v>6953.5</v>
      </c>
      <c r="P27" s="22">
        <f t="shared" si="34"/>
        <v>-145996.5</v>
      </c>
      <c r="Q27" s="29">
        <f t="shared" si="34"/>
        <v>193074.41666666698</v>
      </c>
      <c r="R27" s="265"/>
    </row>
    <row r="28" spans="2:18" x14ac:dyDescent="0.35">
      <c r="B28" s="1"/>
      <c r="C28" s="7"/>
      <c r="D28" s="29"/>
      <c r="E28" s="172"/>
      <c r="F28" s="22"/>
      <c r="G28" s="22"/>
      <c r="H28" s="22"/>
      <c r="I28" s="22"/>
      <c r="J28" s="22"/>
      <c r="K28" s="22"/>
      <c r="L28" s="22"/>
      <c r="M28" s="22"/>
      <c r="N28" s="22"/>
      <c r="O28" s="22"/>
      <c r="P28" s="22"/>
      <c r="Q28" s="29"/>
      <c r="R28" s="265"/>
    </row>
    <row r="29" spans="2:18" x14ac:dyDescent="0.35">
      <c r="B29" s="26"/>
      <c r="C29" s="33" t="s">
        <v>110</v>
      </c>
      <c r="D29" s="34">
        <f t="shared" ref="D29:P29" si="35">D10+D27</f>
        <v>41833.5</v>
      </c>
      <c r="E29" s="174">
        <f t="shared" si="35"/>
        <v>255119.41666666666</v>
      </c>
      <c r="F29" s="35">
        <f t="shared" si="35"/>
        <v>280822.91666666663</v>
      </c>
      <c r="G29" s="35">
        <f t="shared" si="35"/>
        <v>306526.41666666663</v>
      </c>
      <c r="H29" s="35">
        <f t="shared" si="35"/>
        <v>332229.91666666663</v>
      </c>
      <c r="I29" s="35">
        <f t="shared" si="35"/>
        <v>339183.41666666663</v>
      </c>
      <c r="J29" s="35">
        <f t="shared" si="35"/>
        <v>346136.91666666663</v>
      </c>
      <c r="K29" s="35">
        <f t="shared" si="35"/>
        <v>353090.41666666663</v>
      </c>
      <c r="L29" s="35">
        <f t="shared" si="35"/>
        <v>360043.91666666663</v>
      </c>
      <c r="M29" s="35">
        <f t="shared" si="35"/>
        <v>366997.41666666663</v>
      </c>
      <c r="N29" s="35">
        <f t="shared" si="35"/>
        <v>373950.91666666663</v>
      </c>
      <c r="O29" s="35">
        <f t="shared" si="35"/>
        <v>380904.41666666663</v>
      </c>
      <c r="P29" s="35">
        <f t="shared" si="35"/>
        <v>234907.91666666663</v>
      </c>
      <c r="Q29" s="178"/>
      <c r="R29" s="265" t="s">
        <v>111</v>
      </c>
    </row>
    <row r="30" spans="2:18" x14ac:dyDescent="0.35">
      <c r="B30" s="1"/>
    </row>
  </sheetData>
  <sheetProtection algorithmName="SHA-512" hashValue="diFX4LOTzkHe5s3PLOXHxfkdsuacaDaPe4sBT88gnhNsmmo5hgyjvsmRD2WHaiMNKLdyT0yxcAuGpooKeTS0vg==" saltValue="5sI4xXbKC77nRwLY4bV+Tg==" spinCount="100000" sheet="1" objects="1" scenarios="1"/>
  <mergeCells count="1">
    <mergeCell ref="B6:Q6"/>
  </mergeCells>
  <phoneticPr fontId="3" type="noConversion"/>
  <conditionalFormatting sqref="D27:Q29">
    <cfRule type="cellIs" dxfId="0" priority="1" operator="less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35"/>
  <sheetViews>
    <sheetView topLeftCell="G1" workbookViewId="0">
      <selection activeCell="O20" sqref="O20"/>
    </sheetView>
  </sheetViews>
  <sheetFormatPr defaultRowHeight="14.5" x14ac:dyDescent="0.35"/>
  <cols>
    <col min="1" max="1" width="22.6328125" customWidth="1"/>
    <col min="2" max="2" width="3.90625" customWidth="1"/>
    <col min="3" max="3" width="54.6328125" bestFit="1" customWidth="1"/>
    <col min="4" max="4" width="13.7265625" customWidth="1"/>
    <col min="5" max="5" width="3.6328125" customWidth="1"/>
    <col min="6" max="6" width="51.7265625" bestFit="1" customWidth="1"/>
    <col min="7" max="7" width="12.08984375" bestFit="1" customWidth="1"/>
    <col min="9" max="9" width="74.90625" bestFit="1" customWidth="1"/>
    <col min="11" max="11" width="3.26953125" customWidth="1"/>
    <col min="12" max="12" width="39.36328125" customWidth="1"/>
    <col min="15" max="15" width="32" bestFit="1" customWidth="1"/>
    <col min="16" max="16" width="11.1796875" bestFit="1" customWidth="1"/>
  </cols>
  <sheetData>
    <row r="1" spans="1:16" ht="21" x14ac:dyDescent="0.5">
      <c r="A1" s="276" t="s">
        <v>263</v>
      </c>
      <c r="B1" s="276"/>
      <c r="C1" s="276"/>
    </row>
    <row r="2" spans="1:16" x14ac:dyDescent="0.35">
      <c r="O2" s="277" t="s">
        <v>342</v>
      </c>
      <c r="P2" s="277"/>
    </row>
    <row r="3" spans="1:16" ht="43.5" x14ac:dyDescent="0.35">
      <c r="A3" s="24" t="s">
        <v>156</v>
      </c>
      <c r="C3" s="24" t="s">
        <v>178</v>
      </c>
      <c r="D3" s="96" t="s">
        <v>194</v>
      </c>
      <c r="F3" s="24" t="s">
        <v>193</v>
      </c>
      <c r="G3" s="96" t="s">
        <v>194</v>
      </c>
      <c r="I3" s="24" t="s">
        <v>226</v>
      </c>
      <c r="J3" s="96" t="s">
        <v>194</v>
      </c>
      <c r="L3" s="24" t="s">
        <v>231</v>
      </c>
      <c r="M3" s="96" t="s">
        <v>194</v>
      </c>
      <c r="O3" s="24" t="s">
        <v>361</v>
      </c>
      <c r="P3" s="21" t="s">
        <v>360</v>
      </c>
    </row>
    <row r="4" spans="1:16" x14ac:dyDescent="0.35">
      <c r="A4" t="s">
        <v>157</v>
      </c>
      <c r="C4" t="s">
        <v>168</v>
      </c>
      <c r="D4" s="1">
        <v>610</v>
      </c>
      <c r="F4" t="s">
        <v>195</v>
      </c>
      <c r="G4" s="1">
        <v>320</v>
      </c>
      <c r="I4" t="s">
        <v>215</v>
      </c>
      <c r="J4">
        <v>450</v>
      </c>
      <c r="L4" t="s">
        <v>233</v>
      </c>
      <c r="M4">
        <v>831</v>
      </c>
      <c r="O4" t="s">
        <v>362</v>
      </c>
      <c r="P4" s="5">
        <v>9502</v>
      </c>
    </row>
    <row r="5" spans="1:16" x14ac:dyDescent="0.35">
      <c r="A5" t="s">
        <v>158</v>
      </c>
      <c r="C5" t="s">
        <v>169</v>
      </c>
      <c r="D5" s="1">
        <v>612</v>
      </c>
      <c r="F5" t="s">
        <v>196</v>
      </c>
      <c r="G5" s="1">
        <v>331</v>
      </c>
      <c r="I5" t="s">
        <v>89</v>
      </c>
      <c r="J5">
        <v>710</v>
      </c>
      <c r="L5" t="s">
        <v>236</v>
      </c>
      <c r="M5">
        <v>832</v>
      </c>
      <c r="O5" t="s">
        <v>343</v>
      </c>
      <c r="P5" s="5">
        <v>10202</v>
      </c>
    </row>
    <row r="6" spans="1:16" x14ac:dyDescent="0.35">
      <c r="C6" t="s">
        <v>170</v>
      </c>
      <c r="D6" s="1">
        <v>621</v>
      </c>
      <c r="F6" t="s">
        <v>197</v>
      </c>
      <c r="G6" s="1">
        <v>332</v>
      </c>
      <c r="I6" t="s">
        <v>227</v>
      </c>
      <c r="J6">
        <v>720</v>
      </c>
      <c r="L6" t="s">
        <v>234</v>
      </c>
      <c r="M6">
        <v>833</v>
      </c>
      <c r="O6" t="s">
        <v>344</v>
      </c>
      <c r="P6" s="5">
        <v>10864</v>
      </c>
    </row>
    <row r="7" spans="1:16" x14ac:dyDescent="0.35">
      <c r="C7" t="s">
        <v>171</v>
      </c>
      <c r="D7" s="1">
        <v>622</v>
      </c>
      <c r="F7" t="s">
        <v>198</v>
      </c>
      <c r="G7" s="1">
        <v>334</v>
      </c>
      <c r="I7" t="s">
        <v>228</v>
      </c>
      <c r="J7">
        <v>731</v>
      </c>
      <c r="L7" t="s">
        <v>235</v>
      </c>
      <c r="M7">
        <v>836</v>
      </c>
      <c r="O7" t="s">
        <v>345</v>
      </c>
      <c r="P7" s="5">
        <v>9502</v>
      </c>
    </row>
    <row r="8" spans="1:16" x14ac:dyDescent="0.35">
      <c r="C8" t="s">
        <v>177</v>
      </c>
      <c r="D8" s="1">
        <v>630</v>
      </c>
      <c r="F8" t="s">
        <v>199</v>
      </c>
      <c r="G8" s="1">
        <v>335</v>
      </c>
      <c r="I8" t="s">
        <v>90</v>
      </c>
      <c r="J8">
        <v>732</v>
      </c>
      <c r="O8" t="s">
        <v>346</v>
      </c>
      <c r="P8" s="5">
        <v>10253</v>
      </c>
    </row>
    <row r="9" spans="1:16" x14ac:dyDescent="0.35">
      <c r="C9" t="s">
        <v>172</v>
      </c>
      <c r="D9" s="1">
        <v>641</v>
      </c>
      <c r="F9" t="s">
        <v>200</v>
      </c>
      <c r="G9" s="1">
        <v>336</v>
      </c>
      <c r="I9" t="s">
        <v>91</v>
      </c>
      <c r="J9">
        <v>733</v>
      </c>
      <c r="O9" t="s">
        <v>347</v>
      </c>
      <c r="P9" s="5">
        <v>10255</v>
      </c>
    </row>
    <row r="10" spans="1:16" x14ac:dyDescent="0.35">
      <c r="C10" t="s">
        <v>175</v>
      </c>
      <c r="D10" s="1">
        <v>651</v>
      </c>
      <c r="F10" t="s">
        <v>201</v>
      </c>
      <c r="G10" s="1">
        <v>337</v>
      </c>
      <c r="I10" t="s">
        <v>92</v>
      </c>
      <c r="J10">
        <v>734</v>
      </c>
      <c r="O10" t="s">
        <v>348</v>
      </c>
      <c r="P10" s="5">
        <v>22108</v>
      </c>
    </row>
    <row r="11" spans="1:16" x14ac:dyDescent="0.35">
      <c r="C11" t="s">
        <v>174</v>
      </c>
      <c r="D11" s="1">
        <v>652</v>
      </c>
      <c r="F11" t="s">
        <v>202</v>
      </c>
      <c r="G11" s="1">
        <v>340</v>
      </c>
      <c r="I11" t="s">
        <v>230</v>
      </c>
      <c r="J11">
        <v>735</v>
      </c>
      <c r="O11" t="s">
        <v>349</v>
      </c>
      <c r="P11" s="5">
        <v>17347</v>
      </c>
    </row>
    <row r="12" spans="1:16" x14ac:dyDescent="0.35">
      <c r="C12" t="s">
        <v>176</v>
      </c>
      <c r="D12" s="1">
        <v>653</v>
      </c>
      <c r="F12" t="s">
        <v>203</v>
      </c>
      <c r="G12" s="1">
        <v>341</v>
      </c>
      <c r="O12" t="s">
        <v>350</v>
      </c>
      <c r="P12" s="5">
        <v>10975</v>
      </c>
    </row>
    <row r="13" spans="1:16" x14ac:dyDescent="0.35">
      <c r="C13" t="s">
        <v>173</v>
      </c>
      <c r="D13" s="1">
        <v>654</v>
      </c>
      <c r="F13" t="s">
        <v>204</v>
      </c>
      <c r="G13" s="1">
        <v>345</v>
      </c>
      <c r="O13" t="s">
        <v>351</v>
      </c>
      <c r="P13" s="5">
        <v>13964</v>
      </c>
    </row>
    <row r="14" spans="1:16" x14ac:dyDescent="0.35">
      <c r="D14" s="1"/>
      <c r="F14" t="s">
        <v>205</v>
      </c>
      <c r="G14" s="1">
        <v>350</v>
      </c>
      <c r="O14" t="s">
        <v>352</v>
      </c>
      <c r="P14" s="5">
        <v>16274</v>
      </c>
    </row>
    <row r="15" spans="1:16" x14ac:dyDescent="0.35">
      <c r="A15" s="142"/>
      <c r="D15" s="1"/>
      <c r="F15" t="s">
        <v>206</v>
      </c>
      <c r="G15" s="1">
        <v>360</v>
      </c>
      <c r="O15" t="s">
        <v>353</v>
      </c>
      <c r="P15" s="5">
        <v>10260</v>
      </c>
    </row>
    <row r="16" spans="1:16" x14ac:dyDescent="0.35">
      <c r="D16" s="1"/>
      <c r="F16" t="s">
        <v>207</v>
      </c>
      <c r="G16" s="1">
        <v>410</v>
      </c>
      <c r="O16" t="s">
        <v>354</v>
      </c>
      <c r="P16" s="5">
        <v>15998</v>
      </c>
    </row>
    <row r="17" spans="4:16" x14ac:dyDescent="0.35">
      <c r="D17" s="1"/>
      <c r="F17" t="s">
        <v>208</v>
      </c>
      <c r="G17" s="1">
        <v>420</v>
      </c>
      <c r="O17" t="s">
        <v>355</v>
      </c>
      <c r="P17" s="5">
        <v>10252</v>
      </c>
    </row>
    <row r="18" spans="4:16" x14ac:dyDescent="0.35">
      <c r="D18" s="1"/>
      <c r="F18" t="s">
        <v>209</v>
      </c>
      <c r="G18" s="1">
        <v>431</v>
      </c>
      <c r="O18" t="s">
        <v>356</v>
      </c>
      <c r="P18" s="5">
        <v>15137</v>
      </c>
    </row>
    <row r="19" spans="4:16" x14ac:dyDescent="0.35">
      <c r="D19" s="1"/>
      <c r="F19" t="s">
        <v>210</v>
      </c>
      <c r="G19" s="1">
        <v>432</v>
      </c>
      <c r="O19" t="s">
        <v>357</v>
      </c>
      <c r="P19" s="5">
        <v>16647</v>
      </c>
    </row>
    <row r="20" spans="4:16" x14ac:dyDescent="0.35">
      <c r="D20" s="1"/>
      <c r="F20" t="s">
        <v>211</v>
      </c>
      <c r="G20" s="1">
        <v>441</v>
      </c>
      <c r="O20" t="s">
        <v>358</v>
      </c>
      <c r="P20" s="5">
        <v>9502</v>
      </c>
    </row>
    <row r="21" spans="4:16" x14ac:dyDescent="0.35">
      <c r="D21" s="1"/>
      <c r="F21" t="s">
        <v>212</v>
      </c>
      <c r="G21" s="1">
        <v>442</v>
      </c>
      <c r="O21" t="s">
        <v>359</v>
      </c>
      <c r="P21" s="5">
        <v>13893</v>
      </c>
    </row>
    <row r="22" spans="4:16" x14ac:dyDescent="0.35">
      <c r="D22" s="1"/>
      <c r="F22" t="s">
        <v>213</v>
      </c>
      <c r="G22" s="1">
        <v>443</v>
      </c>
    </row>
    <row r="23" spans="4:16" x14ac:dyDescent="0.35">
      <c r="F23" t="s">
        <v>214</v>
      </c>
      <c r="G23" s="1">
        <v>444</v>
      </c>
    </row>
    <row r="24" spans="4:16" x14ac:dyDescent="0.35">
      <c r="F24" t="s">
        <v>225</v>
      </c>
      <c r="G24" s="1">
        <v>450</v>
      </c>
    </row>
    <row r="25" spans="4:16" x14ac:dyDescent="0.35">
      <c r="F25" t="s">
        <v>216</v>
      </c>
      <c r="G25" s="1">
        <v>510</v>
      </c>
    </row>
    <row r="26" spans="4:16" x14ac:dyDescent="0.35">
      <c r="F26" t="s">
        <v>88</v>
      </c>
      <c r="G26" s="1">
        <v>521</v>
      </c>
    </row>
    <row r="27" spans="4:16" x14ac:dyDescent="0.35">
      <c r="F27" t="s">
        <v>217</v>
      </c>
      <c r="G27" s="1">
        <v>522</v>
      </c>
    </row>
    <row r="28" spans="4:16" x14ac:dyDescent="0.35">
      <c r="F28" t="s">
        <v>218</v>
      </c>
      <c r="G28" s="1">
        <v>530</v>
      </c>
    </row>
    <row r="29" spans="4:16" x14ac:dyDescent="0.35">
      <c r="F29" t="s">
        <v>219</v>
      </c>
      <c r="G29" s="1">
        <v>540</v>
      </c>
    </row>
    <row r="30" spans="4:16" x14ac:dyDescent="0.35">
      <c r="F30" t="s">
        <v>220</v>
      </c>
      <c r="G30" s="1">
        <v>550</v>
      </c>
    </row>
    <row r="31" spans="4:16" x14ac:dyDescent="0.35">
      <c r="F31" t="s">
        <v>221</v>
      </c>
      <c r="G31" s="1">
        <v>560</v>
      </c>
    </row>
    <row r="32" spans="4:16" x14ac:dyDescent="0.35">
      <c r="F32" t="s">
        <v>222</v>
      </c>
      <c r="G32" s="1">
        <v>570</v>
      </c>
    </row>
    <row r="33" spans="6:7" x14ac:dyDescent="0.35">
      <c r="F33" t="s">
        <v>223</v>
      </c>
      <c r="G33" s="1">
        <v>580</v>
      </c>
    </row>
    <row r="34" spans="6:7" x14ac:dyDescent="0.35">
      <c r="F34" t="s">
        <v>224</v>
      </c>
      <c r="G34" s="1">
        <v>591</v>
      </c>
    </row>
    <row r="35" spans="6:7" x14ac:dyDescent="0.35">
      <c r="F35" t="s">
        <v>232</v>
      </c>
      <c r="G35" s="1">
        <v>810</v>
      </c>
    </row>
  </sheetData>
  <sheetProtection algorithmName="SHA-512" hashValue="9dteBn6PDFYUSgD7wDtjK+buuNr66eZEe5zL9xEleNadKyAEl2hRUVjy8GkFDSQz+eNOJMxSq3MTeYwOU3bSgA==" saltValue="s3PSn6mNok1XRkqaAP6eUg==" spinCount="100000" sheet="1" objects="1" scenarios="1"/>
  <sortState xmlns:xlrd2="http://schemas.microsoft.com/office/spreadsheetml/2017/richdata2" ref="I4:J12">
    <sortCondition ref="J4:J12"/>
  </sortState>
  <mergeCells count="2">
    <mergeCell ref="A1:C1"/>
    <mergeCell ref="O2:P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7"/>
  <sheetViews>
    <sheetView topLeftCell="A2" workbookViewId="0">
      <selection activeCell="C37" sqref="C37"/>
    </sheetView>
  </sheetViews>
  <sheetFormatPr defaultColWidth="8.7265625" defaultRowHeight="14.5" x14ac:dyDescent="0.35"/>
  <cols>
    <col min="1" max="1" width="31.26953125" customWidth="1"/>
    <col min="2" max="2" width="16.26953125" customWidth="1"/>
    <col min="3" max="3" width="21" customWidth="1"/>
    <col min="4" max="4" width="27.7265625" customWidth="1"/>
    <col min="5" max="5" width="23" customWidth="1"/>
    <col min="6" max="6" width="8.7265625" customWidth="1"/>
    <col min="7" max="7" width="8.36328125" customWidth="1"/>
    <col min="8" max="8" width="38.7265625" customWidth="1"/>
    <col min="10" max="10" width="0" hidden="1" customWidth="1"/>
  </cols>
  <sheetData>
    <row r="1" spans="1:5" ht="23.5" x14ac:dyDescent="0.55000000000000004">
      <c r="A1" s="201" t="s">
        <v>291</v>
      </c>
    </row>
    <row r="2" spans="1:5" ht="23.5" x14ac:dyDescent="0.55000000000000004">
      <c r="A2" s="201"/>
    </row>
    <row r="4" spans="1:5" ht="25.5" customHeight="1" x14ac:dyDescent="0.85">
      <c r="A4" s="200" t="s">
        <v>277</v>
      </c>
      <c r="B4" s="273" t="s">
        <v>370</v>
      </c>
      <c r="C4" s="273"/>
      <c r="D4" s="273"/>
      <c r="E4" s="189"/>
    </row>
    <row r="5" spans="1:5" ht="18.5" x14ac:dyDescent="0.45">
      <c r="A5" s="200" t="s">
        <v>292</v>
      </c>
      <c r="B5" s="274" t="s">
        <v>371</v>
      </c>
      <c r="C5" s="274"/>
      <c r="D5" s="274"/>
    </row>
    <row r="6" spans="1:5" ht="18.5" x14ac:dyDescent="0.45">
      <c r="A6" s="200" t="s">
        <v>293</v>
      </c>
      <c r="B6" s="274" t="s">
        <v>345</v>
      </c>
      <c r="C6" s="274"/>
      <c r="D6" s="274"/>
    </row>
    <row r="7" spans="1:5" ht="18.5" x14ac:dyDescent="0.45">
      <c r="A7" s="200" t="s">
        <v>294</v>
      </c>
      <c r="B7" s="274">
        <v>2027</v>
      </c>
      <c r="C7" s="274"/>
      <c r="D7" s="274"/>
    </row>
    <row r="9" spans="1:5" hidden="1" x14ac:dyDescent="0.35">
      <c r="A9" s="191" t="s">
        <v>279</v>
      </c>
      <c r="B9" s="191"/>
      <c r="C9" s="192" t="s">
        <v>280</v>
      </c>
      <c r="D9" s="191" t="s">
        <v>281</v>
      </c>
    </row>
    <row r="10" spans="1:5" hidden="1" x14ac:dyDescent="0.35">
      <c r="A10" s="272" t="s">
        <v>282</v>
      </c>
      <c r="B10" s="272"/>
      <c r="C10" s="193"/>
      <c r="D10" s="208"/>
    </row>
    <row r="11" spans="1:5" hidden="1" x14ac:dyDescent="0.35">
      <c r="A11" s="267"/>
      <c r="B11" s="267"/>
      <c r="C11" s="193"/>
      <c r="D11" s="209"/>
    </row>
    <row r="12" spans="1:5" ht="30.75" hidden="1" customHeight="1" x14ac:dyDescent="0.35">
      <c r="A12" s="268" t="s">
        <v>283</v>
      </c>
      <c r="B12" s="268"/>
      <c r="C12" s="268"/>
      <c r="D12" s="268"/>
    </row>
    <row r="13" spans="1:5" ht="18" hidden="1" customHeight="1" x14ac:dyDescent="0.4">
      <c r="A13" s="269" t="s">
        <v>282</v>
      </c>
      <c r="B13" s="269"/>
      <c r="C13" s="269"/>
      <c r="D13" s="269"/>
    </row>
    <row r="14" spans="1:5" ht="18" hidden="1" customHeight="1" x14ac:dyDescent="0.4">
      <c r="A14" s="270" t="s">
        <v>284</v>
      </c>
      <c r="B14" s="270"/>
      <c r="C14" s="270"/>
      <c r="D14" s="270"/>
    </row>
    <row r="15" spans="1:5" hidden="1" x14ac:dyDescent="0.35">
      <c r="A15" s="194" t="s">
        <v>285</v>
      </c>
    </row>
    <row r="16" spans="1:5" hidden="1" x14ac:dyDescent="0.35">
      <c r="A16" s="194"/>
    </row>
    <row r="17" spans="1:4" hidden="1" x14ac:dyDescent="0.35">
      <c r="A17" s="195" t="s">
        <v>286</v>
      </c>
    </row>
    <row r="18" spans="1:4" hidden="1" x14ac:dyDescent="0.35">
      <c r="A18" s="196"/>
      <c r="B18" s="197" t="s">
        <v>287</v>
      </c>
    </row>
    <row r="19" spans="1:4" hidden="1" x14ac:dyDescent="0.35">
      <c r="A19" s="198"/>
      <c r="B19" s="194" t="s">
        <v>288</v>
      </c>
    </row>
    <row r="20" spans="1:4" hidden="1" x14ac:dyDescent="0.35">
      <c r="A20" s="196"/>
      <c r="B20" s="199" t="s">
        <v>289</v>
      </c>
    </row>
    <row r="21" spans="1:4" hidden="1" x14ac:dyDescent="0.35">
      <c r="A21" s="198"/>
    </row>
    <row r="22" spans="1:4" hidden="1" x14ac:dyDescent="0.35">
      <c r="A22" s="196"/>
      <c r="B22" s="199" t="s">
        <v>290</v>
      </c>
    </row>
    <row r="23" spans="1:4" x14ac:dyDescent="0.35">
      <c r="C23" s="190"/>
    </row>
    <row r="25" spans="1:4" ht="20.25" customHeight="1" x14ac:dyDescent="0.4">
      <c r="A25" s="271" t="s">
        <v>272</v>
      </c>
      <c r="B25" s="271"/>
      <c r="C25" s="271"/>
      <c r="D25" s="271"/>
    </row>
    <row r="26" spans="1:4" ht="20.25" customHeight="1" x14ac:dyDescent="0.35">
      <c r="A26" s="206" t="s">
        <v>273</v>
      </c>
      <c r="B26" s="203" t="s">
        <v>274</v>
      </c>
      <c r="C26" s="203" t="s">
        <v>275</v>
      </c>
      <c r="D26" s="206" t="s">
        <v>276</v>
      </c>
    </row>
    <row r="27" spans="1:4" ht="18" customHeight="1" x14ac:dyDescent="0.35">
      <c r="A27" s="207" t="s">
        <v>372</v>
      </c>
      <c r="B27" s="202" t="s">
        <v>374</v>
      </c>
      <c r="C27" s="202" t="s">
        <v>375</v>
      </c>
      <c r="D27" s="207" t="s">
        <v>376</v>
      </c>
    </row>
    <row r="28" spans="1:4" ht="18" customHeight="1" x14ac:dyDescent="0.35">
      <c r="A28" s="207" t="s">
        <v>373</v>
      </c>
      <c r="B28" s="202" t="s">
        <v>374</v>
      </c>
      <c r="C28" s="202" t="s">
        <v>375</v>
      </c>
      <c r="D28" s="207" t="s">
        <v>377</v>
      </c>
    </row>
    <row r="29" spans="1:4" ht="18" customHeight="1" x14ac:dyDescent="0.35">
      <c r="A29" s="207"/>
      <c r="B29" s="202"/>
      <c r="C29" s="202"/>
      <c r="D29" s="207"/>
    </row>
    <row r="30" spans="1:4" ht="18" customHeight="1" x14ac:dyDescent="0.35">
      <c r="A30" s="207"/>
      <c r="B30" s="202"/>
      <c r="C30" s="202"/>
      <c r="D30" s="207"/>
    </row>
    <row r="31" spans="1:4" ht="18" customHeight="1" x14ac:dyDescent="0.35">
      <c r="A31" s="207"/>
      <c r="B31" s="202"/>
      <c r="C31" s="202"/>
      <c r="D31" s="207"/>
    </row>
    <row r="32" spans="1:4" ht="18" customHeight="1" x14ac:dyDescent="0.35">
      <c r="A32" s="207"/>
      <c r="B32" s="202"/>
      <c r="C32" s="202"/>
      <c r="D32" s="207"/>
    </row>
    <row r="33" spans="1:4" ht="18" customHeight="1" x14ac:dyDescent="0.35">
      <c r="A33" s="207"/>
      <c r="B33" s="202"/>
      <c r="C33" s="202"/>
      <c r="D33" s="207"/>
    </row>
    <row r="34" spans="1:4" ht="18" customHeight="1" x14ac:dyDescent="0.35">
      <c r="A34" s="207"/>
      <c r="B34" s="202"/>
      <c r="C34" s="202"/>
      <c r="D34" s="207"/>
    </row>
    <row r="35" spans="1:4" ht="18" customHeight="1" x14ac:dyDescent="0.35">
      <c r="A35" s="207"/>
      <c r="B35" s="202"/>
      <c r="C35" s="202"/>
      <c r="D35" s="207"/>
    </row>
    <row r="36" spans="1:4" ht="21.75" customHeight="1" x14ac:dyDescent="0.35">
      <c r="C36" t="s">
        <v>278</v>
      </c>
    </row>
    <row r="37" spans="1:4" ht="21" customHeight="1" x14ac:dyDescent="0.35">
      <c r="C37" s="210" t="s">
        <v>373</v>
      </c>
      <c r="D37" s="211"/>
    </row>
  </sheetData>
  <sheetProtection algorithmName="SHA-512" hashValue="eAQo10KGkGeOfrxLQ2pGIKHvPisNuv36ox2nfAikRn4J1NeqAAhhcjheIfaQhYdPShMmjPk7OnZX+ReT6rXMLA==" saltValue="ewcpdy5Uee44+Srq+4Y4ag==" spinCount="100000" sheet="1" objects="1" scenarios="1"/>
  <mergeCells count="10">
    <mergeCell ref="A10:B10"/>
    <mergeCell ref="B4:D4"/>
    <mergeCell ref="B5:D5"/>
    <mergeCell ref="B6:D6"/>
    <mergeCell ref="B7:D7"/>
    <mergeCell ref="A11:B11"/>
    <mergeCell ref="A12:D12"/>
    <mergeCell ref="A13:D13"/>
    <mergeCell ref="A14:D14"/>
    <mergeCell ref="A25:D25"/>
  </mergeCells>
  <conditionalFormatting sqref="B18">
    <cfRule type="cellIs" dxfId="2" priority="3" stopIfTrue="1" operator="equal">
      <formula>0</formula>
    </cfRule>
  </conditionalFormatting>
  <printOptions horizontalCentered="1"/>
  <pageMargins left="0.25" right="0.25" top="0.5" bottom="0.45" header="0.25" footer="0.25"/>
  <pageSetup scale="98" orientation="landscape" r:id="rId1"/>
  <headerFooter>
    <oddHeader xml:space="preserve">&amp;L &amp;C &amp;R </oddHeader>
    <oddFooter>&amp;L&amp;7&amp;D  at &amp;T Mike 702.486.8879&amp;C&amp;7&amp;F  &amp;A&amp;R&amp;7Page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Inputs!$O$4:$O$24</xm:f>
          </x14:formula1>
          <xm:sqref>E4</xm:sqref>
        </x14:dataValidation>
        <x14:dataValidation type="list" showInputMessage="1" showErrorMessage="1" xr:uid="{00000000-0002-0000-0100-000001000000}">
          <x14:formula1>
            <xm:f>Inputs!$O$4:$O$24</xm:f>
          </x14:formula1>
          <xm:sqref>B6:D6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1"/>
  <sheetViews>
    <sheetView topLeftCell="A3" zoomScale="80" zoomScaleNormal="80" workbookViewId="0">
      <selection activeCell="F11" sqref="F11"/>
    </sheetView>
  </sheetViews>
  <sheetFormatPr defaultRowHeight="14.5" x14ac:dyDescent="0.35"/>
  <cols>
    <col min="3" max="3" width="41.7265625" customWidth="1"/>
    <col min="4" max="9" width="13.90625" customWidth="1"/>
    <col min="10" max="10" width="57.36328125" customWidth="1"/>
  </cols>
  <sheetData>
    <row r="1" spans="2:10" ht="18.5" x14ac:dyDescent="0.45">
      <c r="B1" s="36" t="s">
        <v>120</v>
      </c>
      <c r="C1" s="38" t="str">
        <f>Title!B4</f>
        <v>Legal Prep Charter Academy</v>
      </c>
    </row>
    <row r="2" spans="2:10" ht="18.5" x14ac:dyDescent="0.45">
      <c r="B2" s="36" t="s">
        <v>126</v>
      </c>
      <c r="C2" s="38" t="str">
        <f>Title!B5</f>
        <v>Las Vegas</v>
      </c>
    </row>
    <row r="3" spans="2:10" ht="18.5" x14ac:dyDescent="0.45">
      <c r="B3" s="36" t="s">
        <v>121</v>
      </c>
      <c r="C3" s="38">
        <f>Title!B7</f>
        <v>2027</v>
      </c>
    </row>
    <row r="5" spans="2:10" ht="21" x14ac:dyDescent="0.5">
      <c r="B5" s="266" t="s">
        <v>113</v>
      </c>
      <c r="C5" s="266"/>
      <c r="D5" s="266"/>
      <c r="E5" s="266"/>
      <c r="F5" s="266"/>
      <c r="G5" s="266"/>
      <c r="H5" s="266"/>
      <c r="I5" s="266"/>
    </row>
    <row r="6" spans="2:10" ht="21" x14ac:dyDescent="0.5">
      <c r="B6" s="39"/>
      <c r="C6" s="39"/>
      <c r="D6" s="39"/>
      <c r="E6" s="39"/>
      <c r="F6" s="39"/>
      <c r="G6" s="39"/>
      <c r="H6" s="39"/>
      <c r="I6" s="39"/>
    </row>
    <row r="7" spans="2:10" ht="21.5" thickBot="1" x14ac:dyDescent="0.55000000000000004">
      <c r="B7" s="39"/>
      <c r="C7" s="40" t="s">
        <v>147</v>
      </c>
      <c r="D7" s="55" t="str">
        <f>($C$3-1)&amp;"-"&amp;($C$3+0)</f>
        <v>2026-2027</v>
      </c>
      <c r="E7" s="55" t="str">
        <f>($C$3+0)&amp;"-"&amp;($C$3+1)</f>
        <v>2027-2028</v>
      </c>
      <c r="F7" s="55" t="str">
        <f>($C$3+1)&amp;"-"&amp;($C$3+2)</f>
        <v>2028-2029</v>
      </c>
      <c r="G7" s="55" t="str">
        <f>($C$3+2)&amp;"-"&amp;($C$3+3)</f>
        <v>2029-2030</v>
      </c>
      <c r="H7" s="55" t="str">
        <f>($C$3+3)&amp;"-"&amp;($C$3+4)</f>
        <v>2030-2031</v>
      </c>
      <c r="I7" s="55" t="str">
        <f>($C$3+4)&amp;"-"&amp;($C$3+5)</f>
        <v>2031-2032</v>
      </c>
    </row>
    <row r="8" spans="2:10" ht="21" x14ac:dyDescent="0.5">
      <c r="B8" s="39"/>
      <c r="C8" s="65" t="s">
        <v>133</v>
      </c>
      <c r="D8" s="80"/>
      <c r="E8" s="57">
        <f>Enrollment!D$23</f>
        <v>140</v>
      </c>
      <c r="F8" s="57">
        <f>Enrollment!E$23</f>
        <v>280</v>
      </c>
      <c r="G8" s="57">
        <f>Enrollment!F$23</f>
        <v>420</v>
      </c>
      <c r="H8" s="57">
        <f>Enrollment!G$23</f>
        <v>540</v>
      </c>
      <c r="I8" s="57">
        <f>Enrollment!H$23</f>
        <v>570</v>
      </c>
    </row>
    <row r="9" spans="2:10" x14ac:dyDescent="0.35">
      <c r="B9" s="1"/>
      <c r="C9" s="37" t="s">
        <v>124</v>
      </c>
      <c r="D9" s="131"/>
      <c r="E9" s="81"/>
      <c r="F9" s="73">
        <f>IFERROR(Enrollment!E$24,"-")</f>
        <v>1</v>
      </c>
      <c r="G9" s="73">
        <f>IFERROR(Enrollment!F$24,"-")</f>
        <v>0.5</v>
      </c>
      <c r="H9" s="73">
        <f>IFERROR(Enrollment!G$24,"-")</f>
        <v>0.2857142857142857</v>
      </c>
      <c r="I9" s="73">
        <f>IFERROR(Enrollment!H$24,"-")</f>
        <v>5.5555555555555552E-2</v>
      </c>
    </row>
    <row r="10" spans="2:10" ht="29" customHeight="1" x14ac:dyDescent="0.35">
      <c r="B10" s="19" t="s">
        <v>69</v>
      </c>
      <c r="C10" s="20" t="s">
        <v>70</v>
      </c>
      <c r="D10" s="60" t="s">
        <v>2</v>
      </c>
      <c r="E10" s="60" t="s">
        <v>3</v>
      </c>
      <c r="F10" s="60" t="s">
        <v>4</v>
      </c>
      <c r="G10" s="60" t="s">
        <v>5</v>
      </c>
      <c r="H10" s="60" t="s">
        <v>6</v>
      </c>
      <c r="I10" s="60" t="s">
        <v>7</v>
      </c>
      <c r="J10" s="20" t="s">
        <v>16</v>
      </c>
    </row>
    <row r="11" spans="2:10" ht="18.649999999999999" customHeight="1" x14ac:dyDescent="0.4">
      <c r="B11" s="147">
        <v>8000</v>
      </c>
      <c r="C11" s="166" t="s">
        <v>114</v>
      </c>
      <c r="D11" s="165">
        <v>0</v>
      </c>
      <c r="E11" s="157">
        <f>D34</f>
        <v>30461.002499999944</v>
      </c>
      <c r="F11" s="157">
        <f t="shared" ref="F11:I11" si="0">E34</f>
        <v>343885.18250000011</v>
      </c>
      <c r="G11" s="157">
        <f t="shared" si="0"/>
        <v>348433.8450000002</v>
      </c>
      <c r="H11" s="157">
        <f t="shared" si="0"/>
        <v>359277.81000000006</v>
      </c>
      <c r="I11" s="157">
        <f t="shared" si="0"/>
        <v>793030.90874999994</v>
      </c>
      <c r="J11" s="261"/>
    </row>
    <row r="12" spans="2:10" ht="23" customHeight="1" x14ac:dyDescent="0.4">
      <c r="B12" s="45"/>
      <c r="C12" s="148" t="s">
        <v>71</v>
      </c>
      <c r="D12" s="29"/>
      <c r="E12" s="29"/>
      <c r="F12" s="29"/>
      <c r="G12" s="29"/>
      <c r="H12" s="29"/>
      <c r="I12" s="29"/>
      <c r="J12" s="262"/>
    </row>
    <row r="13" spans="2:10" x14ac:dyDescent="0.35">
      <c r="B13" s="45">
        <v>1000</v>
      </c>
      <c r="C13" s="52" t="s">
        <v>72</v>
      </c>
      <c r="D13" s="29">
        <f>Revenue!D33</f>
        <v>0</v>
      </c>
      <c r="E13" s="29">
        <f>Revenue!E33</f>
        <v>11200</v>
      </c>
      <c r="F13" s="29">
        <f>Revenue!F33</f>
        <v>22400</v>
      </c>
      <c r="G13" s="29">
        <f>Revenue!G33</f>
        <v>33600</v>
      </c>
      <c r="H13" s="29">
        <f>Revenue!H33</f>
        <v>40800</v>
      </c>
      <c r="I13" s="29">
        <f>Revenue!I33</f>
        <v>40800</v>
      </c>
      <c r="J13" s="262"/>
    </row>
    <row r="14" spans="2:10" x14ac:dyDescent="0.35">
      <c r="B14" s="45">
        <v>3000</v>
      </c>
      <c r="C14" s="52" t="s">
        <v>73</v>
      </c>
      <c r="D14" s="29">
        <f>Revenue!D42</f>
        <v>0</v>
      </c>
      <c r="E14" s="29">
        <f>Revenue!E42</f>
        <v>1330280</v>
      </c>
      <c r="F14" s="29">
        <f>Revenue!F42</f>
        <v>2855860</v>
      </c>
      <c r="G14" s="29">
        <f>Revenue!G42</f>
        <v>4381440</v>
      </c>
      <c r="H14" s="29">
        <f>Revenue!H42</f>
        <v>5716980</v>
      </c>
      <c r="I14" s="29">
        <f>Revenue!I42</f>
        <v>6169440</v>
      </c>
      <c r="J14" s="262"/>
    </row>
    <row r="15" spans="2:10" x14ac:dyDescent="0.35">
      <c r="B15" s="45">
        <v>4000</v>
      </c>
      <c r="C15" s="13" t="s">
        <v>74</v>
      </c>
      <c r="D15" s="30">
        <f>Revenue!D56</f>
        <v>800000</v>
      </c>
      <c r="E15" s="30">
        <f>Revenue!E56</f>
        <v>1389222</v>
      </c>
      <c r="F15" s="30">
        <f>Revenue!F56</f>
        <v>327058</v>
      </c>
      <c r="G15" s="30">
        <f>Revenue!G56</f>
        <v>490673</v>
      </c>
      <c r="H15" s="30">
        <f>Revenue!H56</f>
        <v>609087</v>
      </c>
      <c r="I15" s="30">
        <f>Revenue!I56</f>
        <v>625736</v>
      </c>
      <c r="J15" s="262"/>
    </row>
    <row r="16" spans="2:10" x14ac:dyDescent="0.35">
      <c r="B16" s="45"/>
      <c r="C16" s="77" t="s">
        <v>248</v>
      </c>
      <c r="D16" s="29">
        <f>SUM(D13:D15)</f>
        <v>800000</v>
      </c>
      <c r="E16" s="29">
        <f t="shared" ref="E16:I16" si="1">SUM(E13:E15)</f>
        <v>2730702</v>
      </c>
      <c r="F16" s="29">
        <f t="shared" si="1"/>
        <v>3205318</v>
      </c>
      <c r="G16" s="29">
        <f t="shared" si="1"/>
        <v>4905713</v>
      </c>
      <c r="H16" s="29">
        <f t="shared" si="1"/>
        <v>6366867</v>
      </c>
      <c r="I16" s="29">
        <f t="shared" si="1"/>
        <v>6835976</v>
      </c>
      <c r="J16" s="262"/>
    </row>
    <row r="17" spans="2:10" x14ac:dyDescent="0.35">
      <c r="B17" s="45"/>
      <c r="D17" s="57"/>
      <c r="E17" s="57"/>
      <c r="F17" s="57"/>
      <c r="G17" s="57"/>
      <c r="H17" s="57"/>
      <c r="I17" s="57"/>
      <c r="J17" s="262"/>
    </row>
    <row r="18" spans="2:10" x14ac:dyDescent="0.35">
      <c r="B18" s="45">
        <v>5000</v>
      </c>
      <c r="C18" s="13" t="s">
        <v>75</v>
      </c>
      <c r="D18" s="30">
        <f>Revenue!D65</f>
        <v>0</v>
      </c>
      <c r="E18" s="30">
        <f>Revenue!E65</f>
        <v>0</v>
      </c>
      <c r="F18" s="30">
        <f>Revenue!F65</f>
        <v>0</v>
      </c>
      <c r="G18" s="30">
        <f>Revenue!G65</f>
        <v>0</v>
      </c>
      <c r="H18" s="30">
        <f>Revenue!H65</f>
        <v>0</v>
      </c>
      <c r="I18" s="30">
        <f>Revenue!I65</f>
        <v>0</v>
      </c>
      <c r="J18" s="262"/>
    </row>
    <row r="19" spans="2:10" ht="17.399999999999999" customHeight="1" thickBot="1" x14ac:dyDescent="0.4">
      <c r="B19" s="45"/>
      <c r="C19" s="161" t="s">
        <v>253</v>
      </c>
      <c r="D19" s="154">
        <f t="shared" ref="D19:I19" si="2">D18+D16</f>
        <v>800000</v>
      </c>
      <c r="E19" s="154">
        <f t="shared" si="2"/>
        <v>2730702</v>
      </c>
      <c r="F19" s="154">
        <f t="shared" si="2"/>
        <v>3205318</v>
      </c>
      <c r="G19" s="154">
        <f t="shared" si="2"/>
        <v>4905713</v>
      </c>
      <c r="H19" s="154">
        <f t="shared" si="2"/>
        <v>6366867</v>
      </c>
      <c r="I19" s="154">
        <f t="shared" si="2"/>
        <v>6835976</v>
      </c>
      <c r="J19" s="262"/>
    </row>
    <row r="20" spans="2:10" ht="21" customHeight="1" thickTop="1" x14ac:dyDescent="0.35">
      <c r="B20" s="47"/>
      <c r="C20" s="182" t="s">
        <v>264</v>
      </c>
      <c r="D20" s="155">
        <f>D19+D11</f>
        <v>800000</v>
      </c>
      <c r="E20" s="155">
        <f t="shared" ref="E20:I20" si="3">E19+E11</f>
        <v>2761163.0024999999</v>
      </c>
      <c r="F20" s="155">
        <f t="shared" si="3"/>
        <v>3549203.1825000001</v>
      </c>
      <c r="G20" s="155">
        <f t="shared" si="3"/>
        <v>5254146.8450000007</v>
      </c>
      <c r="H20" s="155">
        <f t="shared" si="3"/>
        <v>6726144.8100000005</v>
      </c>
      <c r="I20" s="155">
        <f t="shared" si="3"/>
        <v>7629006.9087499995</v>
      </c>
      <c r="J20" s="262"/>
    </row>
    <row r="21" spans="2:10" x14ac:dyDescent="0.35">
      <c r="B21" s="41"/>
      <c r="C21" s="150"/>
      <c r="D21" s="156"/>
      <c r="E21" s="156"/>
      <c r="F21" s="156"/>
      <c r="G21" s="156"/>
      <c r="H21" s="156"/>
      <c r="I21" s="156"/>
      <c r="J21" s="263"/>
    </row>
    <row r="22" spans="2:10" ht="16" x14ac:dyDescent="0.4">
      <c r="B22" s="45"/>
      <c r="C22" s="148" t="s">
        <v>76</v>
      </c>
      <c r="D22" s="29"/>
      <c r="E22" s="29"/>
      <c r="F22" s="29"/>
      <c r="G22" s="29"/>
      <c r="H22" s="29"/>
      <c r="I22" s="29"/>
      <c r="J22" s="262"/>
    </row>
    <row r="23" spans="2:10" x14ac:dyDescent="0.35">
      <c r="B23" s="45">
        <v>100</v>
      </c>
      <c r="C23" s="7" t="s">
        <v>77</v>
      </c>
      <c r="D23" s="29">
        <f>Staff!D120</f>
        <v>105000</v>
      </c>
      <c r="E23" s="29">
        <f>Staff!E120</f>
        <v>887000</v>
      </c>
      <c r="F23" s="29">
        <f>Staff!F120</f>
        <v>1295000</v>
      </c>
      <c r="G23" s="29">
        <f>Staff!G120</f>
        <v>2165000</v>
      </c>
      <c r="H23" s="29">
        <f>Staff!H120</f>
        <v>2698500</v>
      </c>
      <c r="I23" s="29">
        <f>Staff!I120</f>
        <v>2764500</v>
      </c>
      <c r="J23" s="262"/>
    </row>
    <row r="24" spans="2:10" x14ac:dyDescent="0.35">
      <c r="B24" s="45">
        <v>200</v>
      </c>
      <c r="C24" s="7" t="s">
        <v>78</v>
      </c>
      <c r="D24" s="29">
        <f>Staff!D130</f>
        <v>51450.5</v>
      </c>
      <c r="E24" s="29">
        <f>Staff!E130</f>
        <v>502439.5</v>
      </c>
      <c r="F24" s="29">
        <f>Staff!F130</f>
        <v>729387.5</v>
      </c>
      <c r="G24" s="29">
        <f>Staff!G130</f>
        <v>1212460.5</v>
      </c>
      <c r="H24" s="29">
        <f>Staff!H130</f>
        <v>1525271.25</v>
      </c>
      <c r="I24" s="29">
        <f>Staff!I130</f>
        <v>1563776.25</v>
      </c>
      <c r="J24" s="262"/>
    </row>
    <row r="25" spans="2:10" x14ac:dyDescent="0.35">
      <c r="B25" s="45">
        <v>300</v>
      </c>
      <c r="C25" s="7" t="s">
        <v>79</v>
      </c>
      <c r="D25" s="29">
        <f>Services!E$100</f>
        <v>292500</v>
      </c>
      <c r="E25" s="29">
        <f>Services!F$100</f>
        <v>438538.5</v>
      </c>
      <c r="F25" s="29">
        <f>Services!G$100</f>
        <v>691615</v>
      </c>
      <c r="G25" s="29">
        <f>Services!H$100</f>
        <v>928228.5</v>
      </c>
      <c r="H25" s="29">
        <f>Services!I$100</f>
        <v>1091340.5</v>
      </c>
      <c r="I25" s="29">
        <f>IFERROR(Services!J$100,"-")</f>
        <v>1110532.75</v>
      </c>
      <c r="J25" s="262"/>
    </row>
    <row r="26" spans="2:10" x14ac:dyDescent="0.35">
      <c r="B26" s="45">
        <v>600</v>
      </c>
      <c r="C26" s="17" t="s">
        <v>80</v>
      </c>
      <c r="D26" s="30">
        <f>Supplies!E$80</f>
        <v>249700</v>
      </c>
      <c r="E26" s="30">
        <f>Supplies!F$80</f>
        <v>258010</v>
      </c>
      <c r="F26" s="30">
        <f>Supplies!G$80</f>
        <v>127120</v>
      </c>
      <c r="G26" s="30">
        <f>Supplies!H$80</f>
        <v>190980</v>
      </c>
      <c r="H26" s="30">
        <f>Supplies!I$80</f>
        <v>188165</v>
      </c>
      <c r="I26" s="30">
        <f>IFERROR(Supplies!J$80,"-")</f>
        <v>211365</v>
      </c>
      <c r="J26" s="262"/>
    </row>
    <row r="27" spans="2:10" x14ac:dyDescent="0.35">
      <c r="B27" s="45"/>
      <c r="C27" s="77" t="s">
        <v>251</v>
      </c>
      <c r="D27" s="29">
        <f t="shared" ref="D27:I27" si="4">SUM(D23:D26)</f>
        <v>698650.5</v>
      </c>
      <c r="E27" s="29">
        <f t="shared" si="4"/>
        <v>2085988</v>
      </c>
      <c r="F27" s="29">
        <f t="shared" si="4"/>
        <v>2843122.5</v>
      </c>
      <c r="G27" s="29">
        <f t="shared" si="4"/>
        <v>4496669</v>
      </c>
      <c r="H27" s="29">
        <f t="shared" si="4"/>
        <v>5503276.75</v>
      </c>
      <c r="I27" s="29">
        <f t="shared" si="4"/>
        <v>5650174</v>
      </c>
      <c r="J27" s="262"/>
    </row>
    <row r="28" spans="2:10" ht="20.399999999999999" customHeight="1" x14ac:dyDescent="0.35">
      <c r="B28" s="45">
        <v>700</v>
      </c>
      <c r="C28" s="17" t="s">
        <v>81</v>
      </c>
      <c r="D28" s="30">
        <f>'Capital &amp; Debt'!E$25</f>
        <v>59516</v>
      </c>
      <c r="E28" s="30">
        <f>'Capital &amp; Debt'!F$25</f>
        <v>0</v>
      </c>
      <c r="F28" s="30">
        <f>'Capital &amp; Debt'!G$25</f>
        <v>0</v>
      </c>
      <c r="G28" s="30">
        <f>'Capital &amp; Debt'!H$25</f>
        <v>0</v>
      </c>
      <c r="H28" s="30">
        <f>'Capital &amp; Debt'!I$25</f>
        <v>0</v>
      </c>
      <c r="I28" s="30">
        <f>'Capital &amp; Debt'!J$25</f>
        <v>0</v>
      </c>
      <c r="J28" s="262"/>
    </row>
    <row r="29" spans="2:10" x14ac:dyDescent="0.35">
      <c r="B29" s="45"/>
      <c r="C29" s="77" t="s">
        <v>258</v>
      </c>
      <c r="D29" s="29">
        <f>SUM(D27:D28)</f>
        <v>758166.5</v>
      </c>
      <c r="E29" s="29">
        <f t="shared" ref="E29:I29" si="5">SUM(E27:E28)</f>
        <v>2085988</v>
      </c>
      <c r="F29" s="29">
        <f t="shared" si="5"/>
        <v>2843122.5</v>
      </c>
      <c r="G29" s="29">
        <f t="shared" si="5"/>
        <v>4496669</v>
      </c>
      <c r="H29" s="29">
        <f t="shared" si="5"/>
        <v>5503276.75</v>
      </c>
      <c r="I29" s="29">
        <f t="shared" si="5"/>
        <v>5650174</v>
      </c>
      <c r="J29" s="262"/>
    </row>
    <row r="30" spans="2:10" ht="19.25" customHeight="1" x14ac:dyDescent="0.35">
      <c r="B30" s="227">
        <v>1.4999999999999999E-2</v>
      </c>
      <c r="C30" s="7" t="s">
        <v>260</v>
      </c>
      <c r="D30" s="29">
        <f>$B$30*D29</f>
        <v>11372.497499999999</v>
      </c>
      <c r="E30" s="29">
        <f t="shared" ref="E30:I30" si="6">$B$30*E29</f>
        <v>31289.82</v>
      </c>
      <c r="F30" s="29">
        <f t="shared" si="6"/>
        <v>42646.837500000001</v>
      </c>
      <c r="G30" s="29">
        <f t="shared" si="6"/>
        <v>67450.035000000003</v>
      </c>
      <c r="H30" s="29">
        <f t="shared" si="6"/>
        <v>82549.151249999995</v>
      </c>
      <c r="I30" s="29">
        <f t="shared" si="6"/>
        <v>84752.61</v>
      </c>
      <c r="J30" s="262" t="s">
        <v>533</v>
      </c>
    </row>
    <row r="31" spans="2:10" x14ac:dyDescent="0.35">
      <c r="B31" s="45">
        <v>800</v>
      </c>
      <c r="C31" s="17" t="s">
        <v>82</v>
      </c>
      <c r="D31" s="30">
        <f>'Capital &amp; Debt'!E$38</f>
        <v>0</v>
      </c>
      <c r="E31" s="30">
        <f>'Capital &amp; Debt'!F$38</f>
        <v>300000</v>
      </c>
      <c r="F31" s="30">
        <f>'Capital &amp; Debt'!G$38</f>
        <v>315000</v>
      </c>
      <c r="G31" s="30">
        <f>'Capital &amp; Debt'!H$38</f>
        <v>330750</v>
      </c>
      <c r="H31" s="30">
        <f>'Capital &amp; Debt'!I$38</f>
        <v>347288</v>
      </c>
      <c r="I31" s="30">
        <f>'Capital &amp; Debt'!J$38</f>
        <v>364652</v>
      </c>
      <c r="J31" s="262"/>
    </row>
    <row r="32" spans="2:10" ht="18.75" customHeight="1" thickBot="1" x14ac:dyDescent="0.4">
      <c r="B32" s="45"/>
      <c r="C32" s="161" t="s">
        <v>259</v>
      </c>
      <c r="D32" s="154">
        <f>SUM(D29:D31)</f>
        <v>769538.99750000006</v>
      </c>
      <c r="E32" s="154">
        <f t="shared" ref="E32:I32" si="7">SUM(E29:E31)</f>
        <v>2417277.8199999998</v>
      </c>
      <c r="F32" s="154">
        <f t="shared" si="7"/>
        <v>3200769.3374999999</v>
      </c>
      <c r="G32" s="154">
        <f t="shared" si="7"/>
        <v>4894869.0350000001</v>
      </c>
      <c r="H32" s="154">
        <f t="shared" si="7"/>
        <v>5933113.9012500001</v>
      </c>
      <c r="I32" s="154">
        <f t="shared" si="7"/>
        <v>6099578.6100000003</v>
      </c>
      <c r="J32" s="262"/>
    </row>
    <row r="33" spans="2:10" ht="24.75" customHeight="1" thickTop="1" x14ac:dyDescent="0.35">
      <c r="B33" s="47"/>
      <c r="C33" s="184" t="s">
        <v>85</v>
      </c>
      <c r="D33" s="30">
        <f>D19-D32</f>
        <v>30461.002499999944</v>
      </c>
      <c r="E33" s="30">
        <f t="shared" ref="E33:I33" si="8">E19-E32</f>
        <v>313424.18000000017</v>
      </c>
      <c r="F33" s="30">
        <f t="shared" si="8"/>
        <v>4548.6625000000931</v>
      </c>
      <c r="G33" s="30">
        <f t="shared" si="8"/>
        <v>10843.964999999851</v>
      </c>
      <c r="H33" s="30">
        <f t="shared" si="8"/>
        <v>433753.09874999989</v>
      </c>
      <c r="I33" s="30">
        <f t="shared" si="8"/>
        <v>736397.38999999966</v>
      </c>
      <c r="J33" s="262"/>
    </row>
    <row r="34" spans="2:10" ht="31.25" customHeight="1" x14ac:dyDescent="0.4">
      <c r="B34" s="158">
        <v>990</v>
      </c>
      <c r="C34" s="183" t="s">
        <v>118</v>
      </c>
      <c r="D34" s="34">
        <f t="shared" ref="D34:I34" si="9">D11+D33</f>
        <v>30461.002499999944</v>
      </c>
      <c r="E34" s="34">
        <f t="shared" si="9"/>
        <v>343885.18250000011</v>
      </c>
      <c r="F34" s="34">
        <f t="shared" si="9"/>
        <v>348433.8450000002</v>
      </c>
      <c r="G34" s="34">
        <f t="shared" si="9"/>
        <v>359277.81000000006</v>
      </c>
      <c r="H34" s="34">
        <f t="shared" si="9"/>
        <v>793030.90874999994</v>
      </c>
      <c r="I34" s="34">
        <f t="shared" si="9"/>
        <v>1529428.2987499996</v>
      </c>
      <c r="J34" s="48" t="s">
        <v>119</v>
      </c>
    </row>
    <row r="35" spans="2:10" x14ac:dyDescent="0.35">
      <c r="B35" s="1"/>
      <c r="C35" s="27" t="s">
        <v>122</v>
      </c>
      <c r="D35" s="73">
        <f t="shared" ref="D35:I35" si="10">IFERROR(D34/D32,"-")</f>
        <v>3.9583442293319178E-2</v>
      </c>
      <c r="E35" s="73">
        <f t="shared" si="10"/>
        <v>0.14226134027904172</v>
      </c>
      <c r="F35" s="73">
        <f t="shared" si="10"/>
        <v>0.1088594048055174</v>
      </c>
      <c r="G35" s="73">
        <f t="shared" si="10"/>
        <v>7.3398860609148048E-2</v>
      </c>
      <c r="H35" s="73">
        <f t="shared" si="10"/>
        <v>0.13366183794026315</v>
      </c>
      <c r="I35" s="73">
        <f t="shared" si="10"/>
        <v>0.2507432720421976</v>
      </c>
    </row>
    <row r="36" spans="2:10" x14ac:dyDescent="0.35">
      <c r="B36" s="1"/>
      <c r="C36" s="27" t="s">
        <v>123</v>
      </c>
      <c r="D36" s="73">
        <f t="shared" ref="D36:I36" si="11">IFERROR(D34/D19,"-")</f>
        <v>3.8076253124999931E-2</v>
      </c>
      <c r="E36" s="73">
        <f t="shared" si="11"/>
        <v>0.12593288557301385</v>
      </c>
      <c r="F36" s="73">
        <f t="shared" si="11"/>
        <v>0.1087049225693052</v>
      </c>
      <c r="G36" s="73">
        <f t="shared" si="11"/>
        <v>7.3236614127243083E-2</v>
      </c>
      <c r="H36" s="73">
        <f t="shared" si="11"/>
        <v>0.12455590932714629</v>
      </c>
      <c r="I36" s="73">
        <f t="shared" si="11"/>
        <v>0.22373225107139047</v>
      </c>
    </row>
    <row r="37" spans="2:10" x14ac:dyDescent="0.35">
      <c r="B37" s="1"/>
      <c r="C37" s="27" t="s">
        <v>257</v>
      </c>
      <c r="D37" s="73">
        <f t="shared" ref="D37:I37" si="12">IFERROR((D23+D24)/D27,"-")</f>
        <v>0.22393242400885707</v>
      </c>
      <c r="E37" s="73">
        <f t="shared" si="12"/>
        <v>0.66608221140294188</v>
      </c>
      <c r="F37" s="73">
        <f t="shared" si="12"/>
        <v>0.71202964346418418</v>
      </c>
      <c r="G37" s="73">
        <f t="shared" si="12"/>
        <v>0.75110276073244442</v>
      </c>
      <c r="H37" s="73">
        <f t="shared" si="12"/>
        <v>0.76750115283589904</v>
      </c>
      <c r="I37" s="73">
        <f t="shared" si="12"/>
        <v>0.76604300150756421</v>
      </c>
    </row>
    <row r="38" spans="2:10" x14ac:dyDescent="0.35">
      <c r="C38" s="27" t="s">
        <v>249</v>
      </c>
      <c r="D38" s="31"/>
      <c r="E38" s="31">
        <f>IFERROR(E16/E$8,"-")</f>
        <v>19505.014285714286</v>
      </c>
      <c r="F38" s="31">
        <f>IFERROR(F16/F$8,"-")</f>
        <v>11447.564285714287</v>
      </c>
      <c r="G38" s="31">
        <f>IFERROR(G16/G$8,"-")</f>
        <v>11680.269047619047</v>
      </c>
      <c r="H38" s="31">
        <f>IFERROR(H16/H$8,"-")</f>
        <v>11790.494444444445</v>
      </c>
      <c r="I38" s="31">
        <f>IFERROR(I16/I$8,"-")</f>
        <v>11992.940350877194</v>
      </c>
    </row>
    <row r="39" spans="2:10" x14ac:dyDescent="0.35">
      <c r="C39" s="27" t="s">
        <v>250</v>
      </c>
      <c r="D39" s="31"/>
      <c r="E39" s="31">
        <f>IFERROR(E20/E$8,"-")</f>
        <v>19722.592874999998</v>
      </c>
      <c r="F39" s="31">
        <f>IFERROR(F20/F$8,"-")</f>
        <v>12675.725651785715</v>
      </c>
      <c r="G39" s="31">
        <f>IFERROR(G20/G$8,"-")</f>
        <v>12509.873440476193</v>
      </c>
      <c r="H39" s="31">
        <f>IFERROR(H20/H$8,"-")</f>
        <v>12455.823722222223</v>
      </c>
      <c r="I39" s="31">
        <f>IFERROR(I20/I$8,"-")</f>
        <v>13384.222646929824</v>
      </c>
    </row>
    <row r="40" spans="2:10" x14ac:dyDescent="0.35">
      <c r="C40" s="149" t="s">
        <v>252</v>
      </c>
      <c r="D40" s="31"/>
      <c r="E40" s="31">
        <f>IFERROR(E27/E$8,"-")</f>
        <v>14899.914285714285</v>
      </c>
      <c r="F40" s="31">
        <f>IFERROR(F27/F$8,"-")</f>
        <v>10154.008928571429</v>
      </c>
      <c r="G40" s="31">
        <f>IFERROR(G27/G$8,"-")</f>
        <v>10706.354761904762</v>
      </c>
      <c r="H40" s="31">
        <f>IFERROR(H27/H$8,"-")</f>
        <v>10191.253240740742</v>
      </c>
      <c r="I40" s="31">
        <f>IFERROR(I27/I$8,"-")</f>
        <v>9912.5859649122813</v>
      </c>
    </row>
    <row r="41" spans="2:10" x14ac:dyDescent="0.35">
      <c r="C41" s="149" t="s">
        <v>246</v>
      </c>
      <c r="D41" s="153"/>
      <c r="E41" s="153">
        <f>IFERROR(E32/E$8,"-")</f>
        <v>17266.270142857142</v>
      </c>
      <c r="F41" s="153">
        <f>IFERROR(F32/F$8,"-")</f>
        <v>11431.319062499999</v>
      </c>
      <c r="G41" s="153">
        <f>IFERROR(G32/G$8,"-")</f>
        <v>11654.450083333333</v>
      </c>
      <c r="H41" s="153">
        <f>IFERROR(H32/H$8,"-")</f>
        <v>10987.247965277778</v>
      </c>
      <c r="I41" s="153">
        <f>IFERROR(I32/I$8,"-")</f>
        <v>10701.015105263159</v>
      </c>
    </row>
  </sheetData>
  <sheetProtection algorithmName="SHA-512" hashValue="zaz8QarfWruO75GWeCLhZxy0NdwRqBgNbwz73MD6ILQ6fHJ/FqnndQx2CWg6MTtH9boBJaA2ITwR3DKrZkVhNA==" saltValue="WdhT/B6baFN5jO/a888h9g==" spinCount="100000" sheet="1" objects="1" scenarios="1"/>
  <mergeCells count="1">
    <mergeCell ref="B5:I5"/>
  </mergeCells>
  <conditionalFormatting sqref="D11:I41">
    <cfRule type="cellIs" dxfId="1" priority="1" operator="lessThan">
      <formula>0</formula>
    </cfRule>
  </conditionalFormatting>
  <dataValidations count="1">
    <dataValidation type="decimal" showInputMessage="1" showErrorMessage="1" sqref="B30" xr:uid="{00000000-0002-0000-0200-000000000000}">
      <formula1>0</formula1>
      <formula2>0.03</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36"/>
  <sheetViews>
    <sheetView zoomScale="90" zoomScaleNormal="90" workbookViewId="0">
      <selection activeCell="I32" sqref="I32"/>
    </sheetView>
  </sheetViews>
  <sheetFormatPr defaultRowHeight="14.5" x14ac:dyDescent="0.35"/>
  <cols>
    <col min="1" max="1" width="8.90625" customWidth="1"/>
    <col min="2" max="2" width="22.26953125" customWidth="1"/>
    <col min="3" max="8" width="13" customWidth="1"/>
    <col min="9" max="9" width="69.36328125" customWidth="1"/>
  </cols>
  <sheetData>
    <row r="1" spans="2:9" ht="18.5" x14ac:dyDescent="0.45">
      <c r="B1" s="82" t="s">
        <v>120</v>
      </c>
      <c r="C1" s="38" t="str">
        <f>Summary!C1</f>
        <v>Legal Prep Charter Academy</v>
      </c>
    </row>
    <row r="2" spans="2:9" ht="18.5" x14ac:dyDescent="0.45">
      <c r="B2" s="82" t="s">
        <v>126</v>
      </c>
      <c r="C2" s="38" t="str">
        <f>Summary!C2</f>
        <v>Las Vegas</v>
      </c>
    </row>
    <row r="3" spans="2:9" ht="18.5" x14ac:dyDescent="0.45">
      <c r="B3" s="82" t="s">
        <v>121</v>
      </c>
      <c r="C3" s="38">
        <f>Summary!C3</f>
        <v>2027</v>
      </c>
    </row>
    <row r="4" spans="2:9" ht="18.5" x14ac:dyDescent="0.45">
      <c r="B4" s="36"/>
      <c r="C4" s="38"/>
    </row>
    <row r="5" spans="2:9" ht="18.5" x14ac:dyDescent="0.45">
      <c r="B5" s="36"/>
      <c r="C5" s="275" t="s">
        <v>48</v>
      </c>
      <c r="D5" s="275"/>
      <c r="E5" s="275"/>
      <c r="F5" s="275"/>
      <c r="G5" s="275"/>
      <c r="H5" s="275"/>
    </row>
    <row r="7" spans="2:9" ht="16.5" thickBot="1" x14ac:dyDescent="0.45">
      <c r="B7" s="159" t="s">
        <v>147</v>
      </c>
      <c r="C7" s="66" t="str">
        <f>($C$3-1)&amp;"-"&amp;($C$3+0)</f>
        <v>2026-2027</v>
      </c>
      <c r="D7" s="66" t="str">
        <f>($C$3+0)&amp;"-"&amp;($C$3+1)</f>
        <v>2027-2028</v>
      </c>
      <c r="E7" s="66" t="str">
        <f>($C$3+1)&amp;"-"&amp;($C$3+2)</f>
        <v>2028-2029</v>
      </c>
      <c r="F7" s="66" t="str">
        <f>($C$3+2)&amp;"-"&amp;($C$3+3)</f>
        <v>2029-2030</v>
      </c>
      <c r="G7" s="66" t="str">
        <f>($C$3+3)&amp;"-"&amp;($C$3+4)</f>
        <v>2030-2031</v>
      </c>
      <c r="H7" s="66" t="str">
        <f>($C$3+4)&amp;"-"&amp;($C$3+5)</f>
        <v>2031-2032</v>
      </c>
    </row>
    <row r="8" spans="2:9" ht="11.4" customHeight="1" x14ac:dyDescent="0.45">
      <c r="C8" s="68"/>
      <c r="D8" s="68"/>
      <c r="E8" s="68"/>
      <c r="F8" s="68"/>
      <c r="G8" s="68"/>
      <c r="H8" s="68"/>
    </row>
    <row r="9" spans="2:9" x14ac:dyDescent="0.35">
      <c r="B9" s="23" t="s">
        <v>140</v>
      </c>
      <c r="C9" s="60" t="s">
        <v>2</v>
      </c>
      <c r="D9" s="60" t="s">
        <v>3</v>
      </c>
      <c r="E9" s="60" t="s">
        <v>4</v>
      </c>
      <c r="F9" s="60" t="s">
        <v>5</v>
      </c>
      <c r="G9" s="60" t="s">
        <v>6</v>
      </c>
      <c r="H9" s="60" t="s">
        <v>7</v>
      </c>
      <c r="I9" s="20" t="s">
        <v>16</v>
      </c>
    </row>
    <row r="10" spans="2:9" x14ac:dyDescent="0.35">
      <c r="B10" s="15" t="s">
        <v>50</v>
      </c>
      <c r="C10" s="69"/>
      <c r="D10" s="228"/>
      <c r="E10" s="228"/>
      <c r="F10" s="228"/>
      <c r="G10" s="228"/>
      <c r="H10" s="228"/>
      <c r="I10" s="252"/>
    </row>
    <row r="11" spans="2:9" x14ac:dyDescent="0.35">
      <c r="B11" s="15" t="s">
        <v>51</v>
      </c>
      <c r="C11" s="69"/>
      <c r="D11" s="228"/>
      <c r="E11" s="228"/>
      <c r="F11" s="228"/>
      <c r="G11" s="228"/>
      <c r="H11" s="228"/>
      <c r="I11" s="252"/>
    </row>
    <row r="12" spans="2:9" x14ac:dyDescent="0.35">
      <c r="B12" s="15" t="s">
        <v>52</v>
      </c>
      <c r="C12" s="69"/>
      <c r="D12" s="228"/>
      <c r="E12" s="228"/>
      <c r="F12" s="228"/>
      <c r="G12" s="228"/>
      <c r="H12" s="228"/>
      <c r="I12" s="252"/>
    </row>
    <row r="13" spans="2:9" x14ac:dyDescent="0.35">
      <c r="B13" s="15" t="s">
        <v>53</v>
      </c>
      <c r="C13" s="69"/>
      <c r="D13" s="228"/>
      <c r="E13" s="228"/>
      <c r="F13" s="228"/>
      <c r="G13" s="228"/>
      <c r="H13" s="228"/>
      <c r="I13" s="252"/>
    </row>
    <row r="14" spans="2:9" x14ac:dyDescent="0.35">
      <c r="B14" s="15" t="s">
        <v>54</v>
      </c>
      <c r="C14" s="69"/>
      <c r="D14" s="228"/>
      <c r="E14" s="228"/>
      <c r="F14" s="228"/>
      <c r="G14" s="228"/>
      <c r="H14" s="228"/>
      <c r="I14" s="252"/>
    </row>
    <row r="15" spans="2:9" x14ac:dyDescent="0.35">
      <c r="B15" s="15" t="s">
        <v>55</v>
      </c>
      <c r="C15" s="69"/>
      <c r="D15" s="228"/>
      <c r="E15" s="228"/>
      <c r="F15" s="228"/>
      <c r="G15" s="228"/>
      <c r="H15" s="228"/>
      <c r="I15" s="252"/>
    </row>
    <row r="16" spans="2:9" ht="26.5" x14ac:dyDescent="0.35">
      <c r="B16" s="15" t="s">
        <v>56</v>
      </c>
      <c r="C16" s="69"/>
      <c r="D16" s="228">
        <v>50</v>
      </c>
      <c r="E16" s="228">
        <v>50</v>
      </c>
      <c r="F16" s="228">
        <v>50</v>
      </c>
      <c r="G16" s="228">
        <v>50</v>
      </c>
      <c r="H16" s="228">
        <v>50</v>
      </c>
      <c r="I16" s="252" t="s">
        <v>412</v>
      </c>
    </row>
    <row r="17" spans="2:9" x14ac:dyDescent="0.35">
      <c r="B17" s="15" t="s">
        <v>57</v>
      </c>
      <c r="C17" s="69"/>
      <c r="D17" s="228"/>
      <c r="E17" s="228">
        <v>50</v>
      </c>
      <c r="F17" s="228">
        <v>50</v>
      </c>
      <c r="G17" s="228">
        <v>50</v>
      </c>
      <c r="H17" s="228">
        <v>50</v>
      </c>
      <c r="I17" s="252"/>
    </row>
    <row r="18" spans="2:9" x14ac:dyDescent="0.35">
      <c r="B18" s="15" t="s">
        <v>58</v>
      </c>
      <c r="C18" s="69"/>
      <c r="D18" s="228"/>
      <c r="E18" s="228"/>
      <c r="F18" s="228">
        <v>50</v>
      </c>
      <c r="G18" s="228">
        <v>50</v>
      </c>
      <c r="H18" s="228">
        <v>50</v>
      </c>
      <c r="I18" s="252"/>
    </row>
    <row r="19" spans="2:9" ht="26.5" x14ac:dyDescent="0.35">
      <c r="B19" s="15" t="s">
        <v>59</v>
      </c>
      <c r="C19" s="69"/>
      <c r="D19" s="228">
        <v>90</v>
      </c>
      <c r="E19" s="228">
        <v>90</v>
      </c>
      <c r="F19" s="228">
        <v>90</v>
      </c>
      <c r="G19" s="228">
        <v>120</v>
      </c>
      <c r="H19" s="228">
        <v>120</v>
      </c>
      <c r="I19" s="252" t="s">
        <v>517</v>
      </c>
    </row>
    <row r="20" spans="2:9" x14ac:dyDescent="0.35">
      <c r="B20" s="15" t="s">
        <v>60</v>
      </c>
      <c r="C20" s="69"/>
      <c r="D20" s="228"/>
      <c r="E20" s="228">
        <v>90</v>
      </c>
      <c r="F20" s="228">
        <v>90</v>
      </c>
      <c r="G20" s="228">
        <v>90</v>
      </c>
      <c r="H20" s="228">
        <v>120</v>
      </c>
      <c r="I20" s="252" t="s">
        <v>518</v>
      </c>
    </row>
    <row r="21" spans="2:9" x14ac:dyDescent="0.35">
      <c r="B21" s="15" t="s">
        <v>61</v>
      </c>
      <c r="C21" s="69"/>
      <c r="D21" s="228"/>
      <c r="E21" s="228"/>
      <c r="F21" s="228">
        <v>90</v>
      </c>
      <c r="G21" s="228">
        <v>90</v>
      </c>
      <c r="H21" s="228">
        <v>90</v>
      </c>
      <c r="I21" s="252"/>
    </row>
    <row r="22" spans="2:9" ht="15" thickBot="1" x14ac:dyDescent="0.4">
      <c r="B22" s="204" t="s">
        <v>62</v>
      </c>
      <c r="C22" s="70"/>
      <c r="D22" s="229"/>
      <c r="E22" s="229"/>
      <c r="F22" s="229"/>
      <c r="G22" s="229">
        <v>90</v>
      </c>
      <c r="H22" s="229">
        <v>90</v>
      </c>
      <c r="I22" s="253"/>
    </row>
    <row r="23" spans="2:9" ht="15" thickTop="1" x14ac:dyDescent="0.35">
      <c r="B23" s="2" t="s">
        <v>63</v>
      </c>
      <c r="C23" s="57"/>
      <c r="D23" s="72">
        <f>SUM(D10:D22)</f>
        <v>140</v>
      </c>
      <c r="E23" s="72">
        <f t="shared" ref="E23:H23" si="0">SUM(E10:E22)</f>
        <v>280</v>
      </c>
      <c r="F23" s="72">
        <f t="shared" si="0"/>
        <v>420</v>
      </c>
      <c r="G23" s="72">
        <f t="shared" si="0"/>
        <v>540</v>
      </c>
      <c r="H23" s="72">
        <f t="shared" si="0"/>
        <v>570</v>
      </c>
    </row>
    <row r="24" spans="2:9" x14ac:dyDescent="0.35">
      <c r="B24" s="37" t="s">
        <v>146</v>
      </c>
      <c r="C24" s="80"/>
      <c r="D24" s="81"/>
      <c r="E24" s="73">
        <f>IFERROR((E23-D23)/D23,"-")</f>
        <v>1</v>
      </c>
      <c r="F24" s="73">
        <f>IFERROR((F23-E23)/E23,"-")</f>
        <v>0.5</v>
      </c>
      <c r="G24" s="73">
        <f>IFERROR((G23-F23)/F23,"-")</f>
        <v>0.2857142857142857</v>
      </c>
      <c r="H24" s="73">
        <f>IFERROR((H23-G23)/G23,"-")</f>
        <v>5.5555555555555552E-2</v>
      </c>
    </row>
    <row r="25" spans="2:9" x14ac:dyDescent="0.35">
      <c r="B25" s="2"/>
      <c r="C25" s="57"/>
      <c r="D25" s="72"/>
      <c r="E25" s="73"/>
      <c r="F25" s="73"/>
      <c r="G25" s="73"/>
      <c r="H25" s="73"/>
    </row>
    <row r="26" spans="2:9" ht="29" x14ac:dyDescent="0.35">
      <c r="B26" s="23" t="s">
        <v>68</v>
      </c>
      <c r="C26" s="60" t="s">
        <v>2</v>
      </c>
      <c r="D26" s="74" t="s">
        <v>3</v>
      </c>
      <c r="E26" s="74" t="s">
        <v>4</v>
      </c>
      <c r="F26" s="74" t="s">
        <v>5</v>
      </c>
      <c r="G26" s="74" t="s">
        <v>6</v>
      </c>
      <c r="H26" s="74" t="s">
        <v>7</v>
      </c>
      <c r="I26" s="20" t="s">
        <v>16</v>
      </c>
    </row>
    <row r="27" spans="2:9" ht="26.5" x14ac:dyDescent="0.35">
      <c r="B27" s="15" t="s">
        <v>64</v>
      </c>
      <c r="C27" s="69"/>
      <c r="D27" s="230">
        <v>21</v>
      </c>
      <c r="E27" s="230">
        <v>42</v>
      </c>
      <c r="F27" s="230">
        <v>63</v>
      </c>
      <c r="G27" s="230">
        <v>81</v>
      </c>
      <c r="H27" s="230">
        <v>86</v>
      </c>
      <c r="I27" s="252" t="s">
        <v>519</v>
      </c>
    </row>
    <row r="28" spans="2:9" ht="26.5" x14ac:dyDescent="0.35">
      <c r="B28" s="15" t="s">
        <v>65</v>
      </c>
      <c r="C28" s="69"/>
      <c r="D28" s="230">
        <v>28</v>
      </c>
      <c r="E28" s="230">
        <v>56</v>
      </c>
      <c r="F28" s="230">
        <v>84</v>
      </c>
      <c r="G28" s="230">
        <v>108</v>
      </c>
      <c r="H28" s="230">
        <v>114</v>
      </c>
      <c r="I28" s="252" t="s">
        <v>520</v>
      </c>
    </row>
    <row r="29" spans="2:9" ht="26.5" x14ac:dyDescent="0.35">
      <c r="B29" s="15" t="s">
        <v>66</v>
      </c>
      <c r="C29" s="69"/>
      <c r="D29" s="230">
        <v>112</v>
      </c>
      <c r="E29" s="230">
        <v>224</v>
      </c>
      <c r="F29" s="230">
        <v>336</v>
      </c>
      <c r="G29" s="230">
        <v>432</v>
      </c>
      <c r="H29" s="230">
        <v>456</v>
      </c>
      <c r="I29" s="252" t="s">
        <v>521</v>
      </c>
    </row>
    <row r="30" spans="2:9" x14ac:dyDescent="0.35">
      <c r="B30" s="15" t="s">
        <v>67</v>
      </c>
      <c r="C30" s="69"/>
      <c r="D30" s="230"/>
      <c r="E30" s="230"/>
      <c r="F30" s="230"/>
      <c r="G30" s="230"/>
      <c r="H30" s="230"/>
      <c r="I30" s="252"/>
    </row>
    <row r="31" spans="2:9" x14ac:dyDescent="0.35">
      <c r="B31" s="15" t="s">
        <v>49</v>
      </c>
      <c r="C31" s="69"/>
      <c r="D31" s="231"/>
      <c r="E31" s="231"/>
      <c r="F31" s="231"/>
      <c r="G31" s="231"/>
      <c r="H31" s="231"/>
      <c r="I31" s="252"/>
    </row>
    <row r="32" spans="2:9" ht="26.5" x14ac:dyDescent="0.35">
      <c r="B32" s="15" t="s">
        <v>132</v>
      </c>
      <c r="C32" s="69"/>
      <c r="D32" s="231">
        <v>105</v>
      </c>
      <c r="E32" s="231">
        <v>210</v>
      </c>
      <c r="F32" s="231">
        <v>315</v>
      </c>
      <c r="G32" s="231">
        <v>405</v>
      </c>
      <c r="H32" s="231">
        <v>427</v>
      </c>
      <c r="I32" s="252" t="s">
        <v>522</v>
      </c>
    </row>
    <row r="33" spans="2:9" ht="29" x14ac:dyDescent="0.35">
      <c r="B33" s="15" t="s">
        <v>295</v>
      </c>
      <c r="C33" s="69"/>
      <c r="D33" s="215">
        <f>D32*1.6</f>
        <v>168</v>
      </c>
      <c r="E33" s="215">
        <f t="shared" ref="E33:H33" si="1">E32*1.6</f>
        <v>336</v>
      </c>
      <c r="F33" s="215">
        <f t="shared" si="1"/>
        <v>504</v>
      </c>
      <c r="G33" s="215">
        <f t="shared" si="1"/>
        <v>648</v>
      </c>
      <c r="H33" s="215">
        <f t="shared" si="1"/>
        <v>683.2</v>
      </c>
      <c r="I33" s="252"/>
    </row>
    <row r="34" spans="2:9" x14ac:dyDescent="0.35">
      <c r="B34" s="15" t="s">
        <v>125</v>
      </c>
      <c r="C34" s="71"/>
      <c r="D34" s="75">
        <f>IFERROR(D33/D23,"-")</f>
        <v>1.2</v>
      </c>
      <c r="E34" s="75">
        <f>IFERROR(E33/E23,"-")</f>
        <v>1.2</v>
      </c>
      <c r="F34" s="75">
        <f>IFERROR(F33/F23,"-")</f>
        <v>1.2</v>
      </c>
      <c r="G34" s="75">
        <f>IFERROR(G33/G23,"-")</f>
        <v>1.2</v>
      </c>
      <c r="H34" s="75">
        <f>IFERROR(H33/H23,"-")</f>
        <v>1.1985964912280702</v>
      </c>
      <c r="I34" s="253"/>
    </row>
    <row r="35" spans="2:9" x14ac:dyDescent="0.35">
      <c r="B35" s="2"/>
    </row>
    <row r="36" spans="2:9" x14ac:dyDescent="0.35">
      <c r="B36" s="2"/>
    </row>
  </sheetData>
  <sheetProtection algorithmName="SHA-512" hashValue="l4O/RhUM/QFrfiuTX/9J1f0Z1eTCs+WF37aX92+l5SddMFefoj01P9edo25smeV3aVYy6RJh2ho1wTF2wk4UXg==" saltValue="NPQkStYDnTx/w/oTwJX+8Q==" spinCount="100000" sheet="1" objects="1" scenarios="1"/>
  <mergeCells count="1">
    <mergeCell ref="C5:H5"/>
  </mergeCells>
  <phoneticPr fontId="3"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73"/>
  <sheetViews>
    <sheetView topLeftCell="B1" zoomScale="80" zoomScaleNormal="80" workbookViewId="0">
      <pane xSplit="2" ySplit="8" topLeftCell="D45" activePane="bottomRight" state="frozen"/>
      <selection activeCell="B1" sqref="B1"/>
      <selection pane="topRight" activeCell="D1" sqref="D1"/>
      <selection pane="bottomLeft" activeCell="B9" sqref="B9"/>
      <selection pane="bottomRight" activeCell="J54" sqref="J54"/>
    </sheetView>
  </sheetViews>
  <sheetFormatPr defaultRowHeight="14.5" x14ac:dyDescent="0.35"/>
  <cols>
    <col min="2" max="2" width="11.26953125" style="1" customWidth="1"/>
    <col min="3" max="3" width="58.08984375" customWidth="1"/>
    <col min="4" max="9" width="13.6328125" customWidth="1"/>
    <col min="10" max="10" width="77.6328125" style="2" customWidth="1"/>
  </cols>
  <sheetData>
    <row r="1" spans="2:10" ht="18.5" x14ac:dyDescent="0.45">
      <c r="B1" s="36" t="s">
        <v>120</v>
      </c>
      <c r="C1" s="38" t="str">
        <f>Summary!C1</f>
        <v>Legal Prep Charter Academy</v>
      </c>
    </row>
    <row r="2" spans="2:10" ht="18.5" x14ac:dyDescent="0.45">
      <c r="B2" s="36" t="s">
        <v>126</v>
      </c>
      <c r="C2" s="38" t="str">
        <f>Summary!C2</f>
        <v>Las Vegas</v>
      </c>
    </row>
    <row r="3" spans="2:10" ht="18.5" x14ac:dyDescent="0.45">
      <c r="B3" s="36" t="s">
        <v>121</v>
      </c>
      <c r="C3" s="38">
        <f>Summary!C3</f>
        <v>2027</v>
      </c>
    </row>
    <row r="4" spans="2:10" ht="18.5" x14ac:dyDescent="0.45">
      <c r="B4" s="36"/>
      <c r="C4" s="38"/>
    </row>
    <row r="5" spans="2:10" ht="21" x14ac:dyDescent="0.5">
      <c r="B5" s="36"/>
      <c r="C5" s="266" t="s">
        <v>141</v>
      </c>
      <c r="D5" s="266"/>
      <c r="E5" s="266"/>
      <c r="F5" s="266"/>
      <c r="G5" s="266"/>
      <c r="H5" s="266"/>
      <c r="I5" s="266"/>
    </row>
    <row r="6" spans="2:10" ht="18.5" x14ac:dyDescent="0.45">
      <c r="B6" s="36"/>
      <c r="C6" s="38"/>
    </row>
    <row r="7" spans="2:10" ht="29" customHeight="1" thickBot="1" x14ac:dyDescent="0.5">
      <c r="B7" s="36"/>
      <c r="C7" s="40" t="s">
        <v>147</v>
      </c>
      <c r="D7" s="55" t="str">
        <f>($C$3-1)&amp;"-"&amp;($C$3+0)</f>
        <v>2026-2027</v>
      </c>
      <c r="E7" s="55" t="str">
        <f>($C$3+0)&amp;"-"&amp;($C$3+1)</f>
        <v>2027-2028</v>
      </c>
      <c r="F7" s="55" t="str">
        <f>($C$3+1)&amp;"-"&amp;($C$3+2)</f>
        <v>2028-2029</v>
      </c>
      <c r="G7" s="55" t="str">
        <f>($C$3+2)&amp;"-"&amp;($C$3+3)</f>
        <v>2029-2030</v>
      </c>
      <c r="H7" s="55" t="str">
        <f>($C$3+3)&amp;"-"&amp;($C$3+4)</f>
        <v>2030-2031</v>
      </c>
      <c r="I7" s="55" t="str">
        <f>($C$3+4)&amp;"-"&amp;($C$3+5)</f>
        <v>2031-2032</v>
      </c>
    </row>
    <row r="8" spans="2:10" ht="18.5" x14ac:dyDescent="0.45">
      <c r="B8" s="36"/>
      <c r="C8" s="65" t="s">
        <v>133</v>
      </c>
      <c r="D8" s="56"/>
      <c r="E8" s="57">
        <f>Enrollment!D$23</f>
        <v>140</v>
      </c>
      <c r="F8" s="57">
        <f>Enrollment!E$23</f>
        <v>280</v>
      </c>
      <c r="G8" s="57">
        <f>Enrollment!F$23</f>
        <v>420</v>
      </c>
      <c r="H8" s="57">
        <f>Enrollment!G$23</f>
        <v>540</v>
      </c>
      <c r="I8" s="57">
        <f>Enrollment!H$23</f>
        <v>570</v>
      </c>
    </row>
    <row r="9" spans="2:10" ht="18.5" x14ac:dyDescent="0.45">
      <c r="B9" s="36"/>
      <c r="C9" s="38"/>
      <c r="D9" s="57"/>
      <c r="E9" s="57"/>
      <c r="F9" s="57"/>
      <c r="G9" s="57"/>
      <c r="H9" s="57"/>
      <c r="I9" s="57"/>
    </row>
    <row r="10" spans="2:10" ht="20.399999999999999" customHeight="1" x14ac:dyDescent="0.4">
      <c r="B10" s="64" t="s">
        <v>142</v>
      </c>
      <c r="C10" s="42"/>
      <c r="D10" s="58"/>
      <c r="E10" s="58"/>
      <c r="F10" s="58"/>
      <c r="G10" s="58"/>
      <c r="H10" s="58"/>
      <c r="I10" s="58"/>
      <c r="J10" s="86"/>
    </row>
    <row r="11" spans="2:10" s="2" customFormat="1" ht="29" x14ac:dyDescent="0.35">
      <c r="B11" s="43" t="s">
        <v>34</v>
      </c>
      <c r="C11" s="3" t="s">
        <v>23</v>
      </c>
      <c r="D11" s="59" t="s">
        <v>2</v>
      </c>
      <c r="E11" s="59" t="s">
        <v>3</v>
      </c>
      <c r="F11" s="59" t="s">
        <v>4</v>
      </c>
      <c r="G11" s="59" t="s">
        <v>5</v>
      </c>
      <c r="H11" s="59" t="s">
        <v>6</v>
      </c>
      <c r="I11" s="59" t="s">
        <v>7</v>
      </c>
      <c r="J11" s="44" t="s">
        <v>16</v>
      </c>
    </row>
    <row r="12" spans="2:10" x14ac:dyDescent="0.35">
      <c r="B12" s="45">
        <v>3110</v>
      </c>
      <c r="C12" t="s">
        <v>22</v>
      </c>
      <c r="D12" s="212"/>
      <c r="E12" s="29">
        <f>VLOOKUP(Title!B6,Inputs!$O$3:$P$25,2,0)</f>
        <v>9502</v>
      </c>
      <c r="F12" s="29">
        <f>E12</f>
        <v>9502</v>
      </c>
      <c r="G12" s="29">
        <f>F12</f>
        <v>9502</v>
      </c>
      <c r="H12" s="29">
        <f t="shared" ref="H12:I12" si="0">G12</f>
        <v>9502</v>
      </c>
      <c r="I12" s="29">
        <f t="shared" si="0"/>
        <v>9502</v>
      </c>
      <c r="J12" s="256"/>
    </row>
    <row r="13" spans="2:10" x14ac:dyDescent="0.35">
      <c r="B13" s="45">
        <v>3254</v>
      </c>
      <c r="C13" t="s">
        <v>35</v>
      </c>
      <c r="D13" s="212"/>
      <c r="E13" s="29">
        <v>0</v>
      </c>
      <c r="F13" s="29">
        <v>4200</v>
      </c>
      <c r="G13" s="29">
        <v>4200</v>
      </c>
      <c r="H13" s="29">
        <v>4200</v>
      </c>
      <c r="I13" s="29">
        <v>4200</v>
      </c>
      <c r="J13" s="256"/>
    </row>
    <row r="14" spans="2:10" x14ac:dyDescent="0.35">
      <c r="B14" s="45">
        <v>3255</v>
      </c>
      <c r="C14" t="s">
        <v>36</v>
      </c>
      <c r="D14" s="212"/>
      <c r="E14" s="29">
        <v>0</v>
      </c>
      <c r="F14" s="29">
        <v>3300</v>
      </c>
      <c r="G14" s="29">
        <v>3300</v>
      </c>
      <c r="H14" s="29">
        <v>3300</v>
      </c>
      <c r="I14" s="29">
        <v>3300</v>
      </c>
      <c r="J14" s="256"/>
    </row>
    <row r="15" spans="2:10" x14ac:dyDescent="0.35">
      <c r="B15" s="45">
        <v>3256</v>
      </c>
      <c r="C15" t="s">
        <v>37</v>
      </c>
      <c r="D15" s="212"/>
      <c r="E15" s="29">
        <v>0</v>
      </c>
      <c r="F15" s="29">
        <v>1100</v>
      </c>
      <c r="G15" s="29">
        <v>1100</v>
      </c>
      <c r="H15" s="29">
        <v>1100</v>
      </c>
      <c r="I15" s="29">
        <v>1100</v>
      </c>
      <c r="J15" s="256"/>
    </row>
    <row r="16" spans="2:10" x14ac:dyDescent="0.35">
      <c r="B16" s="45">
        <v>3270</v>
      </c>
      <c r="C16" s="2" t="s">
        <v>38</v>
      </c>
      <c r="D16" s="212"/>
      <c r="E16" s="29">
        <v>0</v>
      </c>
      <c r="F16" s="29">
        <v>3700</v>
      </c>
      <c r="G16" s="29">
        <v>3700</v>
      </c>
      <c r="H16" s="29">
        <v>3700</v>
      </c>
      <c r="I16" s="29">
        <v>3700</v>
      </c>
      <c r="J16" s="256"/>
    </row>
    <row r="17" spans="2:10" x14ac:dyDescent="0.35">
      <c r="B17" s="45">
        <v>4500</v>
      </c>
      <c r="C17" s="2" t="s">
        <v>127</v>
      </c>
      <c r="D17" s="212"/>
      <c r="E17" s="29">
        <v>900</v>
      </c>
      <c r="F17" s="29">
        <v>900</v>
      </c>
      <c r="G17" s="29">
        <v>900</v>
      </c>
      <c r="H17" s="29">
        <v>900</v>
      </c>
      <c r="I17" s="29">
        <v>900</v>
      </c>
      <c r="J17" s="256"/>
    </row>
    <row r="18" spans="2:10" x14ac:dyDescent="0.35">
      <c r="B18" s="45">
        <v>4500</v>
      </c>
      <c r="C18" s="2" t="s">
        <v>131</v>
      </c>
      <c r="D18" s="212"/>
      <c r="E18" s="29">
        <v>100</v>
      </c>
      <c r="F18" s="29">
        <v>100</v>
      </c>
      <c r="G18" s="29">
        <v>100</v>
      </c>
      <c r="H18" s="29">
        <v>100</v>
      </c>
      <c r="I18" s="29">
        <v>100</v>
      </c>
      <c r="J18" s="256"/>
    </row>
    <row r="19" spans="2:10" x14ac:dyDescent="0.35">
      <c r="B19" s="45">
        <v>4500</v>
      </c>
      <c r="C19" s="2" t="s">
        <v>130</v>
      </c>
      <c r="D19" s="212"/>
      <c r="E19" s="232"/>
      <c r="F19" s="232"/>
      <c r="G19" s="232"/>
      <c r="H19" s="232"/>
      <c r="I19" s="232"/>
      <c r="J19" s="256"/>
    </row>
    <row r="20" spans="2:10" x14ac:dyDescent="0.35">
      <c r="B20" s="45">
        <v>4500</v>
      </c>
      <c r="C20" s="2" t="s">
        <v>129</v>
      </c>
      <c r="D20" s="212"/>
      <c r="E20" s="232"/>
      <c r="F20" s="232"/>
      <c r="G20" s="232"/>
      <c r="H20" s="232"/>
      <c r="I20" s="232"/>
      <c r="J20" s="256"/>
    </row>
    <row r="21" spans="2:10" x14ac:dyDescent="0.35">
      <c r="B21" s="47">
        <v>4500</v>
      </c>
      <c r="C21" s="3" t="s">
        <v>128</v>
      </c>
      <c r="D21" s="213"/>
      <c r="E21" s="233"/>
      <c r="F21" s="233"/>
      <c r="G21" s="233"/>
      <c r="H21" s="233"/>
      <c r="I21" s="233"/>
      <c r="J21" s="257"/>
    </row>
    <row r="22" spans="2:10" x14ac:dyDescent="0.35">
      <c r="D22" s="57"/>
      <c r="E22" s="57"/>
      <c r="F22" s="57"/>
      <c r="G22" s="57"/>
      <c r="H22" s="57"/>
      <c r="I22" s="57"/>
    </row>
    <row r="23" spans="2:10" ht="23.4" customHeight="1" x14ac:dyDescent="0.4">
      <c r="B23" s="64" t="s">
        <v>143</v>
      </c>
      <c r="C23" s="42"/>
      <c r="D23" s="58"/>
      <c r="E23" s="58"/>
      <c r="F23" s="58"/>
      <c r="G23" s="58"/>
      <c r="H23" s="58"/>
      <c r="I23" s="58"/>
      <c r="J23" s="86"/>
    </row>
    <row r="24" spans="2:10" s="2" customFormat="1" ht="29" x14ac:dyDescent="0.35">
      <c r="B24" s="49" t="s">
        <v>34</v>
      </c>
      <c r="C24" s="20" t="s">
        <v>23</v>
      </c>
      <c r="D24" s="60" t="s">
        <v>2</v>
      </c>
      <c r="E24" s="60" t="s">
        <v>3</v>
      </c>
      <c r="F24" s="60" t="s">
        <v>4</v>
      </c>
      <c r="G24" s="60" t="s">
        <v>5</v>
      </c>
      <c r="H24" s="60" t="s">
        <v>6</v>
      </c>
      <c r="I24" s="60" t="s">
        <v>7</v>
      </c>
      <c r="J24" s="50" t="s">
        <v>16</v>
      </c>
    </row>
    <row r="25" spans="2:10" s="2" customFormat="1" x14ac:dyDescent="0.35">
      <c r="B25" s="51"/>
      <c r="C25" s="15"/>
      <c r="D25" s="28"/>
      <c r="E25" s="28"/>
      <c r="F25" s="28"/>
      <c r="G25" s="28"/>
      <c r="H25" s="28"/>
      <c r="I25" s="28"/>
      <c r="J25" s="254"/>
    </row>
    <row r="26" spans="2:10" x14ac:dyDescent="0.35">
      <c r="B26" s="45"/>
      <c r="C26" s="16" t="s">
        <v>40</v>
      </c>
      <c r="D26" s="29"/>
      <c r="E26" s="29"/>
      <c r="F26" s="29"/>
      <c r="G26" s="29"/>
      <c r="H26" s="29"/>
      <c r="I26" s="29"/>
      <c r="J26" s="255"/>
    </row>
    <row r="27" spans="2:10" x14ac:dyDescent="0.35">
      <c r="B27" s="45">
        <v>1500</v>
      </c>
      <c r="C27" s="52" t="s">
        <v>136</v>
      </c>
      <c r="D27" s="232"/>
      <c r="E27" s="232"/>
      <c r="F27" s="232"/>
      <c r="G27" s="232"/>
      <c r="H27" s="232"/>
      <c r="I27" s="232"/>
      <c r="J27" s="256"/>
    </row>
    <row r="28" spans="2:10" x14ac:dyDescent="0.35">
      <c r="B28" s="45">
        <v>1600</v>
      </c>
      <c r="C28" s="52" t="s">
        <v>134</v>
      </c>
      <c r="D28" s="232"/>
      <c r="E28" s="232"/>
      <c r="F28" s="232"/>
      <c r="G28" s="232"/>
      <c r="H28" s="232"/>
      <c r="I28" s="232"/>
      <c r="J28" s="256"/>
    </row>
    <row r="29" spans="2:10" x14ac:dyDescent="0.35">
      <c r="B29" s="45">
        <v>1700</v>
      </c>
      <c r="C29" s="52" t="s">
        <v>137</v>
      </c>
      <c r="D29" s="232"/>
      <c r="E29" s="232">
        <v>11200</v>
      </c>
      <c r="F29" s="232">
        <v>22400</v>
      </c>
      <c r="G29" s="232">
        <v>33600</v>
      </c>
      <c r="H29" s="232">
        <v>40800</v>
      </c>
      <c r="I29" s="232">
        <v>40800</v>
      </c>
      <c r="J29" s="256" t="s">
        <v>400</v>
      </c>
    </row>
    <row r="30" spans="2:10" x14ac:dyDescent="0.35">
      <c r="B30" s="45">
        <v>1920</v>
      </c>
      <c r="C30" s="52" t="s">
        <v>135</v>
      </c>
      <c r="D30" s="232"/>
      <c r="E30" s="232"/>
      <c r="F30" s="232"/>
      <c r="G30" s="232"/>
      <c r="H30" s="232"/>
      <c r="I30" s="232"/>
      <c r="J30" s="256"/>
    </row>
    <row r="31" spans="2:10" x14ac:dyDescent="0.35">
      <c r="B31" s="45">
        <v>1920</v>
      </c>
      <c r="C31" s="52" t="s">
        <v>135</v>
      </c>
      <c r="D31" s="232"/>
      <c r="E31" s="232"/>
      <c r="F31" s="232"/>
      <c r="G31" s="232"/>
      <c r="H31" s="232"/>
      <c r="I31" s="232"/>
      <c r="J31" s="256"/>
    </row>
    <row r="32" spans="2:10" x14ac:dyDescent="0.35">
      <c r="B32" s="45">
        <v>1920</v>
      </c>
      <c r="C32" s="13" t="s">
        <v>135</v>
      </c>
      <c r="D32" s="233"/>
      <c r="E32" s="233"/>
      <c r="F32" s="233"/>
      <c r="G32" s="233"/>
      <c r="H32" s="233"/>
      <c r="I32" s="233"/>
      <c r="J32" s="256"/>
    </row>
    <row r="33" spans="2:10" x14ac:dyDescent="0.35">
      <c r="B33" s="45"/>
      <c r="C33" s="77" t="s">
        <v>39</v>
      </c>
      <c r="D33" s="29">
        <f>SUM(D27:D32)</f>
        <v>0</v>
      </c>
      <c r="E33" s="29">
        <f t="shared" ref="E33:I33" si="1">SUM(E27:E32)</f>
        <v>11200</v>
      </c>
      <c r="F33" s="29">
        <f t="shared" si="1"/>
        <v>22400</v>
      </c>
      <c r="G33" s="29">
        <f t="shared" si="1"/>
        <v>33600</v>
      </c>
      <c r="H33" s="29">
        <f t="shared" si="1"/>
        <v>40800</v>
      </c>
      <c r="I33" s="29">
        <f t="shared" si="1"/>
        <v>40800</v>
      </c>
      <c r="J33" s="256"/>
    </row>
    <row r="34" spans="2:10" ht="14.4" customHeight="1" x14ac:dyDescent="0.35">
      <c r="B34" s="45"/>
      <c r="C34" s="78" t="s">
        <v>145</v>
      </c>
      <c r="D34" s="79"/>
      <c r="E34" s="31">
        <f>IFERROR(E33/E$8,"-")</f>
        <v>80</v>
      </c>
      <c r="F34" s="31">
        <f>IFERROR(F33/F$8,"-")</f>
        <v>80</v>
      </c>
      <c r="G34" s="31">
        <f>IFERROR(G33/G$8,"-")</f>
        <v>80</v>
      </c>
      <c r="H34" s="31">
        <f>IFERROR(H33/H$8,"-")</f>
        <v>75.555555555555557</v>
      </c>
      <c r="I34" s="31">
        <f>IFERROR(I33/I$8,"-")</f>
        <v>71.578947368421055</v>
      </c>
      <c r="J34" s="256"/>
    </row>
    <row r="35" spans="2:10" x14ac:dyDescent="0.35">
      <c r="B35" s="45"/>
      <c r="C35" s="16" t="s">
        <v>41</v>
      </c>
      <c r="D35" s="29"/>
      <c r="E35" s="29"/>
      <c r="F35" s="29"/>
      <c r="G35" s="29"/>
      <c r="H35" s="29"/>
      <c r="I35" s="29"/>
      <c r="J35" s="256"/>
    </row>
    <row r="36" spans="2:10" x14ac:dyDescent="0.35">
      <c r="B36" s="45">
        <v>3110</v>
      </c>
      <c r="C36" s="7" t="s">
        <v>24</v>
      </c>
      <c r="D36" s="61"/>
      <c r="E36" s="29">
        <f>E12*Enrollment!D$23</f>
        <v>1330280</v>
      </c>
      <c r="F36" s="29">
        <f>F12*Enrollment!E$23</f>
        <v>2660560</v>
      </c>
      <c r="G36" s="29">
        <f>G12*Enrollment!F$23</f>
        <v>3990840</v>
      </c>
      <c r="H36" s="29">
        <f>H12*Enrollment!G$23</f>
        <v>5131080</v>
      </c>
      <c r="I36" s="29">
        <f>I12*Enrollment!H$23</f>
        <v>5416140</v>
      </c>
      <c r="J36" s="256"/>
    </row>
    <row r="37" spans="2:10" x14ac:dyDescent="0.35">
      <c r="B37" s="45">
        <v>3200</v>
      </c>
      <c r="C37" s="7" t="s">
        <v>86</v>
      </c>
      <c r="D37" s="61"/>
      <c r="E37" s="232"/>
      <c r="F37" s="232"/>
      <c r="G37" s="232"/>
      <c r="H37" s="232"/>
      <c r="I37" s="232"/>
      <c r="J37" s="256"/>
    </row>
    <row r="38" spans="2:10" x14ac:dyDescent="0.35">
      <c r="B38" s="45">
        <v>3254</v>
      </c>
      <c r="C38" s="7" t="s">
        <v>25</v>
      </c>
      <c r="D38" s="61"/>
      <c r="E38" s="29">
        <v>0</v>
      </c>
      <c r="F38" s="29">
        <f>F13*Enrollment!D28</f>
        <v>117600</v>
      </c>
      <c r="G38" s="29">
        <f>G13*Enrollment!E28</f>
        <v>235200</v>
      </c>
      <c r="H38" s="29">
        <f>H13*Enrollment!F28</f>
        <v>352800</v>
      </c>
      <c r="I38" s="29">
        <f>I13*Enrollment!G28</f>
        <v>453600</v>
      </c>
      <c r="J38" s="256"/>
    </row>
    <row r="39" spans="2:10" x14ac:dyDescent="0.35">
      <c r="B39" s="45">
        <v>3255</v>
      </c>
      <c r="C39" s="7" t="s">
        <v>26</v>
      </c>
      <c r="D39" s="61"/>
      <c r="E39" s="29">
        <v>0</v>
      </c>
      <c r="F39" s="29">
        <v>0</v>
      </c>
      <c r="G39" s="29">
        <v>0</v>
      </c>
      <c r="H39" s="29">
        <v>0</v>
      </c>
      <c r="I39" s="29">
        <v>0</v>
      </c>
      <c r="J39" s="256"/>
    </row>
    <row r="40" spans="2:10" x14ac:dyDescent="0.35">
      <c r="B40" s="45">
        <v>3256</v>
      </c>
      <c r="C40" s="7" t="s">
        <v>27</v>
      </c>
      <c r="D40" s="61"/>
      <c r="E40" s="29">
        <v>0</v>
      </c>
      <c r="F40" s="29">
        <f>F15*Enrollment!D30</f>
        <v>0</v>
      </c>
      <c r="G40" s="29">
        <f>G15*Enrollment!E30</f>
        <v>0</v>
      </c>
      <c r="H40" s="29">
        <f>H15*Enrollment!F30</f>
        <v>0</v>
      </c>
      <c r="I40" s="29">
        <f>I15*Enrollment!G30</f>
        <v>0</v>
      </c>
      <c r="J40" s="256"/>
    </row>
    <row r="41" spans="2:10" x14ac:dyDescent="0.35">
      <c r="B41" s="45">
        <v>3270</v>
      </c>
      <c r="C41" s="17" t="s">
        <v>47</v>
      </c>
      <c r="D41" s="62"/>
      <c r="E41" s="30">
        <v>0</v>
      </c>
      <c r="F41" s="30">
        <f>F16*Enrollment!D27</f>
        <v>77700</v>
      </c>
      <c r="G41" s="30">
        <f>G16*Enrollment!E27</f>
        <v>155400</v>
      </c>
      <c r="H41" s="30">
        <f>H16*Enrollment!F27</f>
        <v>233100</v>
      </c>
      <c r="I41" s="30">
        <f>I16*Enrollment!G27</f>
        <v>299700</v>
      </c>
      <c r="J41" s="256"/>
    </row>
    <row r="42" spans="2:10" x14ac:dyDescent="0.35">
      <c r="B42" s="45"/>
      <c r="C42" s="77" t="s">
        <v>43</v>
      </c>
      <c r="D42" s="61">
        <f>SUM(D36:D41)</f>
        <v>0</v>
      </c>
      <c r="E42" s="29">
        <f t="shared" ref="E42:I42" si="2">SUM(E36:E41)</f>
        <v>1330280</v>
      </c>
      <c r="F42" s="29">
        <f t="shared" si="2"/>
        <v>2855860</v>
      </c>
      <c r="G42" s="29">
        <f t="shared" si="2"/>
        <v>4381440</v>
      </c>
      <c r="H42" s="29">
        <f t="shared" si="2"/>
        <v>5716980</v>
      </c>
      <c r="I42" s="29">
        <f t="shared" si="2"/>
        <v>6169440</v>
      </c>
      <c r="J42" s="256"/>
    </row>
    <row r="43" spans="2:10" x14ac:dyDescent="0.35">
      <c r="B43" s="45"/>
      <c r="C43" s="78" t="s">
        <v>145</v>
      </c>
      <c r="D43" s="79"/>
      <c r="E43" s="31">
        <f>IFERROR(E42/E$8,"-")</f>
        <v>9502</v>
      </c>
      <c r="F43" s="31">
        <f>IFERROR(F42/F$8,"-")</f>
        <v>10199.5</v>
      </c>
      <c r="G43" s="31">
        <f>IFERROR(G42/G$8,"-")</f>
        <v>10432</v>
      </c>
      <c r="H43" s="31">
        <f>IFERROR(H42/H$8,"-")</f>
        <v>10587</v>
      </c>
      <c r="I43" s="31">
        <f>IFERROR(I42/I$8,"-")</f>
        <v>10823.578947368422</v>
      </c>
      <c r="J43" s="256"/>
    </row>
    <row r="44" spans="2:10" x14ac:dyDescent="0.35">
      <c r="B44" s="45"/>
      <c r="C44" s="16" t="s">
        <v>42</v>
      </c>
      <c r="D44" s="29"/>
      <c r="E44" s="29"/>
      <c r="F44" s="29"/>
      <c r="G44" s="29"/>
      <c r="H44" s="29"/>
      <c r="I44" s="29"/>
      <c r="J44" s="256"/>
    </row>
    <row r="45" spans="2:10" x14ac:dyDescent="0.35">
      <c r="B45" s="45">
        <v>4100</v>
      </c>
      <c r="C45" s="7" t="s">
        <v>28</v>
      </c>
      <c r="D45" s="61"/>
      <c r="E45" s="232"/>
      <c r="F45" s="232"/>
      <c r="G45" s="232"/>
      <c r="H45" s="232"/>
      <c r="I45" s="232"/>
      <c r="J45" s="256"/>
    </row>
    <row r="46" spans="2:10" x14ac:dyDescent="0.35">
      <c r="B46" s="45">
        <v>4200</v>
      </c>
      <c r="C46" s="7" t="s">
        <v>29</v>
      </c>
      <c r="D46" s="61"/>
      <c r="E46" s="232"/>
      <c r="F46" s="232"/>
      <c r="G46" s="232"/>
      <c r="H46" s="232"/>
      <c r="I46" s="232"/>
      <c r="J46" s="256"/>
    </row>
    <row r="47" spans="2:10" x14ac:dyDescent="0.35">
      <c r="B47" s="45">
        <v>4300</v>
      </c>
      <c r="C47" s="7" t="s">
        <v>30</v>
      </c>
      <c r="D47" s="61"/>
      <c r="E47" s="232"/>
      <c r="F47" s="232"/>
      <c r="G47" s="232"/>
      <c r="H47" s="232"/>
      <c r="I47" s="232"/>
      <c r="J47" s="256"/>
    </row>
    <row r="48" spans="2:10" x14ac:dyDescent="0.35">
      <c r="B48" s="45">
        <v>4500</v>
      </c>
      <c r="C48" s="7" t="s">
        <v>127</v>
      </c>
      <c r="D48" s="61"/>
      <c r="E48" s="29">
        <f>E17*Enrollment!D$27</f>
        <v>18900</v>
      </c>
      <c r="F48" s="29">
        <f>F17*Enrollment!E$27</f>
        <v>37800</v>
      </c>
      <c r="G48" s="29">
        <f>G17*Enrollment!F$27</f>
        <v>56700</v>
      </c>
      <c r="H48" s="29">
        <f>H17*Enrollment!G$27</f>
        <v>72900</v>
      </c>
      <c r="I48" s="29">
        <f>I17*Enrollment!H$27</f>
        <v>77400</v>
      </c>
      <c r="J48" s="256"/>
    </row>
    <row r="49" spans="2:10" x14ac:dyDescent="0.35">
      <c r="B49" s="45">
        <v>4500</v>
      </c>
      <c r="C49" s="7" t="s">
        <v>131</v>
      </c>
      <c r="D49" s="61"/>
      <c r="E49" s="29">
        <f>E18*Enrollment!D$33</f>
        <v>16800</v>
      </c>
      <c r="F49" s="29">
        <f>F18*Enrollment!E$33</f>
        <v>33600</v>
      </c>
      <c r="G49" s="29">
        <f>G18*Enrollment!F$33</f>
        <v>50400</v>
      </c>
      <c r="H49" s="29">
        <f>H18*Enrollment!G$33</f>
        <v>64800</v>
      </c>
      <c r="I49" s="29">
        <f>I18*Enrollment!H$33</f>
        <v>68320</v>
      </c>
      <c r="J49" s="256"/>
    </row>
    <row r="50" spans="2:10" x14ac:dyDescent="0.35">
      <c r="B50" s="45">
        <v>4500</v>
      </c>
      <c r="C50" s="7" t="s">
        <v>130</v>
      </c>
      <c r="D50" s="61"/>
      <c r="E50" s="29">
        <f>E19</f>
        <v>0</v>
      </c>
      <c r="F50" s="29">
        <f t="shared" ref="F50:I50" si="3">F19</f>
        <v>0</v>
      </c>
      <c r="G50" s="29">
        <f t="shared" si="3"/>
        <v>0</v>
      </c>
      <c r="H50" s="29">
        <f t="shared" si="3"/>
        <v>0</v>
      </c>
      <c r="I50" s="29">
        <f t="shared" si="3"/>
        <v>0</v>
      </c>
      <c r="J50" s="256"/>
    </row>
    <row r="51" spans="2:10" x14ac:dyDescent="0.35">
      <c r="B51" s="45">
        <v>4500</v>
      </c>
      <c r="C51" s="7" t="s">
        <v>129</v>
      </c>
      <c r="D51" s="61"/>
      <c r="E51" s="29">
        <f t="shared" ref="E51:I52" si="4">E20</f>
        <v>0</v>
      </c>
      <c r="F51" s="29">
        <f t="shared" si="4"/>
        <v>0</v>
      </c>
      <c r="G51" s="29">
        <f t="shared" si="4"/>
        <v>0</v>
      </c>
      <c r="H51" s="29">
        <f t="shared" si="4"/>
        <v>0</v>
      </c>
      <c r="I51" s="29">
        <f t="shared" si="4"/>
        <v>0</v>
      </c>
      <c r="J51" s="256"/>
    </row>
    <row r="52" spans="2:10" x14ac:dyDescent="0.35">
      <c r="B52" s="45">
        <v>4500</v>
      </c>
      <c r="C52" s="7" t="s">
        <v>128</v>
      </c>
      <c r="D52" s="61"/>
      <c r="E52" s="29">
        <f t="shared" si="4"/>
        <v>0</v>
      </c>
      <c r="F52" s="29">
        <f t="shared" si="4"/>
        <v>0</v>
      </c>
      <c r="G52" s="29">
        <f t="shared" si="4"/>
        <v>0</v>
      </c>
      <c r="H52" s="29">
        <f t="shared" si="4"/>
        <v>0</v>
      </c>
      <c r="I52" s="29">
        <f t="shared" si="4"/>
        <v>0</v>
      </c>
      <c r="J52" s="256"/>
    </row>
    <row r="53" spans="2:10" ht="78.5" x14ac:dyDescent="0.35">
      <c r="B53" s="45">
        <v>4510</v>
      </c>
      <c r="C53" s="7" t="s">
        <v>31</v>
      </c>
      <c r="D53" s="61"/>
      <c r="E53" s="232">
        <v>118440</v>
      </c>
      <c r="F53" s="232">
        <v>241618</v>
      </c>
      <c r="G53" s="232">
        <v>369533</v>
      </c>
      <c r="H53" s="232">
        <v>457347</v>
      </c>
      <c r="I53" s="232">
        <v>465976</v>
      </c>
      <c r="J53" s="256" t="s">
        <v>536</v>
      </c>
    </row>
    <row r="54" spans="2:10" ht="65.5" x14ac:dyDescent="0.35">
      <c r="B54" s="45">
        <v>4700</v>
      </c>
      <c r="C54" s="7" t="s">
        <v>32</v>
      </c>
      <c r="D54" s="232">
        <v>800000</v>
      </c>
      <c r="E54" s="232">
        <v>1200000</v>
      </c>
      <c r="F54" s="232"/>
      <c r="G54" s="232"/>
      <c r="H54" s="232"/>
      <c r="I54" s="232"/>
      <c r="J54" s="256" t="s">
        <v>379</v>
      </c>
    </row>
    <row r="55" spans="2:10" ht="52.5" x14ac:dyDescent="0.35">
      <c r="B55" s="45">
        <v>4703</v>
      </c>
      <c r="C55" s="17" t="s">
        <v>33</v>
      </c>
      <c r="D55" s="62"/>
      <c r="E55" s="233">
        <v>35082</v>
      </c>
      <c r="F55" s="233">
        <v>14040</v>
      </c>
      <c r="G55" s="233">
        <v>14040</v>
      </c>
      <c r="H55" s="233">
        <v>14040</v>
      </c>
      <c r="I55" s="233">
        <v>14040</v>
      </c>
      <c r="J55" s="256" t="s">
        <v>378</v>
      </c>
    </row>
    <row r="56" spans="2:10" x14ac:dyDescent="0.35">
      <c r="B56" s="45"/>
      <c r="C56" s="77" t="s">
        <v>44</v>
      </c>
      <c r="D56" s="61">
        <f t="shared" ref="D56:I56" si="5">SUM(D45:D55)</f>
        <v>800000</v>
      </c>
      <c r="E56" s="29">
        <f t="shared" si="5"/>
        <v>1389222</v>
      </c>
      <c r="F56" s="29">
        <f t="shared" si="5"/>
        <v>327058</v>
      </c>
      <c r="G56" s="29">
        <f t="shared" si="5"/>
        <v>490673</v>
      </c>
      <c r="H56" s="29">
        <f t="shared" si="5"/>
        <v>609087</v>
      </c>
      <c r="I56" s="29">
        <f t="shared" si="5"/>
        <v>625736</v>
      </c>
      <c r="J56" s="256"/>
    </row>
    <row r="57" spans="2:10" x14ac:dyDescent="0.35">
      <c r="B57" s="45"/>
      <c r="C57" s="78" t="s">
        <v>145</v>
      </c>
      <c r="D57" s="79"/>
      <c r="E57" s="31">
        <f>IFERROR(E56/E$8,"-")</f>
        <v>9923.0142857142855</v>
      </c>
      <c r="F57" s="31">
        <f>IFERROR(F56/F$8,"-")</f>
        <v>1168.0642857142857</v>
      </c>
      <c r="G57" s="31">
        <f>IFERROR(G56/G$8,"-")</f>
        <v>1168.2690476190476</v>
      </c>
      <c r="H57" s="31">
        <f>IFERROR(H56/H$8,"-")</f>
        <v>1127.9388888888889</v>
      </c>
      <c r="I57" s="31">
        <f>IFERROR(I56/I$8,"-")</f>
        <v>1097.7824561403509</v>
      </c>
      <c r="J57" s="256"/>
    </row>
    <row r="58" spans="2:10" x14ac:dyDescent="0.35">
      <c r="B58" s="45"/>
      <c r="C58" s="151"/>
      <c r="D58" s="152"/>
      <c r="E58" s="153"/>
      <c r="F58" s="153"/>
      <c r="G58" s="153"/>
      <c r="H58" s="153"/>
      <c r="I58" s="153"/>
      <c r="J58" s="256"/>
    </row>
    <row r="59" spans="2:10" x14ac:dyDescent="0.35">
      <c r="B59" s="45"/>
      <c r="C59" s="22" t="s">
        <v>144</v>
      </c>
      <c r="D59" s="29">
        <f>D56+D42+D33</f>
        <v>800000</v>
      </c>
      <c r="E59" s="29">
        <f t="shared" ref="E59:I59" si="6">E56+E42+E33</f>
        <v>2730702</v>
      </c>
      <c r="F59" s="29">
        <f t="shared" si="6"/>
        <v>3205318</v>
      </c>
      <c r="G59" s="29">
        <f t="shared" si="6"/>
        <v>4905713</v>
      </c>
      <c r="H59" s="29">
        <f t="shared" si="6"/>
        <v>6366867</v>
      </c>
      <c r="I59" s="29">
        <f t="shared" si="6"/>
        <v>6835976</v>
      </c>
      <c r="J59" s="256"/>
    </row>
    <row r="60" spans="2:10" x14ac:dyDescent="0.35">
      <c r="B60" s="45"/>
      <c r="C60" s="78" t="s">
        <v>145</v>
      </c>
      <c r="D60" s="79"/>
      <c r="E60" s="31">
        <f>IFERROR(E59/E$8,"-")</f>
        <v>19505.014285714286</v>
      </c>
      <c r="F60" s="31">
        <f>IFERROR(F59/F$8,"-")</f>
        <v>11447.564285714287</v>
      </c>
      <c r="G60" s="31">
        <f>IFERROR(G59/G$8,"-")</f>
        <v>11680.269047619047</v>
      </c>
      <c r="H60" s="31">
        <f>IFERROR(H59/H$8,"-")</f>
        <v>11790.494444444445</v>
      </c>
      <c r="I60" s="31">
        <f>IFERROR(I59/I$8,"-")</f>
        <v>11992.940350877194</v>
      </c>
      <c r="J60" s="256"/>
    </row>
    <row r="61" spans="2:10" x14ac:dyDescent="0.35">
      <c r="B61" s="45"/>
      <c r="C61" s="16" t="s">
        <v>46</v>
      </c>
      <c r="D61" s="29"/>
      <c r="E61" s="29"/>
      <c r="F61" s="29"/>
      <c r="G61" s="29"/>
      <c r="H61" s="29"/>
      <c r="I61" s="29"/>
      <c r="J61" s="256"/>
    </row>
    <row r="62" spans="2:10" x14ac:dyDescent="0.35">
      <c r="B62" s="45">
        <v>5100</v>
      </c>
      <c r="C62" s="7" t="s">
        <v>93</v>
      </c>
      <c r="D62" s="232"/>
      <c r="E62" s="232"/>
      <c r="F62" s="232"/>
      <c r="G62" s="232"/>
      <c r="H62" s="232"/>
      <c r="I62" s="232"/>
      <c r="J62" s="256"/>
    </row>
    <row r="63" spans="2:10" x14ac:dyDescent="0.35">
      <c r="B63" s="45">
        <v>5400</v>
      </c>
      <c r="C63" s="7" t="s">
        <v>138</v>
      </c>
      <c r="D63" s="232"/>
      <c r="E63" s="232"/>
      <c r="F63" s="232"/>
      <c r="G63" s="232"/>
      <c r="H63" s="232"/>
      <c r="I63" s="232"/>
      <c r="J63" s="256"/>
    </row>
    <row r="64" spans="2:10" x14ac:dyDescent="0.35">
      <c r="B64" s="45">
        <v>5400</v>
      </c>
      <c r="C64" s="17" t="s">
        <v>138</v>
      </c>
      <c r="D64" s="233"/>
      <c r="E64" s="233"/>
      <c r="F64" s="233"/>
      <c r="G64" s="233"/>
      <c r="H64" s="233"/>
      <c r="I64" s="233"/>
      <c r="J64" s="256"/>
    </row>
    <row r="65" spans="2:10" x14ac:dyDescent="0.35">
      <c r="B65" s="45"/>
      <c r="C65" s="77" t="s">
        <v>45</v>
      </c>
      <c r="D65" s="29">
        <f>SUM(D62:D64)</f>
        <v>0</v>
      </c>
      <c r="E65" s="29">
        <f t="shared" ref="E65:I65" si="7">SUM(E62:E64)</f>
        <v>0</v>
      </c>
      <c r="F65" s="29">
        <f t="shared" si="7"/>
        <v>0</v>
      </c>
      <c r="G65" s="29">
        <f t="shared" si="7"/>
        <v>0</v>
      </c>
      <c r="H65" s="29">
        <f t="shared" si="7"/>
        <v>0</v>
      </c>
      <c r="I65" s="29">
        <f t="shared" si="7"/>
        <v>0</v>
      </c>
      <c r="J65" s="256"/>
    </row>
    <row r="66" spans="2:10" ht="15" thickBot="1" x14ac:dyDescent="0.4">
      <c r="B66" s="53"/>
      <c r="C66" s="8"/>
      <c r="D66" s="32"/>
      <c r="E66" s="32"/>
      <c r="F66" s="32"/>
      <c r="G66" s="32"/>
      <c r="H66" s="32"/>
      <c r="I66" s="32"/>
      <c r="J66" s="256"/>
    </row>
    <row r="67" spans="2:10" ht="19.25" customHeight="1" thickTop="1" x14ac:dyDescent="0.35">
      <c r="B67" s="47"/>
      <c r="C67" s="164" t="s">
        <v>139</v>
      </c>
      <c r="D67" s="102">
        <f>D65+D59</f>
        <v>800000</v>
      </c>
      <c r="E67" s="102">
        <f t="shared" ref="E67:I67" si="8">E65+E59</f>
        <v>2730702</v>
      </c>
      <c r="F67" s="102">
        <f t="shared" si="8"/>
        <v>3205318</v>
      </c>
      <c r="G67" s="102">
        <f t="shared" si="8"/>
        <v>4905713</v>
      </c>
      <c r="H67" s="102">
        <f t="shared" si="8"/>
        <v>6366867</v>
      </c>
      <c r="I67" s="102">
        <f t="shared" si="8"/>
        <v>6835976</v>
      </c>
      <c r="J67" s="258"/>
    </row>
    <row r="68" spans="2:10" x14ac:dyDescent="0.35">
      <c r="C68" s="78" t="s">
        <v>145</v>
      </c>
      <c r="D68" s="163"/>
      <c r="E68" s="162">
        <f>IFERROR(E67/E$8,"-")</f>
        <v>19505.014285714286</v>
      </c>
      <c r="F68" s="162">
        <f>IFERROR(F67/F$8,"-")</f>
        <v>11447.564285714287</v>
      </c>
      <c r="G68" s="162">
        <f>IFERROR(G67/G$8,"-")</f>
        <v>11680.269047619047</v>
      </c>
      <c r="H68" s="162">
        <f>IFERROR(H67/H$8,"-")</f>
        <v>11790.494444444445</v>
      </c>
      <c r="I68" s="162">
        <f>IFERROR(I67/I$8,"-")</f>
        <v>11992.940350877194</v>
      </c>
    </row>
    <row r="69" spans="2:10" x14ac:dyDescent="0.35">
      <c r="D69" s="5"/>
      <c r="E69" s="5"/>
      <c r="F69" s="5"/>
      <c r="G69" s="5"/>
      <c r="H69" s="5"/>
      <c r="I69" s="5"/>
    </row>
    <row r="70" spans="2:10" x14ac:dyDescent="0.35">
      <c r="D70" s="5"/>
      <c r="E70" s="5"/>
      <c r="F70" s="5"/>
      <c r="G70" s="5"/>
      <c r="H70" s="5"/>
      <c r="I70" s="5"/>
    </row>
    <row r="71" spans="2:10" x14ac:dyDescent="0.35">
      <c r="D71" s="5"/>
      <c r="E71" s="5"/>
      <c r="F71" s="5"/>
      <c r="G71" s="5"/>
      <c r="H71" s="5"/>
      <c r="I71" s="5"/>
    </row>
    <row r="72" spans="2:10" x14ac:dyDescent="0.35">
      <c r="D72" s="5"/>
      <c r="E72" s="5"/>
      <c r="F72" s="5"/>
      <c r="G72" s="5"/>
      <c r="H72" s="5"/>
      <c r="I72" s="5"/>
    </row>
    <row r="73" spans="2:10" x14ac:dyDescent="0.35">
      <c r="D73" s="5"/>
      <c r="E73" s="5"/>
      <c r="F73" s="5"/>
      <c r="G73" s="5"/>
      <c r="H73" s="5"/>
      <c r="I73" s="5"/>
    </row>
  </sheetData>
  <sheetProtection algorithmName="SHA-512" hashValue="WzYz6N09ApzuAd67KIrBXt//9+OCl58fhwuzkDmuz8RNNA+7QccddonPNEvyKbJUIOvsQK2FsBOIiUvdpjV0PA==" saltValue="EoYb3DX23QGF1D099kbQfQ==" spinCount="100000" sheet="1" objects="1" scenarios="1"/>
  <mergeCells count="1">
    <mergeCell ref="C5:I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176"/>
  <sheetViews>
    <sheetView zoomScale="80" zoomScaleNormal="80" workbookViewId="0">
      <pane xSplit="3" ySplit="9" topLeftCell="D27" activePane="bottomRight" state="frozen"/>
      <selection pane="topRight" activeCell="D1" sqref="D1"/>
      <selection pane="bottomLeft" activeCell="A10" sqref="A10"/>
      <selection pane="bottomRight" activeCell="H47" sqref="H23:H47"/>
    </sheetView>
  </sheetViews>
  <sheetFormatPr defaultRowHeight="14.5" x14ac:dyDescent="0.35"/>
  <cols>
    <col min="1" max="1" width="4.6328125" customWidth="1"/>
    <col min="2" max="2" width="25.90625" customWidth="1"/>
    <col min="3" max="3" width="18.36328125" customWidth="1"/>
    <col min="4" max="9" width="13.36328125" customWidth="1"/>
    <col min="10" max="10" width="90" style="2" customWidth="1"/>
  </cols>
  <sheetData>
    <row r="1" spans="2:10" ht="18.5" x14ac:dyDescent="0.45">
      <c r="B1" s="36" t="s">
        <v>120</v>
      </c>
      <c r="C1" s="38" t="str">
        <f>Summary!C1</f>
        <v>Legal Prep Charter Academy</v>
      </c>
    </row>
    <row r="2" spans="2:10" ht="18.5" x14ac:dyDescent="0.45">
      <c r="B2" s="36" t="s">
        <v>126</v>
      </c>
      <c r="C2" s="38" t="str">
        <f>Summary!C2</f>
        <v>Las Vegas</v>
      </c>
    </row>
    <row r="3" spans="2:10" ht="18.5" x14ac:dyDescent="0.45">
      <c r="B3" s="36" t="s">
        <v>121</v>
      </c>
      <c r="C3" s="38">
        <f>Summary!C3</f>
        <v>2027</v>
      </c>
    </row>
    <row r="4" spans="2:10" ht="18.5" x14ac:dyDescent="0.45">
      <c r="B4" s="36"/>
      <c r="C4" s="38"/>
    </row>
    <row r="5" spans="2:10" ht="27.65" customHeight="1" x14ac:dyDescent="0.5">
      <c r="B5" s="266" t="s">
        <v>148</v>
      </c>
      <c r="C5" s="266"/>
      <c r="D5" s="266"/>
      <c r="E5" s="266"/>
      <c r="F5" s="266"/>
      <c r="G5" s="266"/>
      <c r="H5" s="266"/>
      <c r="I5" s="266"/>
    </row>
    <row r="7" spans="2:10" ht="16.5" thickBot="1" x14ac:dyDescent="0.45">
      <c r="C7" s="65" t="s">
        <v>147</v>
      </c>
      <c r="D7" s="66" t="str">
        <f>($C$3-1)&amp;"-"&amp;($C$3+0)</f>
        <v>2026-2027</v>
      </c>
      <c r="E7" s="66" t="str">
        <f>($C$3+0)&amp;"-"&amp;($C$3+1)</f>
        <v>2027-2028</v>
      </c>
      <c r="F7" s="66" t="str">
        <f>($C$3+1)&amp;"-"&amp;($C$3+2)</f>
        <v>2028-2029</v>
      </c>
      <c r="G7" s="66" t="str">
        <f>($C$3+2)&amp;"-"&amp;($C$3+3)</f>
        <v>2029-2030</v>
      </c>
      <c r="H7" s="66" t="str">
        <f>($C$3+3)&amp;"-"&amp;($C$3+4)</f>
        <v>2030-2031</v>
      </c>
      <c r="I7" s="66" t="str">
        <f>($C$3+4)&amp;"-"&amp;($C$3+5)</f>
        <v>2031-2032</v>
      </c>
    </row>
    <row r="8" spans="2:10" x14ac:dyDescent="0.35">
      <c r="C8" s="84" t="s">
        <v>133</v>
      </c>
      <c r="D8" s="56"/>
      <c r="E8" s="57">
        <f>Enrollment!D$23</f>
        <v>140</v>
      </c>
      <c r="F8" s="57">
        <f>Enrollment!E$23</f>
        <v>280</v>
      </c>
      <c r="G8" s="57">
        <f>Enrollment!F$23</f>
        <v>420</v>
      </c>
      <c r="H8" s="57">
        <f>Enrollment!G$23</f>
        <v>540</v>
      </c>
      <c r="I8" s="57">
        <f>Enrollment!H$23</f>
        <v>570</v>
      </c>
    </row>
    <row r="9" spans="2:10" ht="16" x14ac:dyDescent="0.4">
      <c r="C9" s="65"/>
      <c r="D9" s="57"/>
      <c r="E9" s="57"/>
      <c r="F9" s="57"/>
      <c r="G9" s="57"/>
      <c r="H9" s="57"/>
      <c r="I9" s="57"/>
    </row>
    <row r="10" spans="2:10" ht="21.65" customHeight="1" x14ac:dyDescent="0.4">
      <c r="B10" s="85" t="s">
        <v>153</v>
      </c>
      <c r="C10" s="42"/>
      <c r="D10" s="58"/>
      <c r="E10" s="58"/>
      <c r="F10" s="58"/>
      <c r="G10" s="58"/>
      <c r="H10" s="58"/>
      <c r="I10" s="58"/>
      <c r="J10" s="86"/>
    </row>
    <row r="11" spans="2:10" ht="29" x14ac:dyDescent="0.35">
      <c r="B11" s="108" t="s">
        <v>8</v>
      </c>
      <c r="C11" s="19" t="s">
        <v>366</v>
      </c>
      <c r="D11" s="109" t="s">
        <v>2</v>
      </c>
      <c r="E11" s="109" t="s">
        <v>3</v>
      </c>
      <c r="F11" s="109" t="s">
        <v>4</v>
      </c>
      <c r="G11" s="109" t="s">
        <v>5</v>
      </c>
      <c r="H11" s="109" t="s">
        <v>6</v>
      </c>
      <c r="I11" s="109" t="s">
        <v>7</v>
      </c>
      <c r="J11" s="110" t="s">
        <v>16</v>
      </c>
    </row>
    <row r="12" spans="2:10" x14ac:dyDescent="0.35">
      <c r="B12" s="87" t="s">
        <v>9</v>
      </c>
      <c r="C12" s="1" t="s">
        <v>14</v>
      </c>
      <c r="D12" s="100">
        <f>19.25*2%</f>
        <v>0.38500000000000001</v>
      </c>
      <c r="E12" s="100">
        <f t="shared" ref="E12" si="0">19.25*2%</f>
        <v>0.38500000000000001</v>
      </c>
      <c r="F12" s="100">
        <f>E12</f>
        <v>0.38500000000000001</v>
      </c>
      <c r="G12" s="100">
        <f t="shared" ref="G12:I12" si="1">F12</f>
        <v>0.38500000000000001</v>
      </c>
      <c r="H12" s="100">
        <f t="shared" si="1"/>
        <v>0.38500000000000001</v>
      </c>
      <c r="I12" s="100">
        <f t="shared" si="1"/>
        <v>0.38500000000000001</v>
      </c>
      <c r="J12" s="111" t="s">
        <v>364</v>
      </c>
    </row>
    <row r="13" spans="2:10" x14ac:dyDescent="0.35">
      <c r="B13" s="87" t="s">
        <v>10</v>
      </c>
      <c r="C13" s="1" t="s">
        <v>15</v>
      </c>
      <c r="D13" s="100">
        <v>6.25E-2</v>
      </c>
      <c r="E13" s="100">
        <v>6.25E-2</v>
      </c>
      <c r="F13" s="100">
        <v>6.25E-2</v>
      </c>
      <c r="G13" s="100">
        <v>6.25E-2</v>
      </c>
      <c r="H13" s="100">
        <v>6.25E-2</v>
      </c>
      <c r="I13" s="100">
        <v>6.25E-2</v>
      </c>
      <c r="J13" s="111" t="s">
        <v>365</v>
      </c>
    </row>
    <row r="14" spans="2:10" x14ac:dyDescent="0.35">
      <c r="B14" s="87" t="s">
        <v>11</v>
      </c>
      <c r="C14" s="1" t="s">
        <v>151</v>
      </c>
      <c r="D14" s="100">
        <v>1.4500000000000001E-2</v>
      </c>
      <c r="E14" s="100">
        <v>1.4500000000000001E-2</v>
      </c>
      <c r="F14" s="100">
        <v>1.4500000000000001E-2</v>
      </c>
      <c r="G14" s="100">
        <v>1.4500000000000001E-2</v>
      </c>
      <c r="H14" s="100">
        <v>1.4500000000000001E-2</v>
      </c>
      <c r="I14" s="100">
        <v>1.4500000000000001E-2</v>
      </c>
      <c r="J14" s="111" t="s">
        <v>367</v>
      </c>
    </row>
    <row r="15" spans="2:10" ht="24.5" x14ac:dyDescent="0.35">
      <c r="B15" s="87" t="s">
        <v>303</v>
      </c>
      <c r="C15" s="1" t="s">
        <v>14</v>
      </c>
      <c r="D15" s="234">
        <v>7500</v>
      </c>
      <c r="E15" s="234">
        <v>7500</v>
      </c>
      <c r="F15" s="234">
        <v>7725</v>
      </c>
      <c r="G15" s="234">
        <v>7957</v>
      </c>
      <c r="H15" s="234">
        <v>8196</v>
      </c>
      <c r="I15" s="234">
        <v>8442</v>
      </c>
      <c r="J15" s="259" t="s">
        <v>395</v>
      </c>
    </row>
    <row r="16" spans="2:10" x14ac:dyDescent="0.35">
      <c r="B16" s="87" t="s">
        <v>149</v>
      </c>
      <c r="C16" s="1" t="s">
        <v>151</v>
      </c>
      <c r="D16" s="235">
        <v>5.0000000000000001E-3</v>
      </c>
      <c r="E16" s="235">
        <v>5.0000000000000001E-3</v>
      </c>
      <c r="F16" s="235">
        <v>5.0000000000000001E-3</v>
      </c>
      <c r="G16" s="235">
        <v>5.0000000000000001E-3</v>
      </c>
      <c r="H16" s="235">
        <v>5.0000000000000001E-3</v>
      </c>
      <c r="I16" s="235">
        <v>5.0000000000000001E-3</v>
      </c>
      <c r="J16" s="259"/>
    </row>
    <row r="17" spans="2:10" x14ac:dyDescent="0.35">
      <c r="B17" s="87" t="s">
        <v>155</v>
      </c>
      <c r="C17" s="1" t="s">
        <v>151</v>
      </c>
      <c r="D17" s="235">
        <v>2.9499999999999998E-2</v>
      </c>
      <c r="E17" s="235">
        <v>2.9499999999999998E-2</v>
      </c>
      <c r="F17" s="235">
        <v>1.4999999999999999E-2</v>
      </c>
      <c r="G17" s="235">
        <v>1.4999999999999999E-2</v>
      </c>
      <c r="H17" s="235">
        <v>1.4999999999999999E-2</v>
      </c>
      <c r="I17" s="235">
        <v>1.4999999999999999E-2</v>
      </c>
      <c r="J17" s="259" t="s">
        <v>413</v>
      </c>
    </row>
    <row r="18" spans="2:10" ht="26.5" x14ac:dyDescent="0.35">
      <c r="B18" s="88" t="s">
        <v>150</v>
      </c>
      <c r="C18" s="6" t="s">
        <v>14</v>
      </c>
      <c r="D18" s="236">
        <v>5.0000000000000001E-3</v>
      </c>
      <c r="E18" s="236">
        <v>5.0000000000000001E-3</v>
      </c>
      <c r="F18" s="236">
        <v>5.0000000000000001E-3</v>
      </c>
      <c r="G18" s="236">
        <v>5.0000000000000001E-3</v>
      </c>
      <c r="H18" s="236">
        <v>5.0000000000000001E-3</v>
      </c>
      <c r="I18" s="236">
        <v>5.0000000000000001E-3</v>
      </c>
      <c r="J18" s="260" t="s">
        <v>414</v>
      </c>
    </row>
    <row r="19" spans="2:10" x14ac:dyDescent="0.35">
      <c r="D19" s="57"/>
      <c r="E19" s="57"/>
      <c r="F19" s="57"/>
      <c r="G19" s="57"/>
      <c r="H19" s="57"/>
      <c r="I19" s="57"/>
      <c r="J19" s="89"/>
    </row>
    <row r="20" spans="2:10" ht="20.399999999999999" customHeight="1" x14ac:dyDescent="0.4">
      <c r="B20" s="85" t="s">
        <v>154</v>
      </c>
      <c r="C20" s="54"/>
      <c r="D20" s="58"/>
      <c r="E20" s="58"/>
      <c r="F20" s="58"/>
      <c r="G20" s="58"/>
      <c r="H20" s="58"/>
      <c r="I20" s="58"/>
      <c r="J20" s="90"/>
    </row>
    <row r="21" spans="2:10" s="2" customFormat="1" x14ac:dyDescent="0.35">
      <c r="B21" s="91" t="s">
        <v>0</v>
      </c>
      <c r="C21" s="19" t="s">
        <v>1</v>
      </c>
      <c r="D21" s="60" t="s">
        <v>2</v>
      </c>
      <c r="E21" s="60" t="s">
        <v>3</v>
      </c>
      <c r="F21" s="60" t="s">
        <v>4</v>
      </c>
      <c r="G21" s="60" t="s">
        <v>5</v>
      </c>
      <c r="H21" s="60" t="s">
        <v>6</v>
      </c>
      <c r="I21" s="60" t="s">
        <v>7</v>
      </c>
      <c r="J21" s="92" t="s">
        <v>16</v>
      </c>
    </row>
    <row r="22" spans="2:10" s="2" customFormat="1" ht="21.65" customHeight="1" x14ac:dyDescent="0.35">
      <c r="B22" s="93" t="s">
        <v>163</v>
      </c>
      <c r="C22" s="83"/>
      <c r="D22" s="101"/>
      <c r="E22" s="101"/>
      <c r="F22" s="101"/>
      <c r="G22" s="101"/>
      <c r="H22" s="101"/>
      <c r="I22" s="101"/>
      <c r="J22" s="113"/>
    </row>
    <row r="23" spans="2:10" ht="24.5" x14ac:dyDescent="0.35">
      <c r="B23" s="237" t="s">
        <v>415</v>
      </c>
      <c r="C23" s="238" t="s">
        <v>157</v>
      </c>
      <c r="D23" s="232"/>
      <c r="E23" s="232">
        <v>53000</v>
      </c>
      <c r="F23" s="232">
        <v>54500</v>
      </c>
      <c r="G23" s="232">
        <v>56000</v>
      </c>
      <c r="H23" s="232">
        <v>57500</v>
      </c>
      <c r="I23" s="232">
        <v>59000</v>
      </c>
      <c r="J23" s="259" t="s">
        <v>386</v>
      </c>
    </row>
    <row r="24" spans="2:10" x14ac:dyDescent="0.35">
      <c r="B24" s="237" t="s">
        <v>416</v>
      </c>
      <c r="C24" s="238" t="s">
        <v>157</v>
      </c>
      <c r="D24" s="232"/>
      <c r="E24" s="232">
        <v>53000</v>
      </c>
      <c r="F24" s="232">
        <v>54500</v>
      </c>
      <c r="G24" s="232">
        <v>56000</v>
      </c>
      <c r="H24" s="232">
        <v>57500</v>
      </c>
      <c r="I24" s="232">
        <v>59000</v>
      </c>
      <c r="J24" s="259"/>
    </row>
    <row r="25" spans="2:10" x14ac:dyDescent="0.35">
      <c r="B25" s="237" t="s">
        <v>417</v>
      </c>
      <c r="C25" s="238" t="s">
        <v>157</v>
      </c>
      <c r="D25" s="232"/>
      <c r="E25" s="232">
        <v>53000</v>
      </c>
      <c r="F25" s="232">
        <v>54500</v>
      </c>
      <c r="G25" s="232">
        <v>56000</v>
      </c>
      <c r="H25" s="232">
        <v>57500</v>
      </c>
      <c r="I25" s="232">
        <v>59000</v>
      </c>
      <c r="J25" s="259"/>
    </row>
    <row r="26" spans="2:10" x14ac:dyDescent="0.35">
      <c r="B26" s="237" t="s">
        <v>418</v>
      </c>
      <c r="C26" s="238" t="s">
        <v>157</v>
      </c>
      <c r="D26" s="232"/>
      <c r="E26" s="232">
        <v>53000</v>
      </c>
      <c r="F26" s="232">
        <v>54500</v>
      </c>
      <c r="G26" s="232">
        <v>56000</v>
      </c>
      <c r="H26" s="232">
        <v>57500</v>
      </c>
      <c r="I26" s="232">
        <v>59000</v>
      </c>
      <c r="J26" s="259"/>
    </row>
    <row r="27" spans="2:10" x14ac:dyDescent="0.35">
      <c r="B27" s="237" t="s">
        <v>419</v>
      </c>
      <c r="C27" s="238" t="s">
        <v>157</v>
      </c>
      <c r="D27" s="232"/>
      <c r="E27" s="232">
        <v>53000</v>
      </c>
      <c r="F27" s="232">
        <v>54500</v>
      </c>
      <c r="G27" s="232">
        <v>56000</v>
      </c>
      <c r="H27" s="232">
        <v>57500</v>
      </c>
      <c r="I27" s="232">
        <v>59000</v>
      </c>
      <c r="J27" s="259"/>
    </row>
    <row r="28" spans="2:10" x14ac:dyDescent="0.35">
      <c r="B28" s="237" t="s">
        <v>420</v>
      </c>
      <c r="C28" s="238" t="s">
        <v>157</v>
      </c>
      <c r="D28" s="232"/>
      <c r="E28" s="232"/>
      <c r="F28" s="232">
        <v>54500</v>
      </c>
      <c r="G28" s="232">
        <v>56000</v>
      </c>
      <c r="H28" s="232">
        <v>57500</v>
      </c>
      <c r="I28" s="232">
        <v>59000</v>
      </c>
      <c r="J28" s="259"/>
    </row>
    <row r="29" spans="2:10" x14ac:dyDescent="0.35">
      <c r="B29" s="237" t="s">
        <v>422</v>
      </c>
      <c r="C29" s="238" t="s">
        <v>157</v>
      </c>
      <c r="D29" s="232"/>
      <c r="E29" s="232"/>
      <c r="F29" s="232">
        <v>54500</v>
      </c>
      <c r="G29" s="232">
        <v>56000</v>
      </c>
      <c r="H29" s="232">
        <v>57500</v>
      </c>
      <c r="I29" s="232">
        <v>59000</v>
      </c>
      <c r="J29" s="259"/>
    </row>
    <row r="30" spans="2:10" x14ac:dyDescent="0.35">
      <c r="B30" s="237" t="s">
        <v>423</v>
      </c>
      <c r="C30" s="238" t="s">
        <v>157</v>
      </c>
      <c r="D30" s="232"/>
      <c r="E30" s="232"/>
      <c r="F30" s="232">
        <v>54500</v>
      </c>
      <c r="G30" s="232">
        <v>56000</v>
      </c>
      <c r="H30" s="232">
        <v>57500</v>
      </c>
      <c r="I30" s="232">
        <v>59000</v>
      </c>
      <c r="J30" s="259"/>
    </row>
    <row r="31" spans="2:10" x14ac:dyDescent="0.35">
      <c r="B31" s="237" t="s">
        <v>425</v>
      </c>
      <c r="C31" s="238" t="s">
        <v>157</v>
      </c>
      <c r="D31" s="232"/>
      <c r="E31" s="232"/>
      <c r="F31" s="232">
        <v>54500</v>
      </c>
      <c r="G31" s="232">
        <v>56000</v>
      </c>
      <c r="H31" s="232">
        <v>57500</v>
      </c>
      <c r="I31" s="232">
        <v>59000</v>
      </c>
      <c r="J31" s="259"/>
    </row>
    <row r="32" spans="2:10" x14ac:dyDescent="0.35">
      <c r="B32" s="237" t="s">
        <v>427</v>
      </c>
      <c r="C32" s="238" t="s">
        <v>157</v>
      </c>
      <c r="D32" s="232"/>
      <c r="E32" s="232"/>
      <c r="F32" s="232">
        <v>54500</v>
      </c>
      <c r="G32" s="232">
        <v>56000</v>
      </c>
      <c r="H32" s="232">
        <v>57500</v>
      </c>
      <c r="I32" s="232">
        <v>59000</v>
      </c>
      <c r="J32" s="259"/>
    </row>
    <row r="33" spans="2:10" x14ac:dyDescent="0.35">
      <c r="B33" s="237" t="s">
        <v>428</v>
      </c>
      <c r="C33" s="238" t="s">
        <v>157</v>
      </c>
      <c r="D33" s="232"/>
      <c r="E33" s="232"/>
      <c r="F33" s="232">
        <v>54500</v>
      </c>
      <c r="G33" s="232">
        <v>56000</v>
      </c>
      <c r="H33" s="232">
        <v>57500</v>
      </c>
      <c r="I33" s="232">
        <v>59000</v>
      </c>
      <c r="J33" s="259"/>
    </row>
    <row r="34" spans="2:10" x14ac:dyDescent="0.35">
      <c r="B34" s="237" t="s">
        <v>429</v>
      </c>
      <c r="C34" s="238" t="s">
        <v>157</v>
      </c>
      <c r="D34" s="232"/>
      <c r="E34" s="232"/>
      <c r="F34" s="232"/>
      <c r="G34" s="232">
        <v>56000</v>
      </c>
      <c r="H34" s="232">
        <v>57500</v>
      </c>
      <c r="I34" s="232">
        <v>59000</v>
      </c>
      <c r="J34" s="259"/>
    </row>
    <row r="35" spans="2:10" x14ac:dyDescent="0.35">
      <c r="B35" s="237" t="s">
        <v>421</v>
      </c>
      <c r="C35" s="238" t="s">
        <v>157</v>
      </c>
      <c r="D35" s="232"/>
      <c r="E35" s="232"/>
      <c r="F35" s="232"/>
      <c r="G35" s="232">
        <v>56000</v>
      </c>
      <c r="H35" s="232">
        <v>57500</v>
      </c>
      <c r="I35" s="232">
        <v>59000</v>
      </c>
      <c r="J35" s="259"/>
    </row>
    <row r="36" spans="2:10" x14ac:dyDescent="0.35">
      <c r="B36" s="237" t="s">
        <v>426</v>
      </c>
      <c r="C36" s="238" t="s">
        <v>157</v>
      </c>
      <c r="D36" s="232"/>
      <c r="E36" s="232"/>
      <c r="F36" s="232"/>
      <c r="G36" s="232">
        <v>56000</v>
      </c>
      <c r="H36" s="232">
        <v>57500</v>
      </c>
      <c r="I36" s="232">
        <v>59000</v>
      </c>
      <c r="J36" s="259"/>
    </row>
    <row r="37" spans="2:10" x14ac:dyDescent="0.35">
      <c r="B37" s="237" t="s">
        <v>430</v>
      </c>
      <c r="C37" s="238" t="s">
        <v>157</v>
      </c>
      <c r="D37" s="232"/>
      <c r="E37" s="232"/>
      <c r="F37" s="232"/>
      <c r="G37" s="232">
        <v>56000</v>
      </c>
      <c r="H37" s="232">
        <v>57500</v>
      </c>
      <c r="I37" s="232">
        <v>59000</v>
      </c>
      <c r="J37" s="259"/>
    </row>
    <row r="38" spans="2:10" x14ac:dyDescent="0.35">
      <c r="B38" s="237" t="s">
        <v>431</v>
      </c>
      <c r="C38" s="238" t="s">
        <v>157</v>
      </c>
      <c r="D38" s="232"/>
      <c r="E38" s="232"/>
      <c r="F38" s="232"/>
      <c r="G38" s="232">
        <v>56000</v>
      </c>
      <c r="H38" s="232">
        <v>57500</v>
      </c>
      <c r="I38" s="232">
        <v>59000</v>
      </c>
      <c r="J38" s="259"/>
    </row>
    <row r="39" spans="2:10" x14ac:dyDescent="0.35">
      <c r="B39" s="237" t="s">
        <v>432</v>
      </c>
      <c r="C39" s="238" t="s">
        <v>157</v>
      </c>
      <c r="D39" s="232"/>
      <c r="E39" s="232"/>
      <c r="F39" s="232"/>
      <c r="G39" s="232">
        <v>56000</v>
      </c>
      <c r="H39" s="232">
        <v>57500</v>
      </c>
      <c r="I39" s="232">
        <v>59000</v>
      </c>
      <c r="J39" s="259"/>
    </row>
    <row r="40" spans="2:10" x14ac:dyDescent="0.35">
      <c r="B40" s="237" t="s">
        <v>433</v>
      </c>
      <c r="C40" s="238" t="s">
        <v>157</v>
      </c>
      <c r="D40" s="232"/>
      <c r="E40" s="232"/>
      <c r="F40" s="232"/>
      <c r="G40" s="232">
        <v>56000</v>
      </c>
      <c r="H40" s="232">
        <v>57500</v>
      </c>
      <c r="I40" s="232">
        <v>59000</v>
      </c>
      <c r="J40" s="259"/>
    </row>
    <row r="41" spans="2:10" x14ac:dyDescent="0.35">
      <c r="B41" s="237" t="s">
        <v>434</v>
      </c>
      <c r="C41" s="238" t="s">
        <v>157</v>
      </c>
      <c r="D41" s="232"/>
      <c r="E41" s="232"/>
      <c r="F41" s="232"/>
      <c r="G41" s="232">
        <v>56000</v>
      </c>
      <c r="H41" s="232">
        <v>57500</v>
      </c>
      <c r="I41" s="232">
        <v>59000</v>
      </c>
      <c r="J41" s="259"/>
    </row>
    <row r="42" spans="2:10" x14ac:dyDescent="0.35">
      <c r="B42" s="237" t="s">
        <v>435</v>
      </c>
      <c r="C42" s="238" t="s">
        <v>157</v>
      </c>
      <c r="D42" s="232"/>
      <c r="E42" s="232"/>
      <c r="F42" s="232"/>
      <c r="G42" s="232"/>
      <c r="H42" s="232">
        <v>57500</v>
      </c>
      <c r="I42" s="232">
        <v>59000</v>
      </c>
      <c r="J42" s="259"/>
    </row>
    <row r="43" spans="2:10" x14ac:dyDescent="0.35">
      <c r="B43" s="237" t="s">
        <v>436</v>
      </c>
      <c r="C43" s="238" t="s">
        <v>157</v>
      </c>
      <c r="D43" s="232"/>
      <c r="E43" s="232"/>
      <c r="F43" s="232"/>
      <c r="G43" s="232"/>
      <c r="H43" s="232">
        <v>57500</v>
      </c>
      <c r="I43" s="232">
        <v>59000</v>
      </c>
      <c r="J43" s="259"/>
    </row>
    <row r="44" spans="2:10" x14ac:dyDescent="0.35">
      <c r="B44" s="237" t="s">
        <v>437</v>
      </c>
      <c r="C44" s="238" t="s">
        <v>157</v>
      </c>
      <c r="D44" s="232"/>
      <c r="E44" s="232"/>
      <c r="F44" s="232"/>
      <c r="G44" s="232"/>
      <c r="H44" s="232">
        <v>57500</v>
      </c>
      <c r="I44" s="232">
        <v>59000</v>
      </c>
      <c r="J44" s="259"/>
    </row>
    <row r="45" spans="2:10" x14ac:dyDescent="0.35">
      <c r="B45" s="237" t="s">
        <v>438</v>
      </c>
      <c r="C45" s="238" t="s">
        <v>157</v>
      </c>
      <c r="D45" s="232"/>
      <c r="E45" s="232"/>
      <c r="F45" s="232"/>
      <c r="G45" s="232"/>
      <c r="H45" s="232">
        <v>57500</v>
      </c>
      <c r="I45" s="232">
        <v>59000</v>
      </c>
      <c r="J45" s="259"/>
    </row>
    <row r="46" spans="2:10" x14ac:dyDescent="0.35">
      <c r="B46" s="237" t="s">
        <v>439</v>
      </c>
      <c r="C46" s="238" t="s">
        <v>157</v>
      </c>
      <c r="D46" s="232"/>
      <c r="E46" s="232"/>
      <c r="F46" s="232"/>
      <c r="G46" s="232"/>
      <c r="H46" s="232">
        <v>57500</v>
      </c>
      <c r="I46" s="232">
        <v>59000</v>
      </c>
      <c r="J46" s="259"/>
    </row>
    <row r="47" spans="2:10" x14ac:dyDescent="0.35">
      <c r="B47" s="237" t="s">
        <v>424</v>
      </c>
      <c r="C47" s="238" t="s">
        <v>157</v>
      </c>
      <c r="D47" s="232"/>
      <c r="E47" s="232"/>
      <c r="F47" s="232"/>
      <c r="G47" s="232"/>
      <c r="H47" s="232">
        <v>57500</v>
      </c>
      <c r="I47" s="232">
        <v>59000</v>
      </c>
      <c r="J47" s="259"/>
    </row>
    <row r="48" spans="2:10" x14ac:dyDescent="0.35">
      <c r="B48" s="237"/>
      <c r="C48" s="238"/>
      <c r="D48" s="232"/>
      <c r="E48" s="232"/>
      <c r="F48" s="232"/>
      <c r="G48" s="232"/>
      <c r="H48" s="232"/>
      <c r="I48" s="232"/>
      <c r="J48" s="259"/>
    </row>
    <row r="49" spans="2:10" x14ac:dyDescent="0.35">
      <c r="B49" s="237"/>
      <c r="C49" s="238"/>
      <c r="D49" s="232"/>
      <c r="E49" s="232"/>
      <c r="F49" s="232"/>
      <c r="G49" s="232"/>
      <c r="H49" s="232"/>
      <c r="I49" s="232"/>
      <c r="J49" s="259"/>
    </row>
    <row r="50" spans="2:10" x14ac:dyDescent="0.35">
      <c r="B50" s="237"/>
      <c r="C50" s="238"/>
      <c r="D50" s="232"/>
      <c r="E50" s="232"/>
      <c r="F50" s="232"/>
      <c r="G50" s="232"/>
      <c r="H50" s="232"/>
      <c r="I50" s="232"/>
      <c r="J50" s="259"/>
    </row>
    <row r="51" spans="2:10" x14ac:dyDescent="0.35">
      <c r="B51" s="237"/>
      <c r="C51" s="238"/>
      <c r="D51" s="232"/>
      <c r="E51" s="232"/>
      <c r="F51" s="232"/>
      <c r="G51" s="232"/>
      <c r="H51" s="232"/>
      <c r="I51" s="232"/>
      <c r="J51" s="259"/>
    </row>
    <row r="52" spans="2:10" x14ac:dyDescent="0.35">
      <c r="B52" s="93" t="s">
        <v>164</v>
      </c>
      <c r="C52" s="1"/>
      <c r="D52" s="76"/>
      <c r="E52" s="76"/>
      <c r="F52" s="76"/>
      <c r="G52" s="76"/>
      <c r="H52" s="76"/>
      <c r="I52" s="76"/>
      <c r="J52" s="259"/>
    </row>
    <row r="53" spans="2:10" ht="24.5" x14ac:dyDescent="0.35">
      <c r="B53" s="237" t="s">
        <v>440</v>
      </c>
      <c r="C53" s="238" t="s">
        <v>157</v>
      </c>
      <c r="D53" s="232"/>
      <c r="E53" s="232">
        <v>53000</v>
      </c>
      <c r="F53" s="232">
        <v>54500</v>
      </c>
      <c r="G53" s="232">
        <v>56000</v>
      </c>
      <c r="H53" s="232">
        <v>57500</v>
      </c>
      <c r="I53" s="232">
        <v>59000</v>
      </c>
      <c r="J53" s="259" t="s">
        <v>387</v>
      </c>
    </row>
    <row r="54" spans="2:10" x14ac:dyDescent="0.35">
      <c r="B54" s="237" t="s">
        <v>441</v>
      </c>
      <c r="C54" s="238" t="s">
        <v>157</v>
      </c>
      <c r="D54" s="232"/>
      <c r="E54" s="232">
        <v>53000</v>
      </c>
      <c r="F54" s="232">
        <v>54500</v>
      </c>
      <c r="G54" s="232">
        <v>56000</v>
      </c>
      <c r="H54" s="232">
        <v>57500</v>
      </c>
      <c r="I54" s="232">
        <v>59000</v>
      </c>
      <c r="J54" s="259"/>
    </row>
    <row r="55" spans="2:10" x14ac:dyDescent="0.35">
      <c r="B55" s="237" t="s">
        <v>442</v>
      </c>
      <c r="C55" s="238" t="s">
        <v>157</v>
      </c>
      <c r="D55" s="232"/>
      <c r="E55" s="232"/>
      <c r="F55" s="232">
        <v>54500</v>
      </c>
      <c r="G55" s="232">
        <v>56000</v>
      </c>
      <c r="H55" s="232">
        <v>57500</v>
      </c>
      <c r="I55" s="232">
        <v>59000</v>
      </c>
      <c r="J55" s="259"/>
    </row>
    <row r="56" spans="2:10" x14ac:dyDescent="0.35">
      <c r="B56" s="237" t="s">
        <v>443</v>
      </c>
      <c r="C56" s="238" t="s">
        <v>157</v>
      </c>
      <c r="D56" s="232"/>
      <c r="E56" s="232"/>
      <c r="F56" s="232"/>
      <c r="G56" s="232">
        <v>56000</v>
      </c>
      <c r="H56" s="232">
        <v>57500</v>
      </c>
      <c r="I56" s="232">
        <v>59000</v>
      </c>
      <c r="J56" s="259"/>
    </row>
    <row r="57" spans="2:10" x14ac:dyDescent="0.35">
      <c r="B57" s="237" t="s">
        <v>444</v>
      </c>
      <c r="C57" s="238" t="s">
        <v>157</v>
      </c>
      <c r="D57" s="232"/>
      <c r="E57" s="232"/>
      <c r="F57" s="232"/>
      <c r="G57" s="232"/>
      <c r="H57" s="232">
        <v>57500</v>
      </c>
      <c r="I57" s="232">
        <v>59000</v>
      </c>
      <c r="J57" s="259"/>
    </row>
    <row r="58" spans="2:10" x14ac:dyDescent="0.35">
      <c r="B58" s="237" t="s">
        <v>445</v>
      </c>
      <c r="C58" s="238" t="s">
        <v>157</v>
      </c>
      <c r="D58" s="232"/>
      <c r="E58" s="232"/>
      <c r="F58" s="232"/>
      <c r="G58" s="232">
        <v>56000</v>
      </c>
      <c r="H58" s="232">
        <v>57500</v>
      </c>
      <c r="I58" s="232">
        <v>59000</v>
      </c>
      <c r="J58" s="259"/>
    </row>
    <row r="59" spans="2:10" x14ac:dyDescent="0.35">
      <c r="B59" s="237"/>
      <c r="C59" s="238"/>
      <c r="D59" s="232"/>
      <c r="E59" s="232"/>
      <c r="F59" s="232"/>
      <c r="G59" s="232"/>
      <c r="H59" s="232"/>
      <c r="I59" s="232"/>
      <c r="J59" s="259"/>
    </row>
    <row r="60" spans="2:10" x14ac:dyDescent="0.35">
      <c r="B60" s="237"/>
      <c r="C60" s="238"/>
      <c r="D60" s="232"/>
      <c r="E60" s="232"/>
      <c r="F60" s="232"/>
      <c r="G60" s="232"/>
      <c r="H60" s="232"/>
      <c r="I60" s="232"/>
      <c r="J60" s="259"/>
    </row>
    <row r="61" spans="2:10" x14ac:dyDescent="0.35">
      <c r="B61" s="237"/>
      <c r="C61" s="238"/>
      <c r="D61" s="232"/>
      <c r="E61" s="232"/>
      <c r="F61" s="232"/>
      <c r="G61" s="232"/>
      <c r="H61" s="232"/>
      <c r="I61" s="232"/>
      <c r="J61" s="259"/>
    </row>
    <row r="62" spans="2:10" x14ac:dyDescent="0.35">
      <c r="B62" s="237"/>
      <c r="C62" s="238"/>
      <c r="D62" s="232"/>
      <c r="E62" s="232"/>
      <c r="F62" s="232"/>
      <c r="G62" s="232"/>
      <c r="H62" s="232"/>
      <c r="I62" s="232"/>
      <c r="J62" s="259"/>
    </row>
    <row r="63" spans="2:10" x14ac:dyDescent="0.35">
      <c r="B63" s="237"/>
      <c r="C63" s="238"/>
      <c r="D63" s="232"/>
      <c r="E63" s="232"/>
      <c r="F63" s="232"/>
      <c r="G63" s="232"/>
      <c r="H63" s="232"/>
      <c r="I63" s="232"/>
      <c r="J63" s="259"/>
    </row>
    <row r="64" spans="2:10" x14ac:dyDescent="0.35">
      <c r="B64" s="237"/>
      <c r="C64" s="238"/>
      <c r="D64" s="232"/>
      <c r="E64" s="232"/>
      <c r="F64" s="232"/>
      <c r="G64" s="232"/>
      <c r="H64" s="232"/>
      <c r="I64" s="232"/>
      <c r="J64" s="259"/>
    </row>
    <row r="65" spans="2:10" x14ac:dyDescent="0.35">
      <c r="B65" s="93" t="s">
        <v>162</v>
      </c>
      <c r="C65" s="1"/>
      <c r="D65" s="76"/>
      <c r="E65" s="76"/>
      <c r="F65" s="76"/>
      <c r="G65" s="76"/>
      <c r="H65" s="76"/>
      <c r="I65" s="76"/>
      <c r="J65" s="259"/>
    </row>
    <row r="66" spans="2:10" ht="24.5" x14ac:dyDescent="0.35">
      <c r="B66" s="237" t="s">
        <v>446</v>
      </c>
      <c r="C66" s="238" t="s">
        <v>157</v>
      </c>
      <c r="D66" s="232"/>
      <c r="E66" s="232">
        <v>35000</v>
      </c>
      <c r="F66" s="232">
        <v>36500</v>
      </c>
      <c r="G66" s="232">
        <v>38000</v>
      </c>
      <c r="H66" s="232">
        <v>40000</v>
      </c>
      <c r="I66" s="232">
        <v>40000</v>
      </c>
      <c r="J66" s="259" t="s">
        <v>388</v>
      </c>
    </row>
    <row r="67" spans="2:10" x14ac:dyDescent="0.35">
      <c r="B67" s="237" t="s">
        <v>380</v>
      </c>
      <c r="C67" s="238" t="s">
        <v>157</v>
      </c>
      <c r="D67" s="232"/>
      <c r="E67" s="232">
        <v>35000</v>
      </c>
      <c r="F67" s="232">
        <v>36500</v>
      </c>
      <c r="G67" s="232">
        <v>38000</v>
      </c>
      <c r="H67" s="232">
        <v>40000</v>
      </c>
      <c r="I67" s="232">
        <v>40000</v>
      </c>
      <c r="J67" s="259"/>
    </row>
    <row r="68" spans="2:10" x14ac:dyDescent="0.35">
      <c r="B68" s="237" t="s">
        <v>447</v>
      </c>
      <c r="C68" s="238" t="s">
        <v>157</v>
      </c>
      <c r="D68" s="232"/>
      <c r="E68" s="232"/>
      <c r="F68" s="232"/>
      <c r="G68" s="232">
        <v>38000</v>
      </c>
      <c r="H68" s="232">
        <v>40000</v>
      </c>
      <c r="I68" s="232">
        <v>40000</v>
      </c>
      <c r="J68" s="259"/>
    </row>
    <row r="69" spans="2:10" x14ac:dyDescent="0.35">
      <c r="B69" s="237"/>
      <c r="C69" s="238"/>
      <c r="D69" s="232"/>
      <c r="E69" s="232"/>
      <c r="F69" s="232"/>
      <c r="G69" s="232"/>
      <c r="H69" s="232"/>
      <c r="I69" s="232"/>
      <c r="J69" s="259"/>
    </row>
    <row r="70" spans="2:10" x14ac:dyDescent="0.35">
      <c r="B70" s="237"/>
      <c r="C70" s="238"/>
      <c r="D70" s="232"/>
      <c r="E70" s="232"/>
      <c r="F70" s="232"/>
      <c r="G70" s="232"/>
      <c r="H70" s="232"/>
      <c r="I70" s="232"/>
      <c r="J70" s="259"/>
    </row>
    <row r="71" spans="2:10" x14ac:dyDescent="0.35">
      <c r="B71" s="237"/>
      <c r="C71" s="238"/>
      <c r="D71" s="232"/>
      <c r="E71" s="232"/>
      <c r="F71" s="232"/>
      <c r="G71" s="232"/>
      <c r="H71" s="232"/>
      <c r="I71" s="232"/>
      <c r="J71" s="259"/>
    </row>
    <row r="72" spans="2:10" x14ac:dyDescent="0.35">
      <c r="B72" s="237"/>
      <c r="C72" s="238"/>
      <c r="D72" s="232"/>
      <c r="E72" s="232"/>
      <c r="F72" s="232"/>
      <c r="G72" s="232"/>
      <c r="H72" s="232"/>
      <c r="I72" s="232"/>
      <c r="J72" s="259"/>
    </row>
    <row r="73" spans="2:10" x14ac:dyDescent="0.35">
      <c r="B73" s="237"/>
      <c r="C73" s="238"/>
      <c r="D73" s="232"/>
      <c r="E73" s="232"/>
      <c r="F73" s="232"/>
      <c r="G73" s="232"/>
      <c r="H73" s="232"/>
      <c r="I73" s="232"/>
      <c r="J73" s="259"/>
    </row>
    <row r="74" spans="2:10" x14ac:dyDescent="0.35">
      <c r="B74" s="237"/>
      <c r="C74" s="238"/>
      <c r="D74" s="232"/>
      <c r="E74" s="232"/>
      <c r="F74" s="232"/>
      <c r="G74" s="232"/>
      <c r="H74" s="232"/>
      <c r="I74" s="232"/>
      <c r="J74" s="259"/>
    </row>
    <row r="75" spans="2:10" x14ac:dyDescent="0.35">
      <c r="B75" s="237"/>
      <c r="C75" s="238"/>
      <c r="D75" s="232"/>
      <c r="E75" s="232"/>
      <c r="F75" s="232"/>
      <c r="G75" s="232"/>
      <c r="H75" s="232"/>
      <c r="I75" s="232"/>
      <c r="J75" s="259"/>
    </row>
    <row r="76" spans="2:10" x14ac:dyDescent="0.35">
      <c r="B76" s="237"/>
      <c r="C76" s="238"/>
      <c r="D76" s="232"/>
      <c r="E76" s="232"/>
      <c r="F76" s="232"/>
      <c r="G76" s="232"/>
      <c r="H76" s="232"/>
      <c r="I76" s="232"/>
      <c r="J76" s="259"/>
    </row>
    <row r="77" spans="2:10" x14ac:dyDescent="0.35">
      <c r="B77" s="237"/>
      <c r="C77" s="238"/>
      <c r="D77" s="232"/>
      <c r="E77" s="232"/>
      <c r="F77" s="232"/>
      <c r="G77" s="232"/>
      <c r="H77" s="232"/>
      <c r="I77" s="232"/>
      <c r="J77" s="259"/>
    </row>
    <row r="78" spans="2:10" x14ac:dyDescent="0.35">
      <c r="B78" s="237"/>
      <c r="C78" s="238"/>
      <c r="D78" s="232"/>
      <c r="E78" s="232"/>
      <c r="F78" s="232"/>
      <c r="G78" s="232"/>
      <c r="H78" s="232"/>
      <c r="I78" s="232"/>
      <c r="J78" s="259"/>
    </row>
    <row r="79" spans="2:10" x14ac:dyDescent="0.35">
      <c r="B79" s="237"/>
      <c r="C79" s="238"/>
      <c r="D79" s="232"/>
      <c r="E79" s="232"/>
      <c r="F79" s="232"/>
      <c r="G79" s="232"/>
      <c r="H79" s="232"/>
      <c r="I79" s="232"/>
      <c r="J79" s="259"/>
    </row>
    <row r="80" spans="2:10" x14ac:dyDescent="0.35">
      <c r="B80" s="237"/>
      <c r="C80" s="238"/>
      <c r="D80" s="232"/>
      <c r="E80" s="232"/>
      <c r="F80" s="232"/>
      <c r="G80" s="232"/>
      <c r="H80" s="232"/>
      <c r="I80" s="232"/>
      <c r="J80" s="259"/>
    </row>
    <row r="81" spans="2:10" x14ac:dyDescent="0.35">
      <c r="B81" s="237"/>
      <c r="C81" s="238"/>
      <c r="D81" s="232"/>
      <c r="E81" s="232"/>
      <c r="F81" s="232"/>
      <c r="G81" s="232"/>
      <c r="H81" s="232"/>
      <c r="I81" s="232"/>
      <c r="J81" s="259"/>
    </row>
    <row r="82" spans="2:10" x14ac:dyDescent="0.35">
      <c r="B82" s="237"/>
      <c r="C82" s="238"/>
      <c r="D82" s="232"/>
      <c r="E82" s="232"/>
      <c r="F82" s="232"/>
      <c r="G82" s="232"/>
      <c r="H82" s="232"/>
      <c r="I82" s="232"/>
      <c r="J82" s="259"/>
    </row>
    <row r="83" spans="2:10" x14ac:dyDescent="0.35">
      <c r="B83" s="237"/>
      <c r="C83" s="238"/>
      <c r="D83" s="232"/>
      <c r="E83" s="232"/>
      <c r="F83" s="232"/>
      <c r="G83" s="232"/>
      <c r="H83" s="232"/>
      <c r="I83" s="232"/>
      <c r="J83" s="259"/>
    </row>
    <row r="84" spans="2:10" x14ac:dyDescent="0.35">
      <c r="B84" s="237"/>
      <c r="C84" s="238"/>
      <c r="D84" s="232"/>
      <c r="E84" s="232"/>
      <c r="F84" s="232"/>
      <c r="G84" s="232"/>
      <c r="H84" s="232"/>
      <c r="I84" s="232"/>
      <c r="J84" s="259"/>
    </row>
    <row r="85" spans="2:10" x14ac:dyDescent="0.35">
      <c r="B85" s="237"/>
      <c r="C85" s="238"/>
      <c r="D85" s="232"/>
      <c r="E85" s="232"/>
      <c r="F85" s="232"/>
      <c r="G85" s="232"/>
      <c r="H85" s="232"/>
      <c r="I85" s="232"/>
      <c r="J85" s="259"/>
    </row>
    <row r="86" spans="2:10" x14ac:dyDescent="0.35">
      <c r="B86" s="237"/>
      <c r="C86" s="238"/>
      <c r="D86" s="232"/>
      <c r="E86" s="232"/>
      <c r="F86" s="232"/>
      <c r="G86" s="232"/>
      <c r="H86" s="232"/>
      <c r="I86" s="232"/>
      <c r="J86" s="259"/>
    </row>
    <row r="87" spans="2:10" x14ac:dyDescent="0.35">
      <c r="B87" s="237"/>
      <c r="C87" s="238"/>
      <c r="D87" s="232"/>
      <c r="E87" s="232"/>
      <c r="F87" s="232"/>
      <c r="G87" s="232"/>
      <c r="H87" s="232"/>
      <c r="I87" s="232"/>
      <c r="J87" s="259"/>
    </row>
    <row r="88" spans="2:10" x14ac:dyDescent="0.35">
      <c r="B88" s="93" t="s">
        <v>159</v>
      </c>
      <c r="C88" s="1"/>
      <c r="D88" s="76"/>
      <c r="E88" s="76"/>
      <c r="F88" s="76"/>
      <c r="G88" s="76"/>
      <c r="H88" s="76"/>
      <c r="I88" s="76"/>
      <c r="J88" s="259"/>
    </row>
    <row r="89" spans="2:10" ht="24.5" x14ac:dyDescent="0.35">
      <c r="B89" s="237" t="s">
        <v>383</v>
      </c>
      <c r="C89" s="238" t="s">
        <v>157</v>
      </c>
      <c r="D89" s="232"/>
      <c r="E89" s="232">
        <v>53000</v>
      </c>
      <c r="F89" s="232">
        <v>54500</v>
      </c>
      <c r="G89" s="232">
        <v>56000</v>
      </c>
      <c r="H89" s="232">
        <v>57500</v>
      </c>
      <c r="I89" s="232">
        <v>59000</v>
      </c>
      <c r="J89" s="259" t="s">
        <v>389</v>
      </c>
    </row>
    <row r="90" spans="2:10" ht="24.5" x14ac:dyDescent="0.35">
      <c r="B90" s="237" t="s">
        <v>450</v>
      </c>
      <c r="C90" s="238" t="s">
        <v>157</v>
      </c>
      <c r="D90" s="232"/>
      <c r="E90" s="232">
        <v>35000</v>
      </c>
      <c r="F90" s="232">
        <v>36500</v>
      </c>
      <c r="G90" s="232">
        <v>38000</v>
      </c>
      <c r="H90" s="232">
        <v>40000</v>
      </c>
      <c r="I90" s="232">
        <v>40000</v>
      </c>
      <c r="J90" s="259" t="s">
        <v>390</v>
      </c>
    </row>
    <row r="91" spans="2:10" x14ac:dyDescent="0.35">
      <c r="B91" s="237" t="s">
        <v>451</v>
      </c>
      <c r="C91" s="238" t="s">
        <v>157</v>
      </c>
      <c r="D91" s="232"/>
      <c r="E91" s="232">
        <v>35000</v>
      </c>
      <c r="F91" s="232">
        <v>36500</v>
      </c>
      <c r="G91" s="232">
        <v>38000</v>
      </c>
      <c r="H91" s="232">
        <v>40000</v>
      </c>
      <c r="I91" s="232">
        <v>40000</v>
      </c>
      <c r="J91" s="259"/>
    </row>
    <row r="92" spans="2:10" x14ac:dyDescent="0.35">
      <c r="B92" s="237" t="s">
        <v>452</v>
      </c>
      <c r="C92" s="238" t="s">
        <v>157</v>
      </c>
      <c r="D92" s="232"/>
      <c r="E92" s="232"/>
      <c r="F92" s="232"/>
      <c r="G92" s="232"/>
      <c r="H92" s="232">
        <v>40000</v>
      </c>
      <c r="I92" s="232">
        <v>40000</v>
      </c>
      <c r="J92" s="259"/>
    </row>
    <row r="93" spans="2:10" ht="24.5" x14ac:dyDescent="0.35">
      <c r="B93" s="237" t="s">
        <v>448</v>
      </c>
      <c r="C93" s="238" t="s">
        <v>157</v>
      </c>
      <c r="D93" s="232"/>
      <c r="E93" s="232"/>
      <c r="F93" s="232">
        <v>45000</v>
      </c>
      <c r="G93" s="232">
        <v>47000</v>
      </c>
      <c r="H93" s="232">
        <v>49000</v>
      </c>
      <c r="I93" s="232">
        <v>51000</v>
      </c>
      <c r="J93" s="259" t="s">
        <v>389</v>
      </c>
    </row>
    <row r="94" spans="2:10" x14ac:dyDescent="0.35">
      <c r="B94" s="237" t="s">
        <v>385</v>
      </c>
      <c r="C94" s="238" t="s">
        <v>158</v>
      </c>
      <c r="D94" s="232"/>
      <c r="E94" s="232"/>
      <c r="F94" s="232"/>
      <c r="G94" s="232">
        <v>22000</v>
      </c>
      <c r="H94" s="232"/>
      <c r="I94" s="232"/>
      <c r="J94" s="259"/>
    </row>
    <row r="95" spans="2:10" x14ac:dyDescent="0.35">
      <c r="B95" s="237" t="s">
        <v>449</v>
      </c>
      <c r="C95" s="238" t="s">
        <v>157</v>
      </c>
      <c r="D95" s="232"/>
      <c r="E95" s="232"/>
      <c r="F95" s="232"/>
      <c r="G95" s="232">
        <v>47000</v>
      </c>
      <c r="H95" s="232">
        <v>49000</v>
      </c>
      <c r="I95" s="232">
        <v>51000</v>
      </c>
      <c r="J95" s="259"/>
    </row>
    <row r="96" spans="2:10" x14ac:dyDescent="0.35">
      <c r="B96" s="237" t="s">
        <v>385</v>
      </c>
      <c r="C96" s="238" t="s">
        <v>157</v>
      </c>
      <c r="D96" s="232"/>
      <c r="E96" s="232"/>
      <c r="F96" s="232"/>
      <c r="G96" s="232"/>
      <c r="H96" s="232">
        <v>46500</v>
      </c>
      <c r="I96" s="232">
        <v>48000</v>
      </c>
      <c r="J96" s="259"/>
    </row>
    <row r="97" spans="2:10" x14ac:dyDescent="0.35">
      <c r="B97" s="93" t="s">
        <v>166</v>
      </c>
      <c r="C97" s="1"/>
      <c r="D97" s="76"/>
      <c r="E97" s="76"/>
      <c r="F97" s="76"/>
      <c r="G97" s="76"/>
      <c r="H97" s="76"/>
      <c r="I97" s="76"/>
      <c r="J97" s="259"/>
    </row>
    <row r="98" spans="2:10" ht="24.5" x14ac:dyDescent="0.35">
      <c r="B98" s="237" t="s">
        <v>381</v>
      </c>
      <c r="C98" s="238" t="s">
        <v>157</v>
      </c>
      <c r="D98" s="232">
        <v>105000</v>
      </c>
      <c r="E98" s="232">
        <v>105000</v>
      </c>
      <c r="F98" s="232">
        <v>110000</v>
      </c>
      <c r="G98" s="232">
        <v>112000</v>
      </c>
      <c r="H98" s="232">
        <v>115000</v>
      </c>
      <c r="I98" s="232">
        <v>117500</v>
      </c>
      <c r="J98" s="259" t="s">
        <v>458</v>
      </c>
    </row>
    <row r="99" spans="2:10" x14ac:dyDescent="0.35">
      <c r="B99" s="237" t="s">
        <v>384</v>
      </c>
      <c r="C99" s="238" t="s">
        <v>157</v>
      </c>
      <c r="D99" s="232"/>
      <c r="E99" s="232">
        <v>115000</v>
      </c>
      <c r="F99" s="232"/>
      <c r="G99" s="232"/>
      <c r="H99" s="232"/>
      <c r="I99" s="232"/>
      <c r="J99" s="259" t="s">
        <v>523</v>
      </c>
    </row>
    <row r="100" spans="2:10" ht="24.5" x14ac:dyDescent="0.35">
      <c r="B100" s="237" t="s">
        <v>382</v>
      </c>
      <c r="C100" s="238" t="s">
        <v>157</v>
      </c>
      <c r="D100" s="232"/>
      <c r="E100" s="232">
        <v>65000</v>
      </c>
      <c r="F100" s="232">
        <v>67000</v>
      </c>
      <c r="G100" s="232">
        <v>69000</v>
      </c>
      <c r="H100" s="232">
        <v>71000</v>
      </c>
      <c r="I100" s="232">
        <v>73000</v>
      </c>
      <c r="J100" s="259" t="s">
        <v>392</v>
      </c>
    </row>
    <row r="101" spans="2:10" x14ac:dyDescent="0.35">
      <c r="B101" s="237" t="s">
        <v>455</v>
      </c>
      <c r="C101" s="238" t="s">
        <v>157</v>
      </c>
      <c r="D101" s="232"/>
      <c r="E101" s="232">
        <v>38000</v>
      </c>
      <c r="F101" s="232">
        <v>39500</v>
      </c>
      <c r="G101" s="232">
        <v>41000</v>
      </c>
      <c r="H101" s="232">
        <v>42000</v>
      </c>
      <c r="I101" s="232">
        <v>43000</v>
      </c>
      <c r="J101" s="259" t="s">
        <v>394</v>
      </c>
    </row>
    <row r="102" spans="2:10" x14ac:dyDescent="0.35">
      <c r="B102" s="237" t="s">
        <v>456</v>
      </c>
      <c r="C102" s="238" t="s">
        <v>157</v>
      </c>
      <c r="D102" s="232"/>
      <c r="E102" s="232"/>
      <c r="F102" s="232"/>
      <c r="G102" s="232">
        <v>41000</v>
      </c>
      <c r="H102" s="232">
        <v>42000</v>
      </c>
      <c r="I102" s="232">
        <v>43000</v>
      </c>
      <c r="J102" s="259"/>
    </row>
    <row r="103" spans="2:10" x14ac:dyDescent="0.35">
      <c r="B103" s="237" t="s">
        <v>453</v>
      </c>
      <c r="C103" s="238" t="s">
        <v>157</v>
      </c>
      <c r="D103" s="232"/>
      <c r="E103" s="232"/>
      <c r="F103" s="232">
        <v>70000</v>
      </c>
      <c r="G103" s="232">
        <v>72000</v>
      </c>
      <c r="H103" s="232">
        <v>75000</v>
      </c>
      <c r="I103" s="232">
        <v>77000</v>
      </c>
      <c r="J103" s="259" t="s">
        <v>391</v>
      </c>
    </row>
    <row r="104" spans="2:10" x14ac:dyDescent="0.35">
      <c r="B104" s="237" t="s">
        <v>454</v>
      </c>
      <c r="C104" s="238" t="s">
        <v>157</v>
      </c>
      <c r="D104" s="232"/>
      <c r="E104" s="232"/>
      <c r="F104" s="232"/>
      <c r="G104" s="232">
        <v>72000</v>
      </c>
      <c r="H104" s="232">
        <v>75000</v>
      </c>
      <c r="I104" s="232">
        <v>77000</v>
      </c>
      <c r="J104" s="259"/>
    </row>
    <row r="105" spans="2:10" ht="24.5" x14ac:dyDescent="0.35">
      <c r="B105" s="237" t="s">
        <v>457</v>
      </c>
      <c r="C105" s="238" t="s">
        <v>157</v>
      </c>
      <c r="D105" s="232"/>
      <c r="E105" s="232"/>
      <c r="F105" s="232"/>
      <c r="G105" s="232">
        <v>52000</v>
      </c>
      <c r="H105" s="232">
        <v>54000</v>
      </c>
      <c r="I105" s="232">
        <v>56000</v>
      </c>
      <c r="J105" s="259" t="s">
        <v>393</v>
      </c>
    </row>
    <row r="106" spans="2:10" x14ac:dyDescent="0.35">
      <c r="B106" s="237"/>
      <c r="C106" s="238"/>
      <c r="D106" s="232"/>
      <c r="E106" s="232"/>
      <c r="F106" s="232"/>
      <c r="G106" s="232"/>
      <c r="H106" s="232"/>
      <c r="I106" s="232"/>
      <c r="J106" s="259"/>
    </row>
    <row r="107" spans="2:10" x14ac:dyDescent="0.35">
      <c r="B107" s="237"/>
      <c r="C107" s="238"/>
      <c r="D107" s="232"/>
      <c r="E107" s="232"/>
      <c r="F107" s="232"/>
      <c r="G107" s="232"/>
      <c r="H107" s="232"/>
      <c r="I107" s="232"/>
      <c r="J107" s="259"/>
    </row>
    <row r="108" spans="2:10" x14ac:dyDescent="0.35">
      <c r="B108" s="237"/>
      <c r="C108" s="238"/>
      <c r="D108" s="232"/>
      <c r="E108" s="232"/>
      <c r="F108" s="232"/>
      <c r="G108" s="232"/>
      <c r="H108" s="232"/>
      <c r="I108" s="232"/>
      <c r="J108" s="259"/>
    </row>
    <row r="109" spans="2:10" x14ac:dyDescent="0.35">
      <c r="B109" s="237"/>
      <c r="C109" s="238"/>
      <c r="D109" s="232"/>
      <c r="E109" s="232"/>
      <c r="F109" s="232"/>
      <c r="G109" s="232"/>
      <c r="H109" s="232"/>
      <c r="I109" s="232"/>
      <c r="J109" s="259"/>
    </row>
    <row r="110" spans="2:10" x14ac:dyDescent="0.35">
      <c r="B110" s="237"/>
      <c r="C110" s="238"/>
      <c r="D110" s="232"/>
      <c r="E110" s="232"/>
      <c r="F110" s="232"/>
      <c r="G110" s="232"/>
      <c r="H110" s="232"/>
      <c r="I110" s="232"/>
      <c r="J110" s="259"/>
    </row>
    <row r="111" spans="2:10" x14ac:dyDescent="0.35">
      <c r="B111" s="93" t="s">
        <v>160</v>
      </c>
      <c r="C111" s="1"/>
      <c r="D111" s="76"/>
      <c r="E111" s="76"/>
      <c r="F111" s="76"/>
      <c r="G111" s="76"/>
      <c r="H111" s="76"/>
      <c r="I111" s="76"/>
      <c r="J111" s="259"/>
    </row>
    <row r="112" spans="2:10" x14ac:dyDescent="0.35">
      <c r="B112" s="237"/>
      <c r="C112" s="238"/>
      <c r="D112" s="232"/>
      <c r="E112" s="232"/>
      <c r="F112" s="232"/>
      <c r="G112" s="232"/>
      <c r="H112" s="232"/>
      <c r="I112" s="232"/>
      <c r="J112" s="259"/>
    </row>
    <row r="113" spans="2:10" x14ac:dyDescent="0.35">
      <c r="B113" s="237"/>
      <c r="C113" s="238"/>
      <c r="D113" s="232"/>
      <c r="E113" s="232"/>
      <c r="F113" s="232"/>
      <c r="G113" s="232"/>
      <c r="H113" s="232"/>
      <c r="I113" s="232"/>
      <c r="J113" s="259"/>
    </row>
    <row r="114" spans="2:10" x14ac:dyDescent="0.35">
      <c r="B114" s="237"/>
      <c r="C114" s="238"/>
      <c r="D114" s="232"/>
      <c r="E114" s="232"/>
      <c r="F114" s="232"/>
      <c r="G114" s="232"/>
      <c r="H114" s="232"/>
      <c r="I114" s="232"/>
      <c r="J114" s="259"/>
    </row>
    <row r="115" spans="2:10" x14ac:dyDescent="0.35">
      <c r="B115" s="237"/>
      <c r="C115" s="238"/>
      <c r="D115" s="232"/>
      <c r="E115" s="232"/>
      <c r="F115" s="232"/>
      <c r="G115" s="232"/>
      <c r="H115" s="232"/>
      <c r="I115" s="232"/>
      <c r="J115" s="259"/>
    </row>
    <row r="116" spans="2:10" x14ac:dyDescent="0.35">
      <c r="B116" s="237"/>
      <c r="C116" s="238"/>
      <c r="D116" s="232"/>
      <c r="E116" s="232"/>
      <c r="F116" s="232"/>
      <c r="G116" s="232"/>
      <c r="H116" s="232"/>
      <c r="I116" s="232"/>
      <c r="J116" s="259"/>
    </row>
    <row r="117" spans="2:10" x14ac:dyDescent="0.35">
      <c r="B117" s="237"/>
      <c r="C117" s="238"/>
      <c r="D117" s="232"/>
      <c r="E117" s="232"/>
      <c r="F117" s="232"/>
      <c r="G117" s="232"/>
      <c r="H117" s="232"/>
      <c r="I117" s="232"/>
      <c r="J117" s="259"/>
    </row>
    <row r="118" spans="2:10" x14ac:dyDescent="0.35">
      <c r="B118" s="237"/>
      <c r="C118" s="238"/>
      <c r="D118" s="232"/>
      <c r="E118" s="232"/>
      <c r="F118" s="232"/>
      <c r="G118" s="232"/>
      <c r="H118" s="232"/>
      <c r="I118" s="232"/>
      <c r="J118" s="259"/>
    </row>
    <row r="119" spans="2:10" x14ac:dyDescent="0.35">
      <c r="B119" s="239"/>
      <c r="C119" s="240"/>
      <c r="D119" s="233"/>
      <c r="E119" s="233"/>
      <c r="F119" s="233"/>
      <c r="G119" s="233"/>
      <c r="H119" s="233"/>
      <c r="I119" s="233"/>
      <c r="J119" s="260"/>
    </row>
    <row r="120" spans="2:10" x14ac:dyDescent="0.35">
      <c r="B120" s="95"/>
      <c r="C120" s="164" t="s">
        <v>17</v>
      </c>
      <c r="D120" s="102">
        <f t="shared" ref="D120:I120" si="2">SUM(D23:D119)</f>
        <v>105000</v>
      </c>
      <c r="E120" s="102">
        <f t="shared" si="2"/>
        <v>887000</v>
      </c>
      <c r="F120" s="102">
        <f t="shared" si="2"/>
        <v>1295000</v>
      </c>
      <c r="G120" s="102">
        <f t="shared" si="2"/>
        <v>2165000</v>
      </c>
      <c r="H120" s="102">
        <f t="shared" si="2"/>
        <v>2698500</v>
      </c>
      <c r="I120" s="102">
        <f t="shared" si="2"/>
        <v>2764500</v>
      </c>
      <c r="J120" s="241"/>
    </row>
    <row r="121" spans="2:10" x14ac:dyDescent="0.35">
      <c r="C121" s="1"/>
      <c r="D121" s="57"/>
      <c r="E121" s="57"/>
      <c r="F121" s="57"/>
      <c r="G121" s="57"/>
      <c r="H121" s="57"/>
      <c r="I121" s="57"/>
      <c r="J121" s="114"/>
    </row>
    <row r="122" spans="2:10" ht="23" customHeight="1" x14ac:dyDescent="0.35">
      <c r="B122" s="97" t="s">
        <v>18</v>
      </c>
      <c r="C122" s="63"/>
      <c r="D122" s="103"/>
      <c r="E122" s="103"/>
      <c r="F122" s="103"/>
      <c r="G122" s="103"/>
      <c r="H122" s="103"/>
      <c r="I122" s="103"/>
      <c r="J122" s="115"/>
    </row>
    <row r="123" spans="2:10" x14ac:dyDescent="0.35">
      <c r="B123" s="94" t="s">
        <v>9</v>
      </c>
      <c r="C123" s="1" t="s">
        <v>14</v>
      </c>
      <c r="D123" s="104">
        <f t="shared" ref="D123:I123" si="3">(SUMIF($C$23:$C$119,"Full-time",D$23:D$119))*D12</f>
        <v>40425</v>
      </c>
      <c r="E123" s="104">
        <f t="shared" si="3"/>
        <v>341495</v>
      </c>
      <c r="F123" s="104">
        <f t="shared" si="3"/>
        <v>498575</v>
      </c>
      <c r="G123" s="104">
        <f t="shared" si="3"/>
        <v>825055</v>
      </c>
      <c r="H123" s="104">
        <f t="shared" si="3"/>
        <v>1038922.5</v>
      </c>
      <c r="I123" s="104">
        <f t="shared" si="3"/>
        <v>1064332.5</v>
      </c>
      <c r="J123" s="259"/>
    </row>
    <row r="124" spans="2:10" x14ac:dyDescent="0.35">
      <c r="B124" s="94" t="s">
        <v>10</v>
      </c>
      <c r="C124" s="1" t="s">
        <v>15</v>
      </c>
      <c r="D124" s="104">
        <f t="shared" ref="D124:I124" si="4">(SUMIF($C$23:$C$119,"Part-time",D$23:D$119))*D13</f>
        <v>0</v>
      </c>
      <c r="E124" s="104">
        <f t="shared" si="4"/>
        <v>0</v>
      </c>
      <c r="F124" s="104">
        <f t="shared" si="4"/>
        <v>0</v>
      </c>
      <c r="G124" s="104">
        <f t="shared" si="4"/>
        <v>1375</v>
      </c>
      <c r="H124" s="104">
        <f t="shared" si="4"/>
        <v>0</v>
      </c>
      <c r="I124" s="104">
        <f t="shared" si="4"/>
        <v>0</v>
      </c>
      <c r="J124" s="259"/>
    </row>
    <row r="125" spans="2:10" x14ac:dyDescent="0.35">
      <c r="B125" s="94" t="s">
        <v>11</v>
      </c>
      <c r="C125" s="1" t="s">
        <v>151</v>
      </c>
      <c r="D125" s="104">
        <f t="shared" ref="D125:I125" si="5">D120*D14</f>
        <v>1522.5</v>
      </c>
      <c r="E125" s="104">
        <f t="shared" si="5"/>
        <v>12861.5</v>
      </c>
      <c r="F125" s="104">
        <f t="shared" si="5"/>
        <v>18777.5</v>
      </c>
      <c r="G125" s="104">
        <f t="shared" si="5"/>
        <v>31392.5</v>
      </c>
      <c r="H125" s="104">
        <f t="shared" si="5"/>
        <v>39128.25</v>
      </c>
      <c r="I125" s="104">
        <f t="shared" si="5"/>
        <v>40085.25</v>
      </c>
      <c r="J125" s="259"/>
    </row>
    <row r="126" spans="2:10" x14ac:dyDescent="0.35">
      <c r="B126" s="94" t="s">
        <v>12</v>
      </c>
      <c r="C126" s="1" t="s">
        <v>14</v>
      </c>
      <c r="D126" s="104">
        <f t="shared" ref="D126:I126" si="6">(COUNTIFS($C$23:$C$119,"Full-time",D$23:D$119,"&lt;&gt;0",D$23:D$119,"&lt;&gt;"))*D15</f>
        <v>7500</v>
      </c>
      <c r="E126" s="104">
        <f t="shared" si="6"/>
        <v>120000</v>
      </c>
      <c r="F126" s="104">
        <f t="shared" si="6"/>
        <v>185400</v>
      </c>
      <c r="G126" s="104">
        <f t="shared" si="6"/>
        <v>310323</v>
      </c>
      <c r="H126" s="104">
        <f t="shared" si="6"/>
        <v>393408</v>
      </c>
      <c r="I126" s="104">
        <f t="shared" si="6"/>
        <v>405216</v>
      </c>
      <c r="J126" s="259"/>
    </row>
    <row r="127" spans="2:10" x14ac:dyDescent="0.35">
      <c r="B127" s="94" t="s">
        <v>149</v>
      </c>
      <c r="C127" s="1" t="s">
        <v>151</v>
      </c>
      <c r="D127" s="104">
        <f t="shared" ref="D127:I127" si="7">(COUNT(D22:D119))*36000*D16</f>
        <v>180</v>
      </c>
      <c r="E127" s="104">
        <f t="shared" si="7"/>
        <v>2880</v>
      </c>
      <c r="F127" s="104">
        <f t="shared" si="7"/>
        <v>4320</v>
      </c>
      <c r="G127" s="104">
        <f t="shared" si="7"/>
        <v>7200</v>
      </c>
      <c r="H127" s="104">
        <f t="shared" si="7"/>
        <v>8640</v>
      </c>
      <c r="I127" s="104">
        <f t="shared" si="7"/>
        <v>8640</v>
      </c>
      <c r="J127" s="259"/>
    </row>
    <row r="128" spans="2:10" x14ac:dyDescent="0.35">
      <c r="B128" s="94" t="s">
        <v>155</v>
      </c>
      <c r="C128" s="1" t="s">
        <v>151</v>
      </c>
      <c r="D128" s="104">
        <f t="shared" ref="D128:I128" si="8">(COUNT(D22:D119))*44000*D17</f>
        <v>1298</v>
      </c>
      <c r="E128" s="104">
        <f t="shared" si="8"/>
        <v>20768</v>
      </c>
      <c r="F128" s="104">
        <f t="shared" si="8"/>
        <v>15840</v>
      </c>
      <c r="G128" s="104">
        <f t="shared" si="8"/>
        <v>26400</v>
      </c>
      <c r="H128" s="104">
        <f t="shared" si="8"/>
        <v>31680</v>
      </c>
      <c r="I128" s="104">
        <f t="shared" si="8"/>
        <v>31680</v>
      </c>
      <c r="J128" s="259"/>
    </row>
    <row r="129" spans="2:10" ht="29" x14ac:dyDescent="0.35">
      <c r="B129" s="98" t="s">
        <v>13</v>
      </c>
      <c r="C129" s="6" t="s">
        <v>14</v>
      </c>
      <c r="D129" s="105">
        <f t="shared" ref="D129:I129" si="9">(SUMIF($C$23:$C$119,"Full-time",D$23:D$119))*D18</f>
        <v>525</v>
      </c>
      <c r="E129" s="105">
        <f t="shared" si="9"/>
        <v>4435</v>
      </c>
      <c r="F129" s="105">
        <f t="shared" si="9"/>
        <v>6475</v>
      </c>
      <c r="G129" s="105">
        <f t="shared" si="9"/>
        <v>10715</v>
      </c>
      <c r="H129" s="105">
        <f t="shared" si="9"/>
        <v>13492.5</v>
      </c>
      <c r="I129" s="105">
        <f t="shared" si="9"/>
        <v>13822.5</v>
      </c>
      <c r="J129" s="260"/>
    </row>
    <row r="130" spans="2:10" x14ac:dyDescent="0.35">
      <c r="B130" s="99"/>
      <c r="C130" s="164" t="s">
        <v>19</v>
      </c>
      <c r="D130" s="102">
        <f>SUM(D123:D129)</f>
        <v>51450.5</v>
      </c>
      <c r="E130" s="102">
        <f t="shared" ref="E130:I130" si="10">SUM(E123:E129)</f>
        <v>502439.5</v>
      </c>
      <c r="F130" s="102">
        <f t="shared" si="10"/>
        <v>729387.5</v>
      </c>
      <c r="G130" s="102">
        <f t="shared" si="10"/>
        <v>1212460.5</v>
      </c>
      <c r="H130" s="102">
        <f t="shared" si="10"/>
        <v>1525271.25</v>
      </c>
      <c r="I130" s="102">
        <f t="shared" si="10"/>
        <v>1563776.25</v>
      </c>
      <c r="J130" s="112"/>
    </row>
    <row r="131" spans="2:10" ht="15" thickBot="1" x14ac:dyDescent="0.4">
      <c r="B131" s="8"/>
      <c r="C131" s="9"/>
      <c r="D131" s="32"/>
      <c r="E131" s="32"/>
      <c r="F131" s="32"/>
      <c r="G131" s="32"/>
      <c r="H131" s="32"/>
      <c r="I131" s="32"/>
      <c r="J131" s="116"/>
    </row>
    <row r="132" spans="2:10" ht="19.25" customHeight="1" thickTop="1" x14ac:dyDescent="0.4">
      <c r="B132" s="11"/>
      <c r="C132" s="159" t="s">
        <v>161</v>
      </c>
      <c r="D132" s="160">
        <f t="shared" ref="D132:I132" si="11">D130+D120</f>
        <v>156450.5</v>
      </c>
      <c r="E132" s="160">
        <f t="shared" si="11"/>
        <v>1389439.5</v>
      </c>
      <c r="F132" s="160">
        <f t="shared" si="11"/>
        <v>2024387.5</v>
      </c>
      <c r="G132" s="160">
        <f t="shared" si="11"/>
        <v>3377460.5</v>
      </c>
      <c r="H132" s="160">
        <f t="shared" si="11"/>
        <v>4223771.25</v>
      </c>
      <c r="I132" s="160">
        <f t="shared" si="11"/>
        <v>4328276.25</v>
      </c>
      <c r="J132" s="114"/>
    </row>
    <row r="133" spans="2:10" x14ac:dyDescent="0.35">
      <c r="C133" s="1"/>
      <c r="D133" s="29"/>
      <c r="E133" s="29"/>
      <c r="F133" s="29"/>
      <c r="G133" s="29"/>
      <c r="H133" s="29"/>
      <c r="I133" s="29"/>
      <c r="J133" s="114"/>
    </row>
    <row r="134" spans="2:10" x14ac:dyDescent="0.35">
      <c r="C134" s="118" t="s">
        <v>20</v>
      </c>
      <c r="D134" s="106">
        <f t="shared" ref="D134:I134" si="12">IFERROR((D120/D132),0)</f>
        <v>0.67113879469864268</v>
      </c>
      <c r="E134" s="106">
        <f t="shared" si="12"/>
        <v>0.63838691789027158</v>
      </c>
      <c r="F134" s="106">
        <f t="shared" si="12"/>
        <v>0.63969966224351815</v>
      </c>
      <c r="G134" s="106">
        <f t="shared" si="12"/>
        <v>0.64101415841872911</v>
      </c>
      <c r="H134" s="106">
        <f t="shared" si="12"/>
        <v>0.63888403047395148</v>
      </c>
      <c r="I134" s="106">
        <f t="shared" si="12"/>
        <v>0.63870692172201349</v>
      </c>
      <c r="J134" s="114"/>
    </row>
    <row r="135" spans="2:10" x14ac:dyDescent="0.35">
      <c r="C135" s="118" t="s">
        <v>21</v>
      </c>
      <c r="D135" s="106">
        <f t="shared" ref="D135:I135" si="13">IFERROR((D130/D132),0)</f>
        <v>0.32886120530135732</v>
      </c>
      <c r="E135" s="106">
        <f t="shared" si="13"/>
        <v>0.36161308210972842</v>
      </c>
      <c r="F135" s="106">
        <f t="shared" si="13"/>
        <v>0.3603003377564819</v>
      </c>
      <c r="G135" s="106">
        <f t="shared" si="13"/>
        <v>0.35898584158127089</v>
      </c>
      <c r="H135" s="106">
        <f t="shared" si="13"/>
        <v>0.36111596952604857</v>
      </c>
      <c r="I135" s="106">
        <f t="shared" si="13"/>
        <v>0.36129307827798651</v>
      </c>
      <c r="J135" s="114"/>
    </row>
    <row r="136" spans="2:10" x14ac:dyDescent="0.35">
      <c r="C136" s="118" t="s">
        <v>152</v>
      </c>
      <c r="D136" s="119"/>
      <c r="E136" s="120">
        <f>IFERROR(E132/E8,"-")</f>
        <v>9924.567857142858</v>
      </c>
      <c r="F136" s="120">
        <f>IFERROR(F132/F8,"-")</f>
        <v>7229.9553571428569</v>
      </c>
      <c r="G136" s="120">
        <f>IFERROR(G132/G8,"-")</f>
        <v>8041.5726190476189</v>
      </c>
      <c r="H136" s="120">
        <f>IFERROR(H132/H8,"-")</f>
        <v>7821.7986111111113</v>
      </c>
      <c r="I136" s="120">
        <f>IFERROR(I132/I8,"-")</f>
        <v>7593.4671052631575</v>
      </c>
      <c r="J136" s="114"/>
    </row>
    <row r="137" spans="2:10" x14ac:dyDescent="0.35">
      <c r="C137" s="118" t="s">
        <v>165</v>
      </c>
      <c r="D137" s="107"/>
      <c r="E137" s="121">
        <f>IFERROR(E8/(COUNTIFS(E23:E51,"&gt;0",$C23:$C51,"Full-time")),"-")</f>
        <v>28</v>
      </c>
      <c r="F137" s="121">
        <f>IFERROR(F8/(COUNTIFS(F23:F51,"&gt;0",$C23:$C51,"Full-time")),"-")</f>
        <v>25.454545454545453</v>
      </c>
      <c r="G137" s="121">
        <f>IFERROR(G8/(COUNTIFS(G23:G51,"&gt;0",$C23:$C51,"Full-time")),"-")</f>
        <v>22.105263157894736</v>
      </c>
      <c r="H137" s="121">
        <f>IFERROR(H8/(COUNTIFS(H23:H51,"&gt;0",$C23:$C51,"Full-time")),"-")</f>
        <v>21.6</v>
      </c>
      <c r="I137" s="121">
        <f>IFERROR(I8/(COUNTIFS(I23:I51,"&gt;0",$C23:$C51,"Full-time")),"-")</f>
        <v>22.8</v>
      </c>
      <c r="J137" s="114"/>
    </row>
    <row r="138" spans="2:10" x14ac:dyDescent="0.35">
      <c r="C138" s="1"/>
      <c r="D138" s="5"/>
      <c r="E138" s="5"/>
      <c r="F138" s="5"/>
      <c r="G138" s="5"/>
      <c r="H138" s="5"/>
      <c r="I138" s="5"/>
      <c r="J138" s="89"/>
    </row>
    <row r="139" spans="2:10" x14ac:dyDescent="0.35">
      <c r="C139" s="1"/>
      <c r="D139" s="5"/>
      <c r="E139" s="5"/>
      <c r="F139" s="5"/>
      <c r="G139" s="5"/>
      <c r="H139" s="5"/>
      <c r="I139" s="5"/>
      <c r="J139" s="89"/>
    </row>
    <row r="140" spans="2:10" x14ac:dyDescent="0.35">
      <c r="C140" s="1"/>
      <c r="D140" s="5"/>
      <c r="E140" s="5"/>
      <c r="F140" s="5"/>
      <c r="G140" s="5"/>
      <c r="H140" s="5"/>
      <c r="I140" s="5"/>
      <c r="J140" s="89"/>
    </row>
    <row r="141" spans="2:10" x14ac:dyDescent="0.35">
      <c r="C141" s="1"/>
      <c r="D141" s="5"/>
      <c r="E141" s="5"/>
      <c r="F141" s="5"/>
      <c r="G141" s="5"/>
      <c r="H141" s="5"/>
      <c r="I141" s="5"/>
      <c r="J141" s="89"/>
    </row>
    <row r="142" spans="2:10" x14ac:dyDescent="0.35">
      <c r="C142" s="1"/>
      <c r="D142" s="5"/>
      <c r="E142" s="5"/>
      <c r="F142" s="5"/>
      <c r="G142" s="5"/>
      <c r="H142" s="5"/>
      <c r="I142" s="5"/>
      <c r="J142" s="89"/>
    </row>
    <row r="143" spans="2:10" x14ac:dyDescent="0.35">
      <c r="C143" s="1"/>
      <c r="D143" s="5"/>
      <c r="E143" s="5"/>
      <c r="F143" s="5"/>
      <c r="G143" s="5"/>
      <c r="H143" s="5"/>
      <c r="I143" s="5"/>
      <c r="J143" s="89"/>
    </row>
    <row r="144" spans="2:10" x14ac:dyDescent="0.35">
      <c r="C144" s="1"/>
      <c r="D144" s="5"/>
      <c r="E144" s="5"/>
      <c r="F144" s="5"/>
      <c r="G144" s="5"/>
      <c r="H144" s="5"/>
      <c r="I144" s="5"/>
      <c r="J144" s="89"/>
    </row>
    <row r="145" spans="3:10" x14ac:dyDescent="0.35">
      <c r="C145" s="1"/>
      <c r="D145" s="5"/>
      <c r="E145" s="5"/>
      <c r="F145" s="5"/>
      <c r="G145" s="5"/>
      <c r="H145" s="5"/>
      <c r="I145" s="5"/>
      <c r="J145" s="89"/>
    </row>
    <row r="146" spans="3:10" x14ac:dyDescent="0.35">
      <c r="C146" s="1"/>
      <c r="D146" s="5"/>
      <c r="E146" s="5"/>
      <c r="F146" s="5"/>
      <c r="G146" s="5"/>
      <c r="H146" s="5"/>
      <c r="I146" s="5"/>
      <c r="J146" s="89"/>
    </row>
    <row r="147" spans="3:10" x14ac:dyDescent="0.35">
      <c r="C147" s="1"/>
      <c r="D147" s="5"/>
      <c r="E147" s="5"/>
      <c r="F147" s="5"/>
      <c r="G147" s="5"/>
      <c r="H147" s="5"/>
      <c r="I147" s="5"/>
      <c r="J147" s="89"/>
    </row>
    <row r="148" spans="3:10" x14ac:dyDescent="0.35">
      <c r="C148" s="1"/>
      <c r="D148" s="5"/>
      <c r="E148" s="5"/>
      <c r="F148" s="5"/>
      <c r="G148" s="5"/>
      <c r="H148" s="5"/>
      <c r="I148" s="5"/>
      <c r="J148" s="89"/>
    </row>
    <row r="149" spans="3:10" x14ac:dyDescent="0.35">
      <c r="C149" s="1"/>
      <c r="D149" s="5"/>
      <c r="E149" s="5"/>
      <c r="F149" s="5"/>
      <c r="G149" s="5"/>
      <c r="H149" s="5"/>
      <c r="I149" s="5"/>
      <c r="J149" s="89"/>
    </row>
    <row r="150" spans="3:10" x14ac:dyDescent="0.35">
      <c r="C150" s="1"/>
      <c r="D150" s="5"/>
      <c r="E150" s="5"/>
      <c r="F150" s="5"/>
      <c r="G150" s="5"/>
      <c r="H150" s="5"/>
      <c r="I150" s="5"/>
    </row>
    <row r="151" spans="3:10" x14ac:dyDescent="0.35">
      <c r="C151" s="1"/>
      <c r="D151" s="5"/>
      <c r="E151" s="5"/>
      <c r="F151" s="5"/>
      <c r="G151" s="5"/>
      <c r="H151" s="5"/>
      <c r="I151" s="5"/>
    </row>
    <row r="152" spans="3:10" x14ac:dyDescent="0.35">
      <c r="C152" s="1"/>
      <c r="D152" s="5"/>
      <c r="E152" s="5"/>
      <c r="F152" s="5"/>
      <c r="G152" s="5"/>
      <c r="H152" s="5"/>
      <c r="I152" s="5"/>
    </row>
    <row r="153" spans="3:10" x14ac:dyDescent="0.35">
      <c r="C153" s="1"/>
      <c r="D153" s="5"/>
      <c r="E153" s="5"/>
      <c r="F153" s="5"/>
      <c r="G153" s="5"/>
      <c r="H153" s="5"/>
      <c r="I153" s="5"/>
    </row>
    <row r="154" spans="3:10" x14ac:dyDescent="0.35">
      <c r="C154" s="1"/>
      <c r="D154" s="5"/>
      <c r="E154" s="5"/>
      <c r="F154" s="5"/>
      <c r="G154" s="5"/>
      <c r="H154" s="5"/>
      <c r="I154" s="5"/>
    </row>
    <row r="155" spans="3:10" x14ac:dyDescent="0.35">
      <c r="C155" s="1"/>
      <c r="D155" s="5"/>
      <c r="E155" s="5"/>
      <c r="F155" s="5"/>
      <c r="G155" s="5"/>
      <c r="H155" s="5"/>
      <c r="I155" s="5"/>
    </row>
    <row r="156" spans="3:10" x14ac:dyDescent="0.35">
      <c r="C156" s="1"/>
      <c r="D156" s="5"/>
      <c r="E156" s="5"/>
      <c r="F156" s="5"/>
      <c r="G156" s="5"/>
      <c r="H156" s="5"/>
      <c r="I156" s="5"/>
    </row>
    <row r="157" spans="3:10" x14ac:dyDescent="0.35">
      <c r="C157" s="1"/>
      <c r="D157" s="5"/>
      <c r="E157" s="5"/>
      <c r="F157" s="5"/>
      <c r="G157" s="5"/>
      <c r="H157" s="5"/>
      <c r="I157" s="5"/>
    </row>
    <row r="158" spans="3:10" x14ac:dyDescent="0.35">
      <c r="C158" s="1"/>
      <c r="D158" s="5"/>
      <c r="E158" s="5"/>
      <c r="F158" s="5"/>
      <c r="G158" s="5"/>
      <c r="H158" s="5"/>
      <c r="I158" s="5"/>
    </row>
    <row r="159" spans="3:10" x14ac:dyDescent="0.35">
      <c r="C159" s="1"/>
      <c r="D159" s="5"/>
      <c r="E159" s="5"/>
      <c r="F159" s="5"/>
      <c r="G159" s="5"/>
      <c r="H159" s="5"/>
      <c r="I159" s="5"/>
    </row>
    <row r="160" spans="3:10" x14ac:dyDescent="0.35">
      <c r="C160" s="1"/>
      <c r="D160" s="5"/>
      <c r="E160" s="5"/>
      <c r="F160" s="5"/>
      <c r="G160" s="5"/>
      <c r="H160" s="5"/>
      <c r="I160" s="5"/>
    </row>
    <row r="161" spans="3:9" x14ac:dyDescent="0.35">
      <c r="C161" s="1"/>
      <c r="D161" s="5"/>
      <c r="E161" s="5"/>
      <c r="F161" s="5"/>
      <c r="G161" s="5"/>
      <c r="H161" s="5"/>
      <c r="I161" s="5"/>
    </row>
    <row r="162" spans="3:9" x14ac:dyDescent="0.35">
      <c r="C162" s="1"/>
      <c r="D162" s="5"/>
      <c r="E162" s="5"/>
      <c r="F162" s="5"/>
      <c r="G162" s="5"/>
      <c r="H162" s="5"/>
      <c r="I162" s="5"/>
    </row>
    <row r="163" spans="3:9" x14ac:dyDescent="0.35">
      <c r="C163" s="1"/>
      <c r="D163" s="5"/>
      <c r="E163" s="5"/>
      <c r="F163" s="5"/>
      <c r="G163" s="5"/>
      <c r="H163" s="5"/>
      <c r="I163" s="5"/>
    </row>
    <row r="164" spans="3:9" x14ac:dyDescent="0.35">
      <c r="C164" s="1"/>
      <c r="D164" s="5"/>
      <c r="E164" s="5"/>
      <c r="F164" s="5"/>
      <c r="G164" s="5"/>
      <c r="H164" s="5"/>
      <c r="I164" s="5"/>
    </row>
    <row r="165" spans="3:9" x14ac:dyDescent="0.35">
      <c r="C165" s="1"/>
      <c r="D165" s="5"/>
      <c r="E165" s="5"/>
      <c r="F165" s="5"/>
      <c r="G165" s="5"/>
      <c r="H165" s="5"/>
      <c r="I165" s="5"/>
    </row>
    <row r="166" spans="3:9" x14ac:dyDescent="0.35">
      <c r="C166" s="1"/>
      <c r="D166" s="5"/>
      <c r="E166" s="5"/>
      <c r="F166" s="5"/>
      <c r="G166" s="5"/>
      <c r="H166" s="5"/>
      <c r="I166" s="5"/>
    </row>
    <row r="167" spans="3:9" x14ac:dyDescent="0.35">
      <c r="C167" s="1"/>
      <c r="D167" s="5"/>
      <c r="E167" s="5"/>
      <c r="F167" s="5"/>
      <c r="G167" s="5"/>
      <c r="H167" s="5"/>
      <c r="I167" s="5"/>
    </row>
    <row r="168" spans="3:9" x14ac:dyDescent="0.35">
      <c r="C168" s="1"/>
      <c r="D168" s="5"/>
      <c r="E168" s="5"/>
      <c r="F168" s="5"/>
      <c r="G168" s="5"/>
      <c r="H168" s="5"/>
      <c r="I168" s="5"/>
    </row>
    <row r="169" spans="3:9" x14ac:dyDescent="0.35">
      <c r="C169" s="1"/>
    </row>
    <row r="170" spans="3:9" x14ac:dyDescent="0.35">
      <c r="C170" s="1"/>
    </row>
    <row r="171" spans="3:9" x14ac:dyDescent="0.35">
      <c r="C171" s="1"/>
    </row>
    <row r="172" spans="3:9" x14ac:dyDescent="0.35">
      <c r="C172" s="1"/>
    </row>
    <row r="173" spans="3:9" x14ac:dyDescent="0.35">
      <c r="C173" s="1"/>
    </row>
    <row r="174" spans="3:9" x14ac:dyDescent="0.35">
      <c r="C174" s="1"/>
    </row>
    <row r="175" spans="3:9" x14ac:dyDescent="0.35">
      <c r="C175" s="1"/>
    </row>
    <row r="176" spans="3:9" x14ac:dyDescent="0.35">
      <c r="C176" s="1"/>
    </row>
  </sheetData>
  <sheetProtection algorithmName="SHA-512" hashValue="y0W4Af0gacGHrfvGBzI686N8LZf7qH0JG/ho3xb/3wgV7d2pw50/IWihSP0tgg4dFlDkuOMIpnLd5J0GuhFdUQ==" saltValue="y3lOoZm6wWwvcZRYdNa/Lg==" spinCount="100000" sheet="1" objects="1" scenarios="1"/>
  <mergeCells count="1">
    <mergeCell ref="B5:I5"/>
  </mergeCells>
  <phoneticPr fontId="3" type="noConversion"/>
  <pageMargins left="0.7" right="0.7" top="0.75" bottom="0.75" header="0.3" footer="0.3"/>
  <pageSetup scale="51"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Inputs!$A$4:$A$5</xm:f>
          </x14:formula1>
          <xm:sqref>C23:C119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K89"/>
  <sheetViews>
    <sheetView zoomScale="80" zoomScaleNormal="80" workbookViewId="0">
      <pane xSplit="4" ySplit="11" topLeftCell="F66" activePane="bottomRight" state="frozen"/>
      <selection pane="topRight" activeCell="E1" sqref="E1"/>
      <selection pane="bottomLeft" activeCell="A12" sqref="A12"/>
      <selection pane="bottomRight" activeCell="J78" sqref="J78"/>
    </sheetView>
  </sheetViews>
  <sheetFormatPr defaultRowHeight="14.5" x14ac:dyDescent="0.35"/>
  <cols>
    <col min="1" max="1" width="5.90625" customWidth="1"/>
    <col min="2" max="2" width="13.08984375" customWidth="1"/>
    <col min="3" max="3" width="50" style="2" customWidth="1"/>
    <col min="4" max="4" width="45" style="2" customWidth="1"/>
    <col min="5" max="10" width="13.90625" customWidth="1"/>
    <col min="11" max="11" width="58" customWidth="1"/>
  </cols>
  <sheetData>
    <row r="1" spans="2:11" ht="18.5" x14ac:dyDescent="0.45">
      <c r="B1" s="36" t="s">
        <v>120</v>
      </c>
      <c r="C1" s="38" t="str">
        <f>Summary!C1</f>
        <v>Legal Prep Charter Academy</v>
      </c>
    </row>
    <row r="2" spans="2:11" ht="18.5" x14ac:dyDescent="0.45">
      <c r="B2" s="36" t="s">
        <v>126</v>
      </c>
      <c r="C2" s="38" t="str">
        <f>Summary!C2</f>
        <v>Las Vegas</v>
      </c>
    </row>
    <row r="3" spans="2:11" ht="18.5" x14ac:dyDescent="0.45">
      <c r="B3" s="36" t="s">
        <v>121</v>
      </c>
      <c r="C3" s="38">
        <f>Summary!C3</f>
        <v>2027</v>
      </c>
    </row>
    <row r="4" spans="2:11" ht="18.5" x14ac:dyDescent="0.45">
      <c r="B4" s="36"/>
      <c r="C4" s="38"/>
      <c r="E4" s="67"/>
    </row>
    <row r="5" spans="2:11" ht="21" x14ac:dyDescent="0.5">
      <c r="B5" s="36"/>
      <c r="C5" s="266" t="s">
        <v>229</v>
      </c>
      <c r="D5" s="266"/>
      <c r="E5" s="266"/>
      <c r="F5" s="266"/>
      <c r="G5" s="266"/>
      <c r="H5" s="266"/>
      <c r="I5" s="266"/>
      <c r="J5" s="266"/>
    </row>
    <row r="7" spans="2:11" ht="21" customHeight="1" thickBot="1" x14ac:dyDescent="0.45">
      <c r="D7" s="65" t="s">
        <v>147</v>
      </c>
      <c r="E7" s="66" t="str">
        <f>($C$3-1)&amp;"-"&amp;($C$3+0)</f>
        <v>2026-2027</v>
      </c>
      <c r="F7" s="66" t="str">
        <f>($C$3+0)&amp;"-"&amp;($C$3+1)</f>
        <v>2027-2028</v>
      </c>
      <c r="G7" s="66" t="str">
        <f>($C$3+1)&amp;"-"&amp;($C$3+2)</f>
        <v>2028-2029</v>
      </c>
      <c r="H7" s="66" t="str">
        <f>($C$3+2)&amp;"-"&amp;($C$3+3)</f>
        <v>2029-2030</v>
      </c>
      <c r="I7" s="66" t="str">
        <f>($C$3+3)&amp;"-"&amp;($C$3+4)</f>
        <v>2030-2031</v>
      </c>
      <c r="J7" s="66" t="str">
        <f>($C$3+4)&amp;"-"&amp;($C$3+5)</f>
        <v>2031-2032</v>
      </c>
    </row>
    <row r="8" spans="2:11" x14ac:dyDescent="0.35">
      <c r="D8" s="84" t="s">
        <v>133</v>
      </c>
      <c r="E8" s="80"/>
      <c r="F8" s="57">
        <f>Enrollment!D$23</f>
        <v>140</v>
      </c>
      <c r="G8" s="57">
        <f>Enrollment!E$23</f>
        <v>280</v>
      </c>
      <c r="H8" s="57">
        <f>Enrollment!F$23</f>
        <v>420</v>
      </c>
      <c r="I8" s="57">
        <f>Enrollment!G$23</f>
        <v>540</v>
      </c>
      <c r="J8" s="57">
        <f>Enrollment!H$23</f>
        <v>570</v>
      </c>
    </row>
    <row r="9" spans="2:11" x14ac:dyDescent="0.35">
      <c r="D9" s="37" t="s">
        <v>124</v>
      </c>
      <c r="E9" s="131"/>
      <c r="F9" s="81"/>
      <c r="G9" s="73">
        <f>Enrollment!E24</f>
        <v>1</v>
      </c>
      <c r="H9" s="73">
        <f>Enrollment!F24</f>
        <v>0.5</v>
      </c>
      <c r="I9" s="73">
        <f>Enrollment!G24</f>
        <v>0.2857142857142857</v>
      </c>
      <c r="J9" s="73">
        <f>Enrollment!H24</f>
        <v>5.5555555555555552E-2</v>
      </c>
    </row>
    <row r="10" spans="2:11" ht="16" x14ac:dyDescent="0.4">
      <c r="B10" s="1"/>
      <c r="E10" s="57"/>
      <c r="F10" s="127"/>
      <c r="G10" s="127"/>
      <c r="H10" s="127"/>
      <c r="I10" s="127"/>
      <c r="J10" s="127"/>
    </row>
    <row r="11" spans="2:11" ht="29" x14ac:dyDescent="0.35">
      <c r="B11" s="19" t="s">
        <v>87</v>
      </c>
      <c r="C11" s="23" t="s">
        <v>115</v>
      </c>
      <c r="D11" s="23" t="s">
        <v>116</v>
      </c>
      <c r="E11" s="60" t="s">
        <v>2</v>
      </c>
      <c r="F11" s="60" t="s">
        <v>3</v>
      </c>
      <c r="G11" s="60" t="s">
        <v>4</v>
      </c>
      <c r="H11" s="60" t="s">
        <v>5</v>
      </c>
      <c r="I11" s="60" t="s">
        <v>6</v>
      </c>
      <c r="J11" s="60" t="s">
        <v>7</v>
      </c>
      <c r="K11" s="20" t="s">
        <v>16</v>
      </c>
    </row>
    <row r="12" spans="2:11" ht="22.25" customHeight="1" x14ac:dyDescent="0.35">
      <c r="B12" s="132"/>
      <c r="C12" s="133" t="s">
        <v>167</v>
      </c>
      <c r="D12" s="134"/>
      <c r="E12" s="135"/>
      <c r="F12" s="135"/>
      <c r="G12" s="135"/>
      <c r="H12" s="135"/>
      <c r="I12" s="135"/>
      <c r="J12" s="135"/>
      <c r="K12" s="136"/>
    </row>
    <row r="13" spans="2:11" ht="17.25" customHeight="1" x14ac:dyDescent="0.35">
      <c r="B13" s="45">
        <f>_xlfn.IFNA(VLOOKUP(C13,Inputs!$C$4:$D$13,2,0),"")</f>
        <v>610</v>
      </c>
      <c r="C13" s="242" t="s">
        <v>168</v>
      </c>
      <c r="D13" s="242" t="s">
        <v>396</v>
      </c>
      <c r="E13" s="243"/>
      <c r="F13" s="243">
        <v>7000</v>
      </c>
      <c r="G13" s="243">
        <v>14000</v>
      </c>
      <c r="H13" s="243">
        <v>21000</v>
      </c>
      <c r="I13" s="243">
        <v>25500</v>
      </c>
      <c r="J13" s="243">
        <v>25500</v>
      </c>
      <c r="K13" s="244" t="s">
        <v>397</v>
      </c>
    </row>
    <row r="14" spans="2:11" x14ac:dyDescent="0.35">
      <c r="B14" s="45">
        <f>_xlfn.IFNA(VLOOKUP(C14,Inputs!$C$4:$D$13,2,0),"")</f>
        <v>610</v>
      </c>
      <c r="C14" s="242" t="s">
        <v>168</v>
      </c>
      <c r="D14" s="242" t="s">
        <v>398</v>
      </c>
      <c r="E14" s="243"/>
      <c r="F14" s="243">
        <v>8400</v>
      </c>
      <c r="G14" s="243">
        <v>16800</v>
      </c>
      <c r="H14" s="243">
        <v>25200</v>
      </c>
      <c r="I14" s="243">
        <v>30600</v>
      </c>
      <c r="J14" s="243">
        <v>30600</v>
      </c>
      <c r="K14" s="244" t="s">
        <v>399</v>
      </c>
    </row>
    <row r="15" spans="2:11" x14ac:dyDescent="0.35">
      <c r="B15" s="45">
        <f>_xlfn.IFNA(VLOOKUP(C15,Inputs!$C$4:$D$13,2,0),"")</f>
        <v>654</v>
      </c>
      <c r="C15" s="242" t="s">
        <v>173</v>
      </c>
      <c r="D15" s="242" t="s">
        <v>459</v>
      </c>
      <c r="E15" s="243">
        <v>70000</v>
      </c>
      <c r="F15" s="243">
        <v>70000</v>
      </c>
      <c r="G15" s="243"/>
      <c r="H15" s="243">
        <v>26250</v>
      </c>
      <c r="I15" s="243"/>
      <c r="J15" s="243">
        <v>17500</v>
      </c>
      <c r="K15" s="244" t="s">
        <v>469</v>
      </c>
    </row>
    <row r="16" spans="2:11" ht="52.5" x14ac:dyDescent="0.35">
      <c r="B16" s="45">
        <f>_xlfn.IFNA(VLOOKUP(C16,Inputs!$C$4:$D$13,2,0),"")</f>
        <v>654</v>
      </c>
      <c r="C16" s="242" t="s">
        <v>173</v>
      </c>
      <c r="D16" s="242" t="s">
        <v>460</v>
      </c>
      <c r="E16" s="243">
        <v>4800</v>
      </c>
      <c r="F16" s="243">
        <v>4800</v>
      </c>
      <c r="G16" s="243"/>
      <c r="H16" s="243"/>
      <c r="I16" s="243"/>
      <c r="J16" s="243"/>
      <c r="K16" s="244" t="s">
        <v>504</v>
      </c>
    </row>
    <row r="17" spans="2:11" ht="26.5" x14ac:dyDescent="0.35">
      <c r="B17" s="45">
        <f>_xlfn.IFNA(VLOOKUP(C17,Inputs!$C$4:$D$13,2,0),"")</f>
        <v>654</v>
      </c>
      <c r="C17" s="242" t="s">
        <v>173</v>
      </c>
      <c r="D17" s="242" t="s">
        <v>461</v>
      </c>
      <c r="E17" s="243">
        <v>8800</v>
      </c>
      <c r="F17" s="243">
        <v>8800</v>
      </c>
      <c r="G17" s="243"/>
      <c r="H17" s="243">
        <v>3300</v>
      </c>
      <c r="I17" s="243"/>
      <c r="J17" s="243">
        <v>2200</v>
      </c>
      <c r="K17" s="244" t="s">
        <v>471</v>
      </c>
    </row>
    <row r="18" spans="2:11" x14ac:dyDescent="0.35">
      <c r="B18" s="45">
        <f>_xlfn.IFNA(VLOOKUP(C18,Inputs!$C$4:$D$13,2,0),"")</f>
        <v>610</v>
      </c>
      <c r="C18" s="242" t="s">
        <v>168</v>
      </c>
      <c r="D18" s="242" t="s">
        <v>462</v>
      </c>
      <c r="E18" s="243">
        <v>36000</v>
      </c>
      <c r="F18" s="243">
        <v>36000</v>
      </c>
      <c r="G18" s="243"/>
      <c r="H18" s="243"/>
      <c r="I18" s="243"/>
      <c r="J18" s="243"/>
      <c r="K18" s="244" t="s">
        <v>470</v>
      </c>
    </row>
    <row r="19" spans="2:11" x14ac:dyDescent="0.35">
      <c r="B19" s="45">
        <f>_xlfn.IFNA(VLOOKUP(C19,Inputs!$C$4:$D$13,2,0),"")</f>
        <v>641</v>
      </c>
      <c r="C19" s="242" t="s">
        <v>172</v>
      </c>
      <c r="D19" s="242" t="s">
        <v>172</v>
      </c>
      <c r="E19" s="243">
        <v>15000</v>
      </c>
      <c r="F19" s="243">
        <v>10000</v>
      </c>
      <c r="G19" s="243">
        <v>5000</v>
      </c>
      <c r="H19" s="243">
        <v>5000</v>
      </c>
      <c r="I19" s="243">
        <v>5000</v>
      </c>
      <c r="J19" s="243">
        <v>5000</v>
      </c>
      <c r="K19" s="244"/>
    </row>
    <row r="20" spans="2:11" ht="26.5" x14ac:dyDescent="0.35">
      <c r="B20" s="45">
        <f>_xlfn.IFNA(VLOOKUP(C20,Inputs!$C$4:$D$13,2,0),"")</f>
        <v>653</v>
      </c>
      <c r="C20" s="242" t="s">
        <v>176</v>
      </c>
      <c r="D20" s="242" t="s">
        <v>483</v>
      </c>
      <c r="E20" s="243"/>
      <c r="F20" s="243">
        <v>20000</v>
      </c>
      <c r="G20" s="243">
        <v>22000</v>
      </c>
      <c r="H20" s="243">
        <v>24000</v>
      </c>
      <c r="I20" s="243">
        <v>28000</v>
      </c>
      <c r="J20" s="243">
        <v>30000</v>
      </c>
      <c r="K20" s="244" t="s">
        <v>486</v>
      </c>
    </row>
    <row r="21" spans="2:11" x14ac:dyDescent="0.35">
      <c r="B21" s="45">
        <f>_xlfn.IFNA(VLOOKUP(C21,Inputs!$C$4:$D$13,2,0),"")</f>
        <v>654</v>
      </c>
      <c r="C21" s="242" t="s">
        <v>173</v>
      </c>
      <c r="D21" s="242" t="s">
        <v>463</v>
      </c>
      <c r="E21" s="243">
        <v>6000</v>
      </c>
      <c r="F21" s="243">
        <v>6000</v>
      </c>
      <c r="G21" s="243"/>
      <c r="H21" s="243"/>
      <c r="I21" s="243"/>
      <c r="J21" s="243"/>
      <c r="K21" s="244" t="s">
        <v>472</v>
      </c>
    </row>
    <row r="22" spans="2:11" ht="26.5" x14ac:dyDescent="0.35">
      <c r="B22" s="45">
        <f>_xlfn.IFNA(VLOOKUP(C22,Inputs!$C$4:$D$13,2,0),"")</f>
        <v>652</v>
      </c>
      <c r="C22" s="242" t="s">
        <v>174</v>
      </c>
      <c r="D22" s="242" t="s">
        <v>495</v>
      </c>
      <c r="E22" s="243">
        <v>23400</v>
      </c>
      <c r="F22" s="243">
        <v>23400</v>
      </c>
      <c r="G22" s="243"/>
      <c r="H22" s="243"/>
      <c r="I22" s="243"/>
      <c r="J22" s="243"/>
      <c r="K22" s="244" t="s">
        <v>473</v>
      </c>
    </row>
    <row r="23" spans="2:11" x14ac:dyDescent="0.35">
      <c r="B23" s="45">
        <f>_xlfn.IFNA(VLOOKUP(C23,Inputs!$C$4:$D$13,2,0),"")</f>
        <v>652</v>
      </c>
      <c r="C23" s="242" t="s">
        <v>174</v>
      </c>
      <c r="D23" s="242" t="s">
        <v>474</v>
      </c>
      <c r="E23" s="243">
        <v>2250</v>
      </c>
      <c r="F23" s="243">
        <v>2250</v>
      </c>
      <c r="G23" s="243"/>
      <c r="H23" s="243"/>
      <c r="I23" s="243"/>
      <c r="J23" s="243"/>
      <c r="K23" s="244" t="s">
        <v>477</v>
      </c>
    </row>
    <row r="24" spans="2:11" x14ac:dyDescent="0.35">
      <c r="B24" s="45">
        <f>_xlfn.IFNA(VLOOKUP(C24,Inputs!$C$4:$D$13,2,0),"")</f>
        <v>652</v>
      </c>
      <c r="C24" s="242" t="s">
        <v>174</v>
      </c>
      <c r="D24" s="242" t="s">
        <v>480</v>
      </c>
      <c r="E24" s="243">
        <v>750</v>
      </c>
      <c r="F24" s="243">
        <v>750</v>
      </c>
      <c r="G24" s="243"/>
      <c r="H24" s="243"/>
      <c r="I24" s="243"/>
      <c r="J24" s="243"/>
      <c r="K24" s="244" t="s">
        <v>497</v>
      </c>
    </row>
    <row r="25" spans="2:11" x14ac:dyDescent="0.35">
      <c r="B25" s="45">
        <f>_xlfn.IFNA(VLOOKUP(C25,Inputs!$C$4:$D$13,2,0),"")</f>
        <v>653</v>
      </c>
      <c r="C25" s="242" t="s">
        <v>176</v>
      </c>
      <c r="D25" s="242" t="s">
        <v>481</v>
      </c>
      <c r="E25" s="243"/>
      <c r="F25" s="243">
        <v>3000</v>
      </c>
      <c r="G25" s="243">
        <v>3000</v>
      </c>
      <c r="H25" s="243">
        <v>3000</v>
      </c>
      <c r="I25" s="243">
        <v>3000</v>
      </c>
      <c r="J25" s="243">
        <v>3000</v>
      </c>
      <c r="K25" s="244" t="s">
        <v>482</v>
      </c>
    </row>
    <row r="26" spans="2:11" x14ac:dyDescent="0.35">
      <c r="B26" s="45">
        <f>_xlfn.IFNA(VLOOKUP(C26,Inputs!$C$4:$D$13,2,0),"")</f>
        <v>653</v>
      </c>
      <c r="C26" s="242" t="s">
        <v>176</v>
      </c>
      <c r="D26" s="242" t="s">
        <v>484</v>
      </c>
      <c r="E26" s="243">
        <v>15000</v>
      </c>
      <c r="F26" s="243">
        <v>1680</v>
      </c>
      <c r="G26" s="243">
        <v>3360</v>
      </c>
      <c r="H26" s="243">
        <v>5040</v>
      </c>
      <c r="I26" s="243">
        <v>6120</v>
      </c>
      <c r="J26" s="243">
        <v>6120</v>
      </c>
      <c r="K26" s="244" t="s">
        <v>485</v>
      </c>
    </row>
    <row r="27" spans="2:11" x14ac:dyDescent="0.35">
      <c r="B27" s="45">
        <f>_xlfn.IFNA(VLOOKUP(C27,Inputs!$C$4:$D$13,2,0),"")</f>
        <v>652</v>
      </c>
      <c r="C27" s="242" t="s">
        <v>174</v>
      </c>
      <c r="D27" s="242" t="s">
        <v>490</v>
      </c>
      <c r="E27" s="243">
        <v>35000</v>
      </c>
      <c r="F27" s="243"/>
      <c r="G27" s="243"/>
      <c r="H27" s="243"/>
      <c r="I27" s="243"/>
      <c r="J27" s="243"/>
      <c r="K27" s="244" t="s">
        <v>491</v>
      </c>
    </row>
    <row r="28" spans="2:11" x14ac:dyDescent="0.35">
      <c r="B28" s="45">
        <f>_xlfn.IFNA(VLOOKUP(C28,Inputs!$C$4:$D$13,2,0),"")</f>
        <v>654</v>
      </c>
      <c r="C28" s="242" t="s">
        <v>173</v>
      </c>
      <c r="D28" s="242" t="s">
        <v>492</v>
      </c>
      <c r="E28" s="243">
        <v>25000</v>
      </c>
      <c r="F28" s="243"/>
      <c r="G28" s="243"/>
      <c r="H28" s="243"/>
      <c r="I28" s="243"/>
      <c r="J28" s="243"/>
      <c r="K28" s="244"/>
    </row>
    <row r="29" spans="2:11" ht="39.5" x14ac:dyDescent="0.35">
      <c r="B29" s="45">
        <f>_xlfn.IFNA(VLOOKUP(C29,Inputs!$C$4:$D$13,2,0),"")</f>
        <v>610</v>
      </c>
      <c r="C29" s="242" t="s">
        <v>168</v>
      </c>
      <c r="D29" s="242" t="s">
        <v>506</v>
      </c>
      <c r="E29" s="243"/>
      <c r="F29" s="243">
        <v>4900</v>
      </c>
      <c r="G29" s="243">
        <v>9800</v>
      </c>
      <c r="H29" s="243">
        <v>14700</v>
      </c>
      <c r="I29" s="243">
        <v>17850</v>
      </c>
      <c r="J29" s="243">
        <v>17850</v>
      </c>
      <c r="K29" s="244" t="s">
        <v>511</v>
      </c>
    </row>
    <row r="30" spans="2:11" ht="26.5" x14ac:dyDescent="0.35">
      <c r="B30" s="45">
        <f>_xlfn.IFNA(VLOOKUP(C30,Inputs!$C$4:$D$13,2,0),"")</f>
        <v>610</v>
      </c>
      <c r="C30" s="242" t="s">
        <v>168</v>
      </c>
      <c r="D30" s="242" t="s">
        <v>508</v>
      </c>
      <c r="E30" s="243"/>
      <c r="F30" s="243">
        <v>3150</v>
      </c>
      <c r="G30" s="243">
        <v>6300</v>
      </c>
      <c r="H30" s="243">
        <v>9450</v>
      </c>
      <c r="I30" s="243">
        <v>11475</v>
      </c>
      <c r="J30" s="243">
        <v>11475</v>
      </c>
      <c r="K30" s="244" t="s">
        <v>512</v>
      </c>
    </row>
    <row r="31" spans="2:11" ht="39.5" x14ac:dyDescent="0.35">
      <c r="B31" s="45">
        <f>_xlfn.IFNA(VLOOKUP(C31,Inputs!$C$4:$D$13,2,0),"")</f>
        <v>610</v>
      </c>
      <c r="C31" s="242" t="s">
        <v>168</v>
      </c>
      <c r="D31" s="245" t="s">
        <v>507</v>
      </c>
      <c r="E31" s="246"/>
      <c r="F31" s="246">
        <v>1680</v>
      </c>
      <c r="G31" s="246">
        <v>3360</v>
      </c>
      <c r="H31" s="246">
        <v>5040</v>
      </c>
      <c r="I31" s="246">
        <v>6120</v>
      </c>
      <c r="J31" s="246">
        <v>6120</v>
      </c>
      <c r="K31" s="247" t="s">
        <v>513</v>
      </c>
    </row>
    <row r="32" spans="2:11" x14ac:dyDescent="0.35">
      <c r="B32" s="45"/>
      <c r="C32" s="117"/>
      <c r="D32" s="137" t="s">
        <v>182</v>
      </c>
      <c r="E32" s="123">
        <f>SUM(E13:E31)</f>
        <v>242000</v>
      </c>
      <c r="F32" s="123">
        <f t="shared" ref="F32:J32" si="0">SUM(F13:F31)</f>
        <v>211810</v>
      </c>
      <c r="G32" s="123">
        <f t="shared" si="0"/>
        <v>83620</v>
      </c>
      <c r="H32" s="123">
        <f t="shared" si="0"/>
        <v>141980</v>
      </c>
      <c r="I32" s="123">
        <f t="shared" si="0"/>
        <v>133665</v>
      </c>
      <c r="J32" s="123">
        <f t="shared" si="0"/>
        <v>155365</v>
      </c>
      <c r="K32" s="138"/>
    </row>
    <row r="33" spans="2:11" x14ac:dyDescent="0.35">
      <c r="B33" s="45"/>
      <c r="C33" s="117"/>
      <c r="D33" s="137" t="s">
        <v>240</v>
      </c>
      <c r="E33" s="124"/>
      <c r="F33" s="128">
        <f>IFERROR(F32/F$8,"-")</f>
        <v>1512.9285714285713</v>
      </c>
      <c r="G33" s="128">
        <f>IFERROR(G32/G$8,"-")</f>
        <v>298.64285714285717</v>
      </c>
      <c r="H33" s="128">
        <f>IFERROR(H32/H$8,"-")</f>
        <v>338.04761904761904</v>
      </c>
      <c r="I33" s="128">
        <f>IFERROR(I32/I$8,"-")</f>
        <v>247.52777777777777</v>
      </c>
      <c r="J33" s="128">
        <f>IFERROR(J32/J$8,"-")</f>
        <v>272.57017543859649</v>
      </c>
      <c r="K33" s="138"/>
    </row>
    <row r="34" spans="2:11" x14ac:dyDescent="0.35">
      <c r="B34" s="45"/>
      <c r="C34" s="117" t="s">
        <v>179</v>
      </c>
      <c r="D34" s="139"/>
      <c r="E34" s="123"/>
      <c r="F34" s="123"/>
      <c r="G34" s="123"/>
      <c r="H34" s="123"/>
      <c r="I34" s="123"/>
      <c r="J34" s="123"/>
      <c r="K34" s="138"/>
    </row>
    <row r="35" spans="2:11" x14ac:dyDescent="0.35">
      <c r="B35" s="45">
        <f>_xlfn.IFNA(VLOOKUP(C35,Inputs!$C$4:$D$13,2,0),"")</f>
        <v>610</v>
      </c>
      <c r="C35" s="242" t="s">
        <v>168</v>
      </c>
      <c r="D35" s="242" t="s">
        <v>411</v>
      </c>
      <c r="E35" s="243"/>
      <c r="F35" s="243">
        <v>1500</v>
      </c>
      <c r="G35" s="243">
        <v>2000</v>
      </c>
      <c r="H35" s="243">
        <v>2500</v>
      </c>
      <c r="I35" s="243">
        <v>3000</v>
      </c>
      <c r="J35" s="243">
        <v>3000</v>
      </c>
      <c r="K35" s="244" t="s">
        <v>478</v>
      </c>
    </row>
    <row r="36" spans="2:11" ht="26.5" x14ac:dyDescent="0.35">
      <c r="B36" s="45">
        <f>_xlfn.IFNA(VLOOKUP(C36,Inputs!$C$4:$D$13,2,0),"")</f>
        <v>652</v>
      </c>
      <c r="C36" s="242" t="s">
        <v>174</v>
      </c>
      <c r="D36" s="242" t="s">
        <v>475</v>
      </c>
      <c r="E36" s="243">
        <v>6500</v>
      </c>
      <c r="F36" s="243">
        <v>6500</v>
      </c>
      <c r="G36" s="243"/>
      <c r="H36" s="243"/>
      <c r="I36" s="243"/>
      <c r="J36" s="243"/>
      <c r="K36" s="244" t="s">
        <v>473</v>
      </c>
    </row>
    <row r="37" spans="2:11" x14ac:dyDescent="0.35">
      <c r="B37" s="45">
        <f>_xlfn.IFNA(VLOOKUP(C37,Inputs!$C$4:$D$13,2,0),"")</f>
        <v>654</v>
      </c>
      <c r="C37" s="242" t="s">
        <v>173</v>
      </c>
      <c r="D37" s="242" t="s">
        <v>476</v>
      </c>
      <c r="E37" s="243">
        <v>1200</v>
      </c>
      <c r="F37" s="243">
        <v>1200</v>
      </c>
      <c r="G37" s="243"/>
      <c r="H37" s="243"/>
      <c r="I37" s="243"/>
      <c r="J37" s="243"/>
      <c r="K37" s="244" t="s">
        <v>477</v>
      </c>
    </row>
    <row r="38" spans="2:11" x14ac:dyDescent="0.35">
      <c r="B38" s="45" t="str">
        <f>_xlfn.IFNA(VLOOKUP(C38,Inputs!$C$4:$D$13,2,0),"")</f>
        <v/>
      </c>
      <c r="C38" s="242"/>
      <c r="D38" s="242"/>
      <c r="E38" s="243"/>
      <c r="F38" s="243"/>
      <c r="G38" s="243"/>
      <c r="H38" s="243"/>
      <c r="I38" s="243"/>
      <c r="J38" s="243"/>
      <c r="K38" s="244"/>
    </row>
    <row r="39" spans="2:11" x14ac:dyDescent="0.35">
      <c r="B39" s="45" t="str">
        <f>_xlfn.IFNA(VLOOKUP(C39,Inputs!$C$4:$D$13,2,0),"")</f>
        <v/>
      </c>
      <c r="C39" s="242"/>
      <c r="D39" s="242"/>
      <c r="E39" s="243"/>
      <c r="F39" s="243"/>
      <c r="G39" s="243"/>
      <c r="H39" s="243"/>
      <c r="I39" s="243"/>
      <c r="J39" s="243"/>
      <c r="K39" s="244"/>
    </row>
    <row r="40" spans="2:11" x14ac:dyDescent="0.35">
      <c r="B40" s="45" t="str">
        <f>_xlfn.IFNA(VLOOKUP(C40,Inputs!$C$4:$D$13,2,0),"")</f>
        <v/>
      </c>
      <c r="C40" s="242"/>
      <c r="D40" s="242"/>
      <c r="E40" s="243"/>
      <c r="F40" s="243"/>
      <c r="G40" s="243"/>
      <c r="H40" s="243"/>
      <c r="I40" s="243"/>
      <c r="J40" s="243"/>
      <c r="K40" s="244"/>
    </row>
    <row r="41" spans="2:11" x14ac:dyDescent="0.35">
      <c r="B41" s="45" t="str">
        <f>_xlfn.IFNA(VLOOKUP(C41,Inputs!$C$4:$D$13,2,0),"")</f>
        <v/>
      </c>
      <c r="C41" s="242"/>
      <c r="D41" s="242"/>
      <c r="E41" s="243"/>
      <c r="F41" s="243"/>
      <c r="G41" s="243"/>
      <c r="H41" s="243"/>
      <c r="I41" s="243"/>
      <c r="J41" s="243"/>
      <c r="K41" s="244"/>
    </row>
    <row r="42" spans="2:11" x14ac:dyDescent="0.35">
      <c r="B42" s="45" t="str">
        <f>_xlfn.IFNA(VLOOKUP(C42,Inputs!$C$4:$D$13,2,0),"")</f>
        <v/>
      </c>
      <c r="C42" s="242"/>
      <c r="D42" s="242"/>
      <c r="E42" s="243"/>
      <c r="F42" s="243"/>
      <c r="G42" s="243"/>
      <c r="H42" s="243"/>
      <c r="I42" s="243"/>
      <c r="J42" s="243"/>
      <c r="K42" s="244"/>
    </row>
    <row r="43" spans="2:11" x14ac:dyDescent="0.35">
      <c r="B43" s="45" t="str">
        <f>_xlfn.IFNA(VLOOKUP(C43,Inputs!$C$4:$D$13,2,0),"")</f>
        <v/>
      </c>
      <c r="C43" s="242"/>
      <c r="D43" s="242"/>
      <c r="E43" s="243"/>
      <c r="F43" s="243"/>
      <c r="G43" s="243"/>
      <c r="H43" s="243"/>
      <c r="I43" s="243"/>
      <c r="J43" s="243"/>
      <c r="K43" s="244"/>
    </row>
    <row r="44" spans="2:11" x14ac:dyDescent="0.35">
      <c r="B44" s="45" t="str">
        <f>_xlfn.IFNA(VLOOKUP(C44,Inputs!$C$4:$D$13,2,0),"")</f>
        <v/>
      </c>
      <c r="C44" s="242"/>
      <c r="D44" s="242"/>
      <c r="E44" s="243"/>
      <c r="F44" s="243"/>
      <c r="G44" s="243"/>
      <c r="H44" s="243"/>
      <c r="I44" s="243"/>
      <c r="J44" s="243"/>
      <c r="K44" s="244"/>
    </row>
    <row r="45" spans="2:11" x14ac:dyDescent="0.35">
      <c r="B45" s="45" t="str">
        <f>_xlfn.IFNA(VLOOKUP(C45,Inputs!$C$4:$D$13,2,0),"")</f>
        <v/>
      </c>
      <c r="C45" s="242"/>
      <c r="D45" s="242"/>
      <c r="E45" s="243"/>
      <c r="F45" s="243"/>
      <c r="G45" s="243"/>
      <c r="H45" s="243"/>
      <c r="I45" s="243"/>
      <c r="J45" s="243"/>
      <c r="K45" s="244"/>
    </row>
    <row r="46" spans="2:11" x14ac:dyDescent="0.35">
      <c r="B46" s="45" t="str">
        <f>_xlfn.IFNA(VLOOKUP(C46,Inputs!$C$4:$D$13,2,0),"")</f>
        <v/>
      </c>
      <c r="C46" s="242"/>
      <c r="D46" s="242"/>
      <c r="E46" s="243"/>
      <c r="F46" s="243"/>
      <c r="G46" s="243"/>
      <c r="H46" s="243"/>
      <c r="I46" s="243"/>
      <c r="J46" s="243"/>
      <c r="K46" s="244"/>
    </row>
    <row r="47" spans="2:11" x14ac:dyDescent="0.35">
      <c r="B47" s="45" t="str">
        <f>_xlfn.IFNA(VLOOKUP(C47,Inputs!$C$4:$D$13,2,0),"")</f>
        <v/>
      </c>
      <c r="C47" s="242"/>
      <c r="D47" s="242"/>
      <c r="E47" s="243"/>
      <c r="F47" s="243"/>
      <c r="G47" s="243"/>
      <c r="H47" s="243"/>
      <c r="I47" s="243"/>
      <c r="J47" s="243"/>
      <c r="K47" s="244"/>
    </row>
    <row r="48" spans="2:11" x14ac:dyDescent="0.35">
      <c r="B48" s="45" t="str">
        <f>_xlfn.IFNA(VLOOKUP(C48,Inputs!$C$4:$D$13,2,0),"")</f>
        <v/>
      </c>
      <c r="C48" s="242"/>
      <c r="D48" s="242"/>
      <c r="E48" s="243"/>
      <c r="F48" s="243"/>
      <c r="G48" s="243"/>
      <c r="H48" s="243"/>
      <c r="I48" s="243"/>
      <c r="J48" s="243"/>
      <c r="K48" s="244"/>
    </row>
    <row r="49" spans="2:11" x14ac:dyDescent="0.35">
      <c r="B49" s="45" t="str">
        <f>_xlfn.IFNA(VLOOKUP(C49,Inputs!$C$4:$D$13,2,0),"")</f>
        <v/>
      </c>
      <c r="C49" s="245"/>
      <c r="D49" s="245"/>
      <c r="E49" s="246"/>
      <c r="F49" s="246"/>
      <c r="G49" s="246"/>
      <c r="H49" s="246"/>
      <c r="I49" s="246"/>
      <c r="J49" s="246"/>
      <c r="K49" s="247"/>
    </row>
    <row r="50" spans="2:11" x14ac:dyDescent="0.35">
      <c r="B50" s="45"/>
      <c r="C50" s="117"/>
      <c r="D50" s="137" t="s">
        <v>183</v>
      </c>
      <c r="E50" s="123">
        <f>SUM(E35:E49)</f>
        <v>7700</v>
      </c>
      <c r="F50" s="123">
        <f t="shared" ref="F50:I50" si="1">SUM(F35:F49)</f>
        <v>9200</v>
      </c>
      <c r="G50" s="123">
        <f t="shared" si="1"/>
        <v>2000</v>
      </c>
      <c r="H50" s="123">
        <f t="shared" si="1"/>
        <v>2500</v>
      </c>
      <c r="I50" s="123">
        <f t="shared" si="1"/>
        <v>3000</v>
      </c>
      <c r="J50" s="123">
        <f>SUM(J35:J49)</f>
        <v>3000</v>
      </c>
      <c r="K50" s="138"/>
    </row>
    <row r="51" spans="2:11" x14ac:dyDescent="0.35">
      <c r="B51" s="45"/>
      <c r="C51" s="117"/>
      <c r="D51" s="137" t="s">
        <v>240</v>
      </c>
      <c r="E51" s="124"/>
      <c r="F51" s="128">
        <f>IFERROR(F50/F$8,"-")</f>
        <v>65.714285714285708</v>
      </c>
      <c r="G51" s="128">
        <f>IFERROR(G50/G$8,"-")</f>
        <v>7.1428571428571432</v>
      </c>
      <c r="H51" s="128">
        <f>IFERROR(H50/H$8,"-")</f>
        <v>5.9523809523809526</v>
      </c>
      <c r="I51" s="128">
        <f>IFERROR(I50/I$8,"-")</f>
        <v>5.5555555555555554</v>
      </c>
      <c r="J51" s="128">
        <f>IFERROR(J50/J$8,"-")</f>
        <v>5.2631578947368425</v>
      </c>
      <c r="K51" s="138"/>
    </row>
    <row r="52" spans="2:11" x14ac:dyDescent="0.35">
      <c r="B52" s="45" t="str">
        <f>_xlfn.IFNA(VLOOKUP(C52,Inputs!$C$4:$D$13,2,0),"")</f>
        <v/>
      </c>
      <c r="C52" s="144" t="s">
        <v>181</v>
      </c>
      <c r="D52" s="139"/>
      <c r="E52" s="123"/>
      <c r="F52" s="123"/>
      <c r="G52" s="123"/>
      <c r="H52" s="123"/>
      <c r="I52" s="123"/>
      <c r="J52" s="123"/>
      <c r="K52" s="138"/>
    </row>
    <row r="53" spans="2:11" x14ac:dyDescent="0.35">
      <c r="B53" s="45" t="str">
        <f>_xlfn.IFNA(VLOOKUP(C53,Inputs!$C$4:$D$13,2,0),"")</f>
        <v/>
      </c>
      <c r="C53" s="242"/>
      <c r="D53" s="242"/>
      <c r="E53" s="243"/>
      <c r="F53" s="243"/>
      <c r="G53" s="243"/>
      <c r="H53" s="243"/>
      <c r="I53" s="243"/>
      <c r="J53" s="243"/>
      <c r="K53" s="244"/>
    </row>
    <row r="54" spans="2:11" x14ac:dyDescent="0.35">
      <c r="B54" s="45" t="str">
        <f>_xlfn.IFNA(VLOOKUP(C54,Inputs!$C$4:$D$13,2,0),"")</f>
        <v/>
      </c>
      <c r="C54" s="242"/>
      <c r="D54" s="242"/>
      <c r="E54" s="243"/>
      <c r="F54" s="243"/>
      <c r="G54" s="243"/>
      <c r="H54" s="243"/>
      <c r="I54" s="243"/>
      <c r="J54" s="243"/>
      <c r="K54" s="244"/>
    </row>
    <row r="55" spans="2:11" x14ac:dyDescent="0.35">
      <c r="B55" s="45" t="str">
        <f>_xlfn.IFNA(VLOOKUP(C55,Inputs!$C$4:$D$13,2,0),"")</f>
        <v/>
      </c>
      <c r="C55" s="242"/>
      <c r="D55" s="242"/>
      <c r="E55" s="243"/>
      <c r="F55" s="243"/>
      <c r="G55" s="243"/>
      <c r="H55" s="243"/>
      <c r="I55" s="243"/>
      <c r="J55" s="243"/>
      <c r="K55" s="244"/>
    </row>
    <row r="56" spans="2:11" x14ac:dyDescent="0.35">
      <c r="B56" s="45" t="str">
        <f>_xlfn.IFNA(VLOOKUP(C56,Inputs!$C$4:$D$13,2,0),"")</f>
        <v/>
      </c>
      <c r="C56" s="242"/>
      <c r="D56" s="242"/>
      <c r="E56" s="243"/>
      <c r="F56" s="243"/>
      <c r="G56" s="243"/>
      <c r="H56" s="243"/>
      <c r="I56" s="243"/>
      <c r="J56" s="243"/>
      <c r="K56" s="244"/>
    </row>
    <row r="57" spans="2:11" x14ac:dyDescent="0.35">
      <c r="B57" s="45" t="str">
        <f>_xlfn.IFNA(VLOOKUP(C57,Inputs!$C$4:$D$13,2,0),"")</f>
        <v/>
      </c>
      <c r="C57" s="242"/>
      <c r="D57" s="242"/>
      <c r="E57" s="243"/>
      <c r="F57" s="243"/>
      <c r="G57" s="243"/>
      <c r="H57" s="243"/>
      <c r="I57" s="243"/>
      <c r="J57" s="243"/>
      <c r="K57" s="244"/>
    </row>
    <row r="58" spans="2:11" x14ac:dyDescent="0.35">
      <c r="B58" s="45" t="str">
        <f>_xlfn.IFNA(VLOOKUP(C58,Inputs!$C$4:$D$13,2,0),"")</f>
        <v/>
      </c>
      <c r="C58" s="242"/>
      <c r="D58" s="242"/>
      <c r="E58" s="243"/>
      <c r="F58" s="243"/>
      <c r="G58" s="243"/>
      <c r="H58" s="243"/>
      <c r="I58" s="243"/>
      <c r="J58" s="243"/>
      <c r="K58" s="244"/>
    </row>
    <row r="59" spans="2:11" x14ac:dyDescent="0.35">
      <c r="B59" s="45" t="str">
        <f>_xlfn.IFNA(VLOOKUP(C59,Inputs!$C$4:$D$13,2,0),"")</f>
        <v/>
      </c>
      <c r="C59" s="242"/>
      <c r="D59" s="242"/>
      <c r="E59" s="243"/>
      <c r="F59" s="243"/>
      <c r="G59" s="243"/>
      <c r="H59" s="243"/>
      <c r="I59" s="243"/>
      <c r="J59" s="243"/>
      <c r="K59" s="244"/>
    </row>
    <row r="60" spans="2:11" x14ac:dyDescent="0.35">
      <c r="B60" s="45" t="str">
        <f>_xlfn.IFNA(VLOOKUP(C60,Inputs!$C$4:$D$13,2,0),"")</f>
        <v/>
      </c>
      <c r="C60" s="242"/>
      <c r="D60" s="242"/>
      <c r="E60" s="243"/>
      <c r="F60" s="243"/>
      <c r="G60" s="243"/>
      <c r="H60" s="243"/>
      <c r="I60" s="243"/>
      <c r="J60" s="243"/>
      <c r="K60" s="244"/>
    </row>
    <row r="61" spans="2:11" x14ac:dyDescent="0.35">
      <c r="B61" s="45" t="str">
        <f>_xlfn.IFNA(VLOOKUP(C61,Inputs!$C$4:$D$13,2,0),"")</f>
        <v/>
      </c>
      <c r="C61" s="242"/>
      <c r="D61" s="242"/>
      <c r="E61" s="243"/>
      <c r="F61" s="243"/>
      <c r="G61" s="243"/>
      <c r="H61" s="243"/>
      <c r="I61" s="243"/>
      <c r="J61" s="243"/>
      <c r="K61" s="244"/>
    </row>
    <row r="62" spans="2:11" x14ac:dyDescent="0.35">
      <c r="B62" s="45" t="str">
        <f>_xlfn.IFNA(VLOOKUP(C62,Inputs!$C$4:$D$13,2,0),"")</f>
        <v/>
      </c>
      <c r="C62" s="242"/>
      <c r="D62" s="242"/>
      <c r="E62" s="243"/>
      <c r="F62" s="243"/>
      <c r="G62" s="243"/>
      <c r="H62" s="243"/>
      <c r="I62" s="243"/>
      <c r="J62" s="243"/>
      <c r="K62" s="244"/>
    </row>
    <row r="63" spans="2:11" x14ac:dyDescent="0.35">
      <c r="B63" s="45" t="str">
        <f>_xlfn.IFNA(VLOOKUP(C63,Inputs!$C$4:$D$13,2,0),"")</f>
        <v/>
      </c>
      <c r="C63" s="245"/>
      <c r="D63" s="245"/>
      <c r="E63" s="246"/>
      <c r="F63" s="246"/>
      <c r="G63" s="246"/>
      <c r="H63" s="246"/>
      <c r="I63" s="246"/>
      <c r="J63" s="246"/>
      <c r="K63" s="247"/>
    </row>
    <row r="64" spans="2:11" x14ac:dyDescent="0.35">
      <c r="B64" s="45"/>
      <c r="C64" s="117"/>
      <c r="D64" s="137" t="s">
        <v>184</v>
      </c>
      <c r="E64" s="123">
        <f>SUM(E53:E63)</f>
        <v>0</v>
      </c>
      <c r="F64" s="123">
        <f t="shared" ref="F64:J64" si="2">SUM(F53:F63)</f>
        <v>0</v>
      </c>
      <c r="G64" s="123">
        <f t="shared" si="2"/>
        <v>0</v>
      </c>
      <c r="H64" s="123">
        <f t="shared" si="2"/>
        <v>0</v>
      </c>
      <c r="I64" s="123">
        <f t="shared" si="2"/>
        <v>0</v>
      </c>
      <c r="J64" s="123">
        <f t="shared" si="2"/>
        <v>0</v>
      </c>
      <c r="K64" s="138"/>
    </row>
    <row r="65" spans="2:11" x14ac:dyDescent="0.35">
      <c r="B65" s="45"/>
      <c r="C65" s="117"/>
      <c r="D65" s="137" t="s">
        <v>240</v>
      </c>
      <c r="E65" s="124"/>
      <c r="F65" s="128">
        <f>IFERROR(F64/F$8,"-")</f>
        <v>0</v>
      </c>
      <c r="G65" s="128">
        <f>IFERROR(G64/G$8,"-")</f>
        <v>0</v>
      </c>
      <c r="H65" s="128">
        <f>IFERROR(H64/H$8,"-")</f>
        <v>0</v>
      </c>
      <c r="I65" s="128">
        <f>IFERROR(I64/I$8,"-")</f>
        <v>0</v>
      </c>
      <c r="J65" s="128">
        <f>IFERROR(J64/J$8,"-")</f>
        <v>0</v>
      </c>
      <c r="K65" s="138"/>
    </row>
    <row r="66" spans="2:11" ht="29" x14ac:dyDescent="0.35">
      <c r="B66" s="45" t="str">
        <f>_xlfn.IFNA(VLOOKUP(C66,Inputs!$C$4:$D$13,2,0),"")</f>
        <v/>
      </c>
      <c r="C66" s="117" t="s">
        <v>180</v>
      </c>
      <c r="D66" s="139"/>
      <c r="E66" s="123"/>
      <c r="F66" s="123"/>
      <c r="G66" s="123"/>
      <c r="H66" s="123"/>
      <c r="I66" s="123"/>
      <c r="J66" s="123"/>
      <c r="K66" s="138"/>
    </row>
    <row r="67" spans="2:11" ht="52.5" x14ac:dyDescent="0.35">
      <c r="B67" s="45">
        <f>_xlfn.IFNA(VLOOKUP(C67,Inputs!$C$4:$D$13,2,0),"")</f>
        <v>621</v>
      </c>
      <c r="C67" s="242" t="s">
        <v>170</v>
      </c>
      <c r="D67" s="242" t="s">
        <v>170</v>
      </c>
      <c r="E67" s="243"/>
      <c r="F67" s="243">
        <v>4500</v>
      </c>
      <c r="G67" s="243">
        <v>7000</v>
      </c>
      <c r="H67" s="243">
        <v>10000</v>
      </c>
      <c r="I67" s="243">
        <v>12000</v>
      </c>
      <c r="J67" s="243">
        <v>12500</v>
      </c>
      <c r="K67" s="244" t="s">
        <v>505</v>
      </c>
    </row>
    <row r="68" spans="2:11" x14ac:dyDescent="0.35">
      <c r="B68" s="45">
        <f>_xlfn.IFNA(VLOOKUP(C68,Inputs!$C$4:$D$13,2,0),"")</f>
        <v>622</v>
      </c>
      <c r="C68" s="242" t="s">
        <v>171</v>
      </c>
      <c r="D68" s="242" t="s">
        <v>171</v>
      </c>
      <c r="E68" s="243"/>
      <c r="F68" s="243">
        <v>30000</v>
      </c>
      <c r="G68" s="243">
        <v>32000</v>
      </c>
      <c r="H68" s="243">
        <v>34000</v>
      </c>
      <c r="I68" s="243">
        <v>37000</v>
      </c>
      <c r="J68" s="243">
        <v>38000</v>
      </c>
      <c r="K68" s="244"/>
    </row>
    <row r="69" spans="2:11" ht="26.5" x14ac:dyDescent="0.35">
      <c r="B69" s="45">
        <f>_xlfn.IFNA(VLOOKUP(C69,Inputs!$C$4:$D$13,2,0),"")</f>
        <v>610</v>
      </c>
      <c r="C69" s="242" t="s">
        <v>168</v>
      </c>
      <c r="D69" s="242" t="s">
        <v>524</v>
      </c>
      <c r="E69" s="243"/>
      <c r="F69" s="243">
        <v>2500</v>
      </c>
      <c r="G69" s="243">
        <v>2500</v>
      </c>
      <c r="H69" s="243">
        <v>2500</v>
      </c>
      <c r="I69" s="243">
        <v>2500</v>
      </c>
      <c r="J69" s="243">
        <v>2500</v>
      </c>
      <c r="K69" s="244" t="s">
        <v>525</v>
      </c>
    </row>
    <row r="70" spans="2:11" x14ac:dyDescent="0.35">
      <c r="B70" s="45" t="str">
        <f>_xlfn.IFNA(VLOOKUP(C70,Inputs!$C$4:$D$13,2,0),"")</f>
        <v/>
      </c>
      <c r="C70" s="242"/>
      <c r="D70" s="242"/>
      <c r="E70" s="243"/>
      <c r="F70" s="243"/>
      <c r="G70" s="243"/>
      <c r="H70" s="243"/>
      <c r="I70" s="243"/>
      <c r="J70" s="243"/>
      <c r="K70" s="244"/>
    </row>
    <row r="71" spans="2:11" x14ac:dyDescent="0.35">
      <c r="B71" s="45" t="str">
        <f>_xlfn.IFNA(VLOOKUP(C71,Inputs!$C$4:$D$13,2,0),"")</f>
        <v/>
      </c>
      <c r="C71" s="242"/>
      <c r="D71" s="242"/>
      <c r="E71" s="243"/>
      <c r="F71" s="243"/>
      <c r="G71" s="243"/>
      <c r="H71" s="243"/>
      <c r="I71" s="243"/>
      <c r="J71" s="243"/>
      <c r="K71" s="244"/>
    </row>
    <row r="72" spans="2:11" x14ac:dyDescent="0.35">
      <c r="B72" s="45" t="str">
        <f>_xlfn.IFNA(VLOOKUP(C72,Inputs!$C$4:$D$13,2,0),"")</f>
        <v/>
      </c>
      <c r="C72" s="242"/>
      <c r="D72" s="242"/>
      <c r="E72" s="243"/>
      <c r="F72" s="243"/>
      <c r="G72" s="243"/>
      <c r="H72" s="243"/>
      <c r="I72" s="243"/>
      <c r="J72" s="243"/>
      <c r="K72" s="244"/>
    </row>
    <row r="73" spans="2:11" x14ac:dyDescent="0.35">
      <c r="B73" s="45" t="str">
        <f>_xlfn.IFNA(VLOOKUP(C73,Inputs!$C$4:$D$13,2,0),"")</f>
        <v/>
      </c>
      <c r="C73" s="242"/>
      <c r="D73" s="242"/>
      <c r="E73" s="243"/>
      <c r="F73" s="243"/>
      <c r="G73" s="243"/>
      <c r="H73" s="243"/>
      <c r="I73" s="243"/>
      <c r="J73" s="243"/>
      <c r="K73" s="244"/>
    </row>
    <row r="74" spans="2:11" x14ac:dyDescent="0.35">
      <c r="B74" s="45" t="str">
        <f>_xlfn.IFNA(VLOOKUP(C74,Inputs!$C$4:$D$13,2,0),"")</f>
        <v/>
      </c>
      <c r="C74" s="242"/>
      <c r="D74" s="242"/>
      <c r="E74" s="243"/>
      <c r="F74" s="243"/>
      <c r="G74" s="243"/>
      <c r="H74" s="243"/>
      <c r="I74" s="243"/>
      <c r="J74" s="243"/>
      <c r="K74" s="244"/>
    </row>
    <row r="75" spans="2:11" x14ac:dyDescent="0.35">
      <c r="B75" s="45" t="str">
        <f>_xlfn.IFNA(VLOOKUP(C75,Inputs!$C$4:$D$13,2,0),"")</f>
        <v/>
      </c>
      <c r="C75" s="242"/>
      <c r="D75" s="242"/>
      <c r="E75" s="243"/>
      <c r="F75" s="243"/>
      <c r="G75" s="243"/>
      <c r="H75" s="243"/>
      <c r="I75" s="243"/>
      <c r="J75" s="243"/>
      <c r="K75" s="244"/>
    </row>
    <row r="76" spans="2:11" x14ac:dyDescent="0.35">
      <c r="B76" s="45" t="str">
        <f>_xlfn.IFNA(VLOOKUP(C76,Inputs!$C$4:$D$13,2,0),"")</f>
        <v/>
      </c>
      <c r="C76" s="242"/>
      <c r="D76" s="242"/>
      <c r="E76" s="232"/>
      <c r="F76" s="232"/>
      <c r="G76" s="232"/>
      <c r="H76" s="232"/>
      <c r="I76" s="232"/>
      <c r="J76" s="232"/>
      <c r="K76" s="244"/>
    </row>
    <row r="77" spans="2:11" x14ac:dyDescent="0.35">
      <c r="B77" s="45" t="str">
        <f>_xlfn.IFNA(VLOOKUP(C77,Inputs!$C$4:$D$13,2,0),"")</f>
        <v/>
      </c>
      <c r="C77" s="245"/>
      <c r="D77" s="242"/>
      <c r="E77" s="246"/>
      <c r="F77" s="246"/>
      <c r="G77" s="246"/>
      <c r="H77" s="246"/>
      <c r="I77" s="246"/>
      <c r="J77" s="246"/>
      <c r="K77" s="247"/>
    </row>
    <row r="78" spans="2:11" x14ac:dyDescent="0.35">
      <c r="B78" s="45"/>
      <c r="C78" s="117"/>
      <c r="D78" s="137" t="s">
        <v>185</v>
      </c>
      <c r="E78" s="123">
        <f>SUM(E67:E77)</f>
        <v>0</v>
      </c>
      <c r="F78" s="123">
        <f t="shared" ref="F78:J78" si="3">SUM(F67:F77)</f>
        <v>37000</v>
      </c>
      <c r="G78" s="123">
        <f t="shared" si="3"/>
        <v>41500</v>
      </c>
      <c r="H78" s="123">
        <f t="shared" si="3"/>
        <v>46500</v>
      </c>
      <c r="I78" s="123">
        <f t="shared" si="3"/>
        <v>51500</v>
      </c>
      <c r="J78" s="123">
        <f t="shared" si="3"/>
        <v>53000</v>
      </c>
      <c r="K78" s="138"/>
    </row>
    <row r="79" spans="2:11" ht="15" thickBot="1" x14ac:dyDescent="0.4">
      <c r="B79" s="45"/>
      <c r="C79" s="122"/>
      <c r="D79" s="146" t="s">
        <v>240</v>
      </c>
      <c r="E79" s="125"/>
      <c r="F79" s="129">
        <f>IFERROR(F78/F$8,"-")</f>
        <v>264.28571428571428</v>
      </c>
      <c r="G79" s="129">
        <f>IFERROR(G78/G$8,"-")</f>
        <v>148.21428571428572</v>
      </c>
      <c r="H79" s="129">
        <f>IFERROR(H78/H$8,"-")</f>
        <v>110.71428571428571</v>
      </c>
      <c r="I79" s="129">
        <f>IFERROR(I78/I$8,"-")</f>
        <v>95.370370370370367</v>
      </c>
      <c r="J79" s="129">
        <f>IFERROR(J78/J$8,"-")</f>
        <v>92.982456140350877</v>
      </c>
      <c r="K79" s="140"/>
    </row>
    <row r="80" spans="2:11" ht="21.65" customHeight="1" thickTop="1" x14ac:dyDescent="0.4">
      <c r="B80" s="141"/>
      <c r="C80" s="142"/>
      <c r="D80" s="159" t="s">
        <v>254</v>
      </c>
      <c r="E80" s="160">
        <f>E78+E64+E50+E32</f>
        <v>249700</v>
      </c>
      <c r="F80" s="160">
        <f t="shared" ref="F80:J80" si="4">F78+F64+F50+F32</f>
        <v>258010</v>
      </c>
      <c r="G80" s="160">
        <f t="shared" si="4"/>
        <v>127120</v>
      </c>
      <c r="H80" s="160">
        <f t="shared" si="4"/>
        <v>190980</v>
      </c>
      <c r="I80" s="160">
        <f t="shared" si="4"/>
        <v>188165</v>
      </c>
      <c r="J80" s="160">
        <f t="shared" si="4"/>
        <v>211365</v>
      </c>
      <c r="K80" s="46"/>
    </row>
    <row r="81" spans="2:11" ht="20.399999999999999" customHeight="1" x14ac:dyDescent="0.35">
      <c r="B81" s="47"/>
      <c r="C81" s="3"/>
      <c r="D81" s="143" t="s">
        <v>186</v>
      </c>
      <c r="E81" s="126"/>
      <c r="F81" s="130">
        <f>IFERROR(F80/F$8,"-")</f>
        <v>1842.9285714285713</v>
      </c>
      <c r="G81" s="130">
        <f>IFERROR(G80/G$8,"-")</f>
        <v>454</v>
      </c>
      <c r="H81" s="130">
        <f>IFERROR(H80/H$8,"-")</f>
        <v>454.71428571428572</v>
      </c>
      <c r="I81" s="130">
        <f>IFERROR(I80/I$8,"-")</f>
        <v>348.4537037037037</v>
      </c>
      <c r="J81" s="130">
        <f>IFERROR(J80/J$8,"-")</f>
        <v>370.81578947368422</v>
      </c>
      <c r="K81" s="48"/>
    </row>
    <row r="82" spans="2:11" x14ac:dyDescent="0.35">
      <c r="B82" s="1"/>
    </row>
    <row r="83" spans="2:11" x14ac:dyDescent="0.35">
      <c r="B83" s="1"/>
    </row>
    <row r="84" spans="2:11" x14ac:dyDescent="0.35">
      <c r="B84" s="1"/>
    </row>
    <row r="85" spans="2:11" x14ac:dyDescent="0.35">
      <c r="B85" s="1"/>
    </row>
    <row r="86" spans="2:11" x14ac:dyDescent="0.35">
      <c r="B86" s="1"/>
    </row>
    <row r="87" spans="2:11" x14ac:dyDescent="0.35">
      <c r="B87" s="1"/>
    </row>
    <row r="88" spans="2:11" x14ac:dyDescent="0.35">
      <c r="B88" s="1"/>
    </row>
    <row r="89" spans="2:11" x14ac:dyDescent="0.35">
      <c r="B89" s="1"/>
    </row>
  </sheetData>
  <sheetProtection algorithmName="SHA-512" hashValue="RqrGw2o99D0DFmI1X8p4SPwwdMIW1e1gdxR+4D8fZDroNx+7MrT/Xwb6YGRClqKtHeH+bi2R4Ab9JEp7N7kTgg==" saltValue="F/ZME583D9AxpIYVRO0Jcw==" spinCount="100000" sheet="1" objects="1" scenarios="1"/>
  <mergeCells count="1">
    <mergeCell ref="C5:J5"/>
  </mergeCells>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600-000000000000}">
          <x14:formula1>
            <xm:f>Inputs!$C$4:$C$18</xm:f>
          </x14:formula1>
          <xm:sqref>C35:C49 C53:C63 C13:C31 C67:C77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109"/>
  <sheetViews>
    <sheetView tabSelected="1" zoomScale="70" zoomScaleNormal="70" workbookViewId="0">
      <pane xSplit="4" ySplit="11" topLeftCell="E78" activePane="bottomRight" state="frozen"/>
      <selection pane="topRight" activeCell="E1" sqref="E1"/>
      <selection pane="bottomLeft" activeCell="A12" sqref="A12"/>
      <selection pane="bottomRight" activeCell="I98" sqref="I98:J98"/>
    </sheetView>
  </sheetViews>
  <sheetFormatPr defaultRowHeight="14.5" x14ac:dyDescent="0.35"/>
  <cols>
    <col min="1" max="1" width="5.90625" customWidth="1"/>
    <col min="2" max="2" width="13.08984375" customWidth="1"/>
    <col min="3" max="3" width="49.36328125" style="2" customWidth="1"/>
    <col min="4" max="4" width="45" style="2" customWidth="1"/>
    <col min="5" max="10" width="13.90625" customWidth="1"/>
    <col min="11" max="11" width="58" customWidth="1"/>
  </cols>
  <sheetData>
    <row r="1" spans="2:11" ht="18.5" x14ac:dyDescent="0.45">
      <c r="B1" s="36" t="s">
        <v>120</v>
      </c>
      <c r="C1" s="38" t="str">
        <f>Summary!C1</f>
        <v>Legal Prep Charter Academy</v>
      </c>
    </row>
    <row r="2" spans="2:11" ht="18.5" x14ac:dyDescent="0.45">
      <c r="B2" s="36" t="s">
        <v>126</v>
      </c>
      <c r="C2" s="38" t="str">
        <f>Summary!C2</f>
        <v>Las Vegas</v>
      </c>
    </row>
    <row r="3" spans="2:11" ht="18.5" x14ac:dyDescent="0.45">
      <c r="B3" s="36" t="s">
        <v>121</v>
      </c>
      <c r="C3" s="38">
        <f>Summary!C3</f>
        <v>2027</v>
      </c>
    </row>
    <row r="4" spans="2:11" ht="18.5" x14ac:dyDescent="0.45">
      <c r="B4" s="36"/>
      <c r="C4" s="38"/>
      <c r="E4" s="67"/>
    </row>
    <row r="5" spans="2:11" ht="21" x14ac:dyDescent="0.5">
      <c r="B5" s="36"/>
      <c r="C5" s="266" t="s">
        <v>187</v>
      </c>
      <c r="D5" s="266"/>
      <c r="E5" s="266"/>
      <c r="F5" s="266"/>
      <c r="G5" s="266"/>
      <c r="H5" s="266"/>
      <c r="I5" s="266"/>
      <c r="J5" s="266"/>
    </row>
    <row r="7" spans="2:11" ht="16.5" thickBot="1" x14ac:dyDescent="0.45">
      <c r="D7" s="65" t="s">
        <v>147</v>
      </c>
      <c r="E7" s="66" t="str">
        <f>($C$3-1)&amp;"-"&amp;($C$3+0)</f>
        <v>2026-2027</v>
      </c>
      <c r="F7" s="66" t="str">
        <f>($C$3+0)&amp;"-"&amp;($C$3+1)</f>
        <v>2027-2028</v>
      </c>
      <c r="G7" s="66" t="str">
        <f>($C$3+1)&amp;"-"&amp;($C$3+2)</f>
        <v>2028-2029</v>
      </c>
      <c r="H7" s="66" t="str">
        <f>($C$3+2)&amp;"-"&amp;($C$3+3)</f>
        <v>2029-2030</v>
      </c>
      <c r="I7" s="66" t="str">
        <f>($C$3+3)&amp;"-"&amp;($C$3+4)</f>
        <v>2030-2031</v>
      </c>
      <c r="J7" s="66" t="str">
        <f>($C$3+4)&amp;"-"&amp;($C$3+5)</f>
        <v>2031-2032</v>
      </c>
    </row>
    <row r="8" spans="2:11" x14ac:dyDescent="0.35">
      <c r="D8" s="84" t="s">
        <v>133</v>
      </c>
      <c r="E8" s="80"/>
      <c r="F8" s="57">
        <f>Enrollment!D$23</f>
        <v>140</v>
      </c>
      <c r="G8" s="57">
        <f>Enrollment!E$23</f>
        <v>280</v>
      </c>
      <c r="H8" s="57">
        <f>Enrollment!F$23</f>
        <v>420</v>
      </c>
      <c r="I8" s="57">
        <f>Enrollment!G$23</f>
        <v>540</v>
      </c>
      <c r="J8" s="57">
        <f>Enrollment!H$23</f>
        <v>570</v>
      </c>
    </row>
    <row r="9" spans="2:11" x14ac:dyDescent="0.35">
      <c r="D9" s="37" t="s">
        <v>124</v>
      </c>
      <c r="E9" s="131"/>
      <c r="F9" s="81"/>
      <c r="G9" s="73">
        <f>Enrollment!E24</f>
        <v>1</v>
      </c>
      <c r="H9" s="73">
        <f>Enrollment!F24</f>
        <v>0.5</v>
      </c>
      <c r="I9" s="73">
        <f>Enrollment!G24</f>
        <v>0.2857142857142857</v>
      </c>
      <c r="J9" s="73">
        <f>Enrollment!H24</f>
        <v>5.5555555555555552E-2</v>
      </c>
    </row>
    <row r="10" spans="2:11" ht="16" x14ac:dyDescent="0.4">
      <c r="B10" s="1"/>
      <c r="E10" s="57"/>
      <c r="F10" s="127"/>
      <c r="G10" s="127"/>
      <c r="H10" s="127"/>
      <c r="I10" s="127"/>
      <c r="J10" s="127"/>
    </row>
    <row r="11" spans="2:11" ht="29" x14ac:dyDescent="0.35">
      <c r="B11" s="19" t="s">
        <v>87</v>
      </c>
      <c r="C11" s="23" t="s">
        <v>115</v>
      </c>
      <c r="D11" s="23" t="s">
        <v>116</v>
      </c>
      <c r="E11" s="60" t="s">
        <v>2</v>
      </c>
      <c r="F11" s="60" t="s">
        <v>3</v>
      </c>
      <c r="G11" s="60" t="s">
        <v>4</v>
      </c>
      <c r="H11" s="60" t="s">
        <v>5</v>
      </c>
      <c r="I11" s="60" t="s">
        <v>6</v>
      </c>
      <c r="J11" s="60" t="s">
        <v>7</v>
      </c>
      <c r="K11" s="20" t="s">
        <v>16</v>
      </c>
    </row>
    <row r="12" spans="2:11" ht="22.25" customHeight="1" x14ac:dyDescent="0.35">
      <c r="B12" s="132"/>
      <c r="C12" s="145" t="s">
        <v>188</v>
      </c>
      <c r="D12" s="134"/>
      <c r="E12" s="135"/>
      <c r="F12" s="135"/>
      <c r="G12" s="135"/>
      <c r="H12" s="135"/>
      <c r="I12" s="135"/>
      <c r="J12" s="135"/>
      <c r="K12" s="136"/>
    </row>
    <row r="13" spans="2:11" ht="26.5" x14ac:dyDescent="0.35">
      <c r="B13" s="45">
        <f>_xlfn.IFNA(VLOOKUP(C13,Inputs!$F$4:$G$43,2,0),"")</f>
        <v>331</v>
      </c>
      <c r="C13" s="242" t="s">
        <v>196</v>
      </c>
      <c r="D13" s="242" t="s">
        <v>403</v>
      </c>
      <c r="E13" s="243"/>
      <c r="F13" s="243">
        <v>3500</v>
      </c>
      <c r="G13" s="243">
        <v>7000</v>
      </c>
      <c r="H13" s="243">
        <v>12500</v>
      </c>
      <c r="I13" s="243">
        <v>16000</v>
      </c>
      <c r="J13" s="243">
        <v>16000</v>
      </c>
      <c r="K13" s="244" t="s">
        <v>526</v>
      </c>
    </row>
    <row r="14" spans="2:11" x14ac:dyDescent="0.35">
      <c r="B14" s="45">
        <f>_xlfn.IFNA(VLOOKUP(C14,Inputs!$F$4:$G$43,2,0),"")</f>
        <v>340</v>
      </c>
      <c r="C14" s="242" t="s">
        <v>202</v>
      </c>
      <c r="D14" s="242" t="s">
        <v>404</v>
      </c>
      <c r="E14" s="243"/>
      <c r="F14" s="243">
        <v>7500</v>
      </c>
      <c r="G14" s="243">
        <v>16500</v>
      </c>
      <c r="H14" s="243">
        <v>28500</v>
      </c>
      <c r="I14" s="243">
        <v>37500</v>
      </c>
      <c r="J14" s="243">
        <v>37500</v>
      </c>
      <c r="K14" s="244" t="s">
        <v>405</v>
      </c>
    </row>
    <row r="15" spans="2:11" x14ac:dyDescent="0.35">
      <c r="B15" s="45">
        <f>_xlfn.IFNA(VLOOKUP(C15,Inputs!$F$4:$G$43,2,0),"")</f>
        <v>443</v>
      </c>
      <c r="C15" s="242" t="s">
        <v>213</v>
      </c>
      <c r="D15" s="242" t="s">
        <v>467</v>
      </c>
      <c r="E15" s="243"/>
      <c r="F15" s="243">
        <v>12000</v>
      </c>
      <c r="G15" s="243">
        <v>12000</v>
      </c>
      <c r="H15" s="243">
        <v>12000</v>
      </c>
      <c r="I15" s="243">
        <v>12000</v>
      </c>
      <c r="J15" s="243">
        <v>12000</v>
      </c>
      <c r="K15" s="244" t="s">
        <v>487</v>
      </c>
    </row>
    <row r="16" spans="2:11" ht="26.5" x14ac:dyDescent="0.35">
      <c r="B16" s="45">
        <f>_xlfn.IFNA(VLOOKUP(C16,Inputs!$F$4:$G$43,2,0),"")</f>
        <v>510</v>
      </c>
      <c r="C16" s="242" t="s">
        <v>216</v>
      </c>
      <c r="D16" s="242" t="s">
        <v>509</v>
      </c>
      <c r="E16" s="243"/>
      <c r="F16" s="243">
        <v>4350</v>
      </c>
      <c r="G16" s="243">
        <v>8700</v>
      </c>
      <c r="H16" s="243">
        <v>12050</v>
      </c>
      <c r="I16" s="243">
        <v>14775</v>
      </c>
      <c r="J16" s="243">
        <v>14775</v>
      </c>
      <c r="K16" s="244" t="s">
        <v>515</v>
      </c>
    </row>
    <row r="17" spans="2:11" ht="39.5" x14ac:dyDescent="0.35">
      <c r="B17" s="45">
        <f>_xlfn.IFNA(VLOOKUP(C17,Inputs!$F$4:$G$43,2,0),"")</f>
        <v>360</v>
      </c>
      <c r="C17" s="242" t="s">
        <v>206</v>
      </c>
      <c r="D17" s="242" t="s">
        <v>509</v>
      </c>
      <c r="E17" s="243"/>
      <c r="F17" s="243">
        <v>3000</v>
      </c>
      <c r="G17" s="243">
        <v>6000</v>
      </c>
      <c r="H17" s="243">
        <v>10000</v>
      </c>
      <c r="I17" s="243">
        <v>12000</v>
      </c>
      <c r="J17" s="243">
        <v>12000</v>
      </c>
      <c r="K17" s="244" t="s">
        <v>516</v>
      </c>
    </row>
    <row r="18" spans="2:11" ht="39.5" x14ac:dyDescent="0.35">
      <c r="B18" s="45">
        <f>_xlfn.IFNA(VLOOKUP(C18,Inputs!$F$4:$G$43,2,0),"")</f>
        <v>510</v>
      </c>
      <c r="C18" s="242" t="s">
        <v>216</v>
      </c>
      <c r="D18" s="245" t="s">
        <v>510</v>
      </c>
      <c r="E18" s="243"/>
      <c r="F18" s="243">
        <v>6720</v>
      </c>
      <c r="G18" s="243">
        <v>13440</v>
      </c>
      <c r="H18" s="243">
        <v>20160</v>
      </c>
      <c r="I18" s="243">
        <v>24480</v>
      </c>
      <c r="J18" s="243">
        <v>24480</v>
      </c>
      <c r="K18" s="244" t="s">
        <v>514</v>
      </c>
    </row>
    <row r="19" spans="2:11" x14ac:dyDescent="0.35">
      <c r="B19" s="45" t="str">
        <f>_xlfn.IFNA(VLOOKUP(C19,Inputs!$F$4:$G$43,2,0),"")</f>
        <v/>
      </c>
      <c r="C19" s="242"/>
      <c r="D19" s="242"/>
      <c r="E19" s="243"/>
      <c r="F19" s="243"/>
      <c r="G19" s="243"/>
      <c r="H19" s="243"/>
      <c r="I19" s="243"/>
      <c r="J19" s="243"/>
      <c r="K19" s="244"/>
    </row>
    <row r="20" spans="2:11" x14ac:dyDescent="0.35">
      <c r="B20" s="45" t="str">
        <f>_xlfn.IFNA(VLOOKUP(C20,Inputs!$F$4:$G$43,2,0),"")</f>
        <v/>
      </c>
      <c r="C20" s="242"/>
      <c r="D20" s="242"/>
      <c r="E20" s="243"/>
      <c r="F20" s="243"/>
      <c r="G20" s="243"/>
      <c r="H20" s="243"/>
      <c r="I20" s="243"/>
      <c r="J20" s="243"/>
      <c r="K20" s="244"/>
    </row>
    <row r="21" spans="2:11" x14ac:dyDescent="0.35">
      <c r="B21" s="45" t="str">
        <f>_xlfn.IFNA(VLOOKUP(C21,Inputs!$F$4:$G$43,2,0),"")</f>
        <v/>
      </c>
      <c r="C21" s="242"/>
      <c r="D21" s="242"/>
      <c r="E21" s="243"/>
      <c r="F21" s="243"/>
      <c r="G21" s="243"/>
      <c r="H21" s="243"/>
      <c r="I21" s="243"/>
      <c r="J21" s="243"/>
      <c r="K21" s="244"/>
    </row>
    <row r="22" spans="2:11" x14ac:dyDescent="0.35">
      <c r="B22" s="45" t="str">
        <f>_xlfn.IFNA(VLOOKUP(C22,Inputs!$F$4:$G$43,2,0),"")</f>
        <v/>
      </c>
      <c r="C22" s="242"/>
      <c r="D22" s="242"/>
      <c r="E22" s="243"/>
      <c r="F22" s="243"/>
      <c r="G22" s="243"/>
      <c r="H22" s="243"/>
      <c r="I22" s="243"/>
      <c r="J22" s="243"/>
      <c r="K22" s="244"/>
    </row>
    <row r="23" spans="2:11" x14ac:dyDescent="0.35">
      <c r="B23" s="45" t="str">
        <f>_xlfn.IFNA(VLOOKUP(C23,Inputs!$F$4:$G$43,2,0),"")</f>
        <v/>
      </c>
      <c r="C23" s="242"/>
      <c r="D23" s="242"/>
      <c r="E23" s="243"/>
      <c r="F23" s="243"/>
      <c r="G23" s="243"/>
      <c r="H23" s="243"/>
      <c r="I23" s="243"/>
      <c r="J23" s="243"/>
      <c r="K23" s="244"/>
    </row>
    <row r="24" spans="2:11" x14ac:dyDescent="0.35">
      <c r="B24" s="45" t="str">
        <f>_xlfn.IFNA(VLOOKUP(C24,Inputs!$F$4:$G$43,2,0),"")</f>
        <v/>
      </c>
      <c r="C24" s="242"/>
      <c r="D24" s="242"/>
      <c r="E24" s="243"/>
      <c r="F24" s="243"/>
      <c r="G24" s="243"/>
      <c r="H24" s="243"/>
      <c r="I24" s="243"/>
      <c r="J24" s="243"/>
      <c r="K24" s="244"/>
    </row>
    <row r="25" spans="2:11" x14ac:dyDescent="0.35">
      <c r="B25" s="45" t="str">
        <f>_xlfn.IFNA(VLOOKUP(C25,Inputs!$F$4:$G$43,2,0),"")</f>
        <v/>
      </c>
      <c r="C25" s="242"/>
      <c r="D25" s="242"/>
      <c r="E25" s="243"/>
      <c r="F25" s="243"/>
      <c r="G25" s="243"/>
      <c r="H25" s="243"/>
      <c r="I25" s="243"/>
      <c r="J25" s="243"/>
      <c r="K25" s="244"/>
    </row>
    <row r="26" spans="2:11" x14ac:dyDescent="0.35">
      <c r="B26" s="45" t="str">
        <f>_xlfn.IFNA(VLOOKUP(C26,Inputs!$F$4:$G$43,2,0),"")</f>
        <v/>
      </c>
      <c r="C26" s="242"/>
      <c r="D26" s="242"/>
      <c r="E26" s="243"/>
      <c r="F26" s="243"/>
      <c r="G26" s="243"/>
      <c r="H26" s="243"/>
      <c r="I26" s="243"/>
      <c r="J26" s="243"/>
      <c r="K26" s="244"/>
    </row>
    <row r="27" spans="2:11" x14ac:dyDescent="0.35">
      <c r="B27" s="45" t="str">
        <f>_xlfn.IFNA(VLOOKUP(C27,Inputs!$F$4:$G$43,2,0),"")</f>
        <v/>
      </c>
      <c r="C27" s="242"/>
      <c r="D27" s="242"/>
      <c r="E27" s="243"/>
      <c r="F27" s="243"/>
      <c r="G27" s="243"/>
      <c r="H27" s="243"/>
      <c r="I27" s="243"/>
      <c r="J27" s="243"/>
      <c r="K27" s="244"/>
    </row>
    <row r="28" spans="2:11" x14ac:dyDescent="0.35">
      <c r="B28" s="45"/>
      <c r="C28" s="144" t="s">
        <v>189</v>
      </c>
      <c r="D28" s="139"/>
      <c r="E28" s="123"/>
      <c r="F28" s="123"/>
      <c r="G28" s="123"/>
      <c r="H28" s="123"/>
      <c r="I28" s="123"/>
      <c r="J28" s="123"/>
      <c r="K28" s="138"/>
    </row>
    <row r="29" spans="2:11" ht="39.5" x14ac:dyDescent="0.35">
      <c r="B29" s="45">
        <f>_xlfn.IFNA(VLOOKUP(C29,Inputs!$F$4:$G$43,2,0),"")</f>
        <v>340</v>
      </c>
      <c r="C29" s="242" t="s">
        <v>202</v>
      </c>
      <c r="D29" s="242" t="s">
        <v>401</v>
      </c>
      <c r="E29" s="243"/>
      <c r="F29" s="243">
        <v>32800</v>
      </c>
      <c r="G29" s="243">
        <v>40000</v>
      </c>
      <c r="H29" s="243">
        <v>48000</v>
      </c>
      <c r="I29" s="243">
        <v>55000</v>
      </c>
      <c r="J29" s="243">
        <v>58000</v>
      </c>
      <c r="K29" s="244" t="s">
        <v>402</v>
      </c>
    </row>
    <row r="30" spans="2:11" x14ac:dyDescent="0.35">
      <c r="B30" s="45" t="str">
        <f>_xlfn.IFNA(VLOOKUP(C30,Inputs!$F$4:$G$43,2,0),"")</f>
        <v/>
      </c>
      <c r="C30" s="242"/>
      <c r="D30" s="242"/>
      <c r="E30" s="243"/>
      <c r="F30" s="243"/>
      <c r="G30" s="243"/>
      <c r="H30" s="243"/>
      <c r="I30" s="243"/>
      <c r="J30" s="243"/>
      <c r="K30" s="244"/>
    </row>
    <row r="31" spans="2:11" x14ac:dyDescent="0.35">
      <c r="B31" s="45" t="str">
        <f>_xlfn.IFNA(VLOOKUP(C31,Inputs!$F$4:$G$43,2,0),"")</f>
        <v/>
      </c>
      <c r="C31" s="242"/>
      <c r="D31" s="242"/>
      <c r="E31" s="243"/>
      <c r="F31" s="243"/>
      <c r="G31" s="243"/>
      <c r="H31" s="243"/>
      <c r="I31" s="243"/>
      <c r="J31" s="243"/>
      <c r="K31" s="244"/>
    </row>
    <row r="32" spans="2:11" x14ac:dyDescent="0.35">
      <c r="B32" s="45" t="str">
        <f>_xlfn.IFNA(VLOOKUP(C32,Inputs!$F$4:$G$43,2,0),"")</f>
        <v/>
      </c>
      <c r="C32" s="242"/>
      <c r="D32" s="242"/>
      <c r="E32" s="243"/>
      <c r="F32" s="243"/>
      <c r="G32" s="243"/>
      <c r="H32" s="243"/>
      <c r="I32" s="243"/>
      <c r="J32" s="243"/>
      <c r="K32" s="244"/>
    </row>
    <row r="33" spans="2:11" x14ac:dyDescent="0.35">
      <c r="B33" s="45" t="str">
        <f>_xlfn.IFNA(VLOOKUP(C33,Inputs!$F$4:$G$43,2,0),"")</f>
        <v/>
      </c>
      <c r="C33" s="242"/>
      <c r="D33" s="242"/>
      <c r="E33" s="243"/>
      <c r="F33" s="243"/>
      <c r="G33" s="243"/>
      <c r="H33" s="243"/>
      <c r="I33" s="243"/>
      <c r="J33" s="243"/>
      <c r="K33" s="244"/>
    </row>
    <row r="34" spans="2:11" x14ac:dyDescent="0.35">
      <c r="B34" s="45" t="str">
        <f>_xlfn.IFNA(VLOOKUP(C34,Inputs!$F$4:$G$43,2,0),"")</f>
        <v/>
      </c>
      <c r="C34" s="242"/>
      <c r="D34" s="242"/>
      <c r="E34" s="243"/>
      <c r="F34" s="243"/>
      <c r="G34" s="243"/>
      <c r="H34" s="243"/>
      <c r="I34" s="243"/>
      <c r="J34" s="243"/>
      <c r="K34" s="244"/>
    </row>
    <row r="35" spans="2:11" x14ac:dyDescent="0.35">
      <c r="B35" s="45" t="str">
        <f>_xlfn.IFNA(VLOOKUP(C35,Inputs!$F$4:$G$43,2,0),"")</f>
        <v/>
      </c>
      <c r="C35" s="242"/>
      <c r="D35" s="242"/>
      <c r="E35" s="243"/>
      <c r="F35" s="243"/>
      <c r="G35" s="243"/>
      <c r="H35" s="243"/>
      <c r="I35" s="243"/>
      <c r="J35" s="243"/>
      <c r="K35" s="244"/>
    </row>
    <row r="36" spans="2:11" x14ac:dyDescent="0.35">
      <c r="B36" s="45" t="str">
        <f>_xlfn.IFNA(VLOOKUP(C36,Inputs!$F$4:$G$43,2,0),"")</f>
        <v/>
      </c>
      <c r="C36" s="242"/>
      <c r="D36" s="242"/>
      <c r="E36" s="243"/>
      <c r="F36" s="243"/>
      <c r="G36" s="243"/>
      <c r="H36" s="243"/>
      <c r="I36" s="243"/>
      <c r="J36" s="243"/>
      <c r="K36" s="244"/>
    </row>
    <row r="37" spans="2:11" x14ac:dyDescent="0.35">
      <c r="B37" s="45" t="str">
        <f>_xlfn.IFNA(VLOOKUP(C37,Inputs!$F$4:$G$43,2,0),"")</f>
        <v/>
      </c>
      <c r="C37" s="242"/>
      <c r="D37" s="242"/>
      <c r="E37" s="243"/>
      <c r="F37" s="243"/>
      <c r="G37" s="243"/>
      <c r="H37" s="243"/>
      <c r="I37" s="243"/>
      <c r="J37" s="243"/>
      <c r="K37" s="244"/>
    </row>
    <row r="38" spans="2:11" x14ac:dyDescent="0.35">
      <c r="B38" s="45" t="str">
        <f>_xlfn.IFNA(VLOOKUP(C38,Inputs!$F$4:$G$43,2,0),"")</f>
        <v/>
      </c>
      <c r="C38" s="242"/>
      <c r="D38" s="242"/>
      <c r="E38" s="243"/>
      <c r="F38" s="243"/>
      <c r="G38" s="243"/>
      <c r="H38" s="243"/>
      <c r="I38" s="243"/>
      <c r="J38" s="243"/>
      <c r="K38" s="244"/>
    </row>
    <row r="39" spans="2:11" x14ac:dyDescent="0.35">
      <c r="B39" s="45" t="str">
        <f>_xlfn.IFNA(VLOOKUP(C39,Inputs!$F$4:$G$43,2,0),"")</f>
        <v/>
      </c>
      <c r="C39" s="242"/>
      <c r="D39" s="242"/>
      <c r="E39" s="243"/>
      <c r="F39" s="243"/>
      <c r="G39" s="243"/>
      <c r="H39" s="243"/>
      <c r="I39" s="243"/>
      <c r="J39" s="243"/>
      <c r="K39" s="244"/>
    </row>
    <row r="40" spans="2:11" x14ac:dyDescent="0.35">
      <c r="B40" s="45" t="str">
        <f>_xlfn.IFNA(VLOOKUP(C40,Inputs!$F$4:$G$43,2,0),"")</f>
        <v/>
      </c>
      <c r="C40" s="242"/>
      <c r="D40" s="242"/>
      <c r="E40" s="243"/>
      <c r="F40" s="243"/>
      <c r="G40" s="243"/>
      <c r="H40" s="243"/>
      <c r="I40" s="243"/>
      <c r="J40" s="243"/>
      <c r="K40" s="244"/>
    </row>
    <row r="41" spans="2:11" x14ac:dyDescent="0.35">
      <c r="B41" s="45" t="str">
        <f>_xlfn.IFNA(VLOOKUP(C41,Inputs!$F$4:$G$43,2,0),"")</f>
        <v/>
      </c>
      <c r="C41" s="242"/>
      <c r="D41" s="242"/>
      <c r="E41" s="243"/>
      <c r="F41" s="243"/>
      <c r="G41" s="243"/>
      <c r="H41" s="243"/>
      <c r="I41" s="243"/>
      <c r="J41" s="243"/>
      <c r="K41" s="244"/>
    </row>
    <row r="42" spans="2:11" x14ac:dyDescent="0.35">
      <c r="B42" s="45" t="str">
        <f>_xlfn.IFNA(VLOOKUP(C42,Inputs!$F$4:$G$43,2,0),"")</f>
        <v/>
      </c>
      <c r="C42" s="242"/>
      <c r="D42" s="242"/>
      <c r="E42" s="243"/>
      <c r="F42" s="243"/>
      <c r="G42" s="243"/>
      <c r="H42" s="243"/>
      <c r="I42" s="243"/>
      <c r="J42" s="243"/>
      <c r="K42" s="244"/>
    </row>
    <row r="43" spans="2:11" x14ac:dyDescent="0.35">
      <c r="B43" s="45" t="str">
        <f>_xlfn.IFNA(VLOOKUP(C43,Inputs!$F$4:$G$43,2,0),"")</f>
        <v/>
      </c>
      <c r="C43" s="245"/>
      <c r="D43" s="245"/>
      <c r="E43" s="246"/>
      <c r="F43" s="246"/>
      <c r="G43" s="246"/>
      <c r="H43" s="246"/>
      <c r="I43" s="246"/>
      <c r="J43" s="246"/>
      <c r="K43" s="247"/>
    </row>
    <row r="44" spans="2:11" x14ac:dyDescent="0.35">
      <c r="B44" s="45"/>
      <c r="C44" s="117"/>
      <c r="D44" s="137" t="s">
        <v>242</v>
      </c>
      <c r="E44" s="123">
        <f t="shared" ref="E44:J44" si="0">SUM(E13:E43)</f>
        <v>0</v>
      </c>
      <c r="F44" s="123">
        <f t="shared" si="0"/>
        <v>69870</v>
      </c>
      <c r="G44" s="123">
        <f t="shared" si="0"/>
        <v>103640</v>
      </c>
      <c r="H44" s="123">
        <f t="shared" si="0"/>
        <v>143210</v>
      </c>
      <c r="I44" s="123">
        <f t="shared" si="0"/>
        <v>171755</v>
      </c>
      <c r="J44" s="123">
        <f t="shared" si="0"/>
        <v>174755</v>
      </c>
      <c r="K44" s="138"/>
    </row>
    <row r="45" spans="2:11" x14ac:dyDescent="0.35">
      <c r="B45" s="45"/>
      <c r="C45" s="117"/>
      <c r="D45" s="137" t="s">
        <v>240</v>
      </c>
      <c r="E45" s="124"/>
      <c r="F45" s="128">
        <f>IFERROR(F44/F$8,"-")</f>
        <v>499.07142857142856</v>
      </c>
      <c r="G45" s="128">
        <f>IFERROR(G44/G$8,"-")</f>
        <v>370.14285714285717</v>
      </c>
      <c r="H45" s="128">
        <f>IFERROR(H44/H$8,"-")</f>
        <v>340.97619047619048</v>
      </c>
      <c r="I45" s="128">
        <f>IFERROR(I44/I$8,"-")</f>
        <v>318.06481481481484</v>
      </c>
      <c r="J45" s="128">
        <f>IFERROR(J44/J$8,"-")</f>
        <v>306.58771929824559</v>
      </c>
      <c r="K45" s="138"/>
    </row>
    <row r="46" spans="2:11" x14ac:dyDescent="0.35">
      <c r="B46" s="45"/>
      <c r="C46" s="117" t="s">
        <v>190</v>
      </c>
      <c r="D46" s="139"/>
      <c r="E46" s="123"/>
      <c r="F46" s="123"/>
      <c r="G46" s="123"/>
      <c r="H46" s="123"/>
      <c r="I46" s="123"/>
      <c r="J46" s="123"/>
      <c r="K46" s="138"/>
    </row>
    <row r="47" spans="2:11" x14ac:dyDescent="0.35">
      <c r="B47" s="45">
        <f>_xlfn.IFNA(VLOOKUP(C47,Inputs!$F$4:$G$43,2,0),"")</f>
        <v>591</v>
      </c>
      <c r="C47" s="139" t="s">
        <v>224</v>
      </c>
      <c r="D47" s="139" t="s">
        <v>368</v>
      </c>
      <c r="E47" s="123"/>
      <c r="F47" s="123">
        <f>Revenue!E$36*0.0125</f>
        <v>16628.5</v>
      </c>
      <c r="G47" s="123">
        <f>Revenue!F$36*0.0125</f>
        <v>33257</v>
      </c>
      <c r="H47" s="123">
        <f>Revenue!G$36*0.0125</f>
        <v>49885.5</v>
      </c>
      <c r="I47" s="123">
        <f>Revenue!H$36*0.0125</f>
        <v>64138.5</v>
      </c>
      <c r="J47" s="123">
        <f>Revenue!I$36*0.0125</f>
        <v>67701.75</v>
      </c>
      <c r="K47" s="138" t="s">
        <v>369</v>
      </c>
    </row>
    <row r="48" spans="2:11" ht="104.5" x14ac:dyDescent="0.35">
      <c r="B48" s="45">
        <f>_xlfn.IFNA(VLOOKUP(C48,Inputs!$F$4:$G$43,2,0),"")</f>
        <v>340</v>
      </c>
      <c r="C48" s="242" t="s">
        <v>202</v>
      </c>
      <c r="D48" s="242" t="s">
        <v>489</v>
      </c>
      <c r="E48" s="243">
        <v>250000</v>
      </c>
      <c r="F48" s="243"/>
      <c r="G48" s="243"/>
      <c r="H48" s="243"/>
      <c r="I48" s="243"/>
      <c r="J48" s="243"/>
      <c r="K48" s="244" t="s">
        <v>488</v>
      </c>
    </row>
    <row r="49" spans="2:11" ht="117.5" x14ac:dyDescent="0.35">
      <c r="B49" s="45">
        <f>_xlfn.IFNA(VLOOKUP(C49,Inputs!$F$4:$G$43,2,0),"")</f>
        <v>340</v>
      </c>
      <c r="C49" s="242" t="s">
        <v>202</v>
      </c>
      <c r="D49" s="242" t="s">
        <v>407</v>
      </c>
      <c r="E49" s="243"/>
      <c r="F49" s="243">
        <v>50000</v>
      </c>
      <c r="G49" s="243">
        <v>75000</v>
      </c>
      <c r="H49" s="243">
        <v>75000</v>
      </c>
      <c r="I49" s="243">
        <v>100000</v>
      </c>
      <c r="J49" s="243">
        <v>100000</v>
      </c>
      <c r="K49" s="244" t="s">
        <v>408</v>
      </c>
    </row>
    <row r="50" spans="2:11" x14ac:dyDescent="0.35">
      <c r="B50" s="45" t="str">
        <f>_xlfn.IFNA(VLOOKUP(C50,Inputs!$F$4:$G$43,2,0),"")</f>
        <v/>
      </c>
      <c r="C50" s="242"/>
      <c r="D50" s="242"/>
      <c r="E50" s="243"/>
      <c r="F50" s="243"/>
      <c r="G50" s="243"/>
      <c r="H50" s="243"/>
      <c r="I50" s="243"/>
      <c r="J50" s="243"/>
      <c r="K50" s="244"/>
    </row>
    <row r="51" spans="2:11" x14ac:dyDescent="0.35">
      <c r="B51" s="45" t="str">
        <f>_xlfn.IFNA(VLOOKUP(C51,Inputs!$F$4:$G$43,2,0),"")</f>
        <v/>
      </c>
      <c r="C51" s="242"/>
      <c r="D51" s="242"/>
      <c r="E51" s="243"/>
      <c r="F51" s="243"/>
      <c r="G51" s="243"/>
      <c r="H51" s="243"/>
      <c r="I51" s="243"/>
      <c r="J51" s="243"/>
      <c r="K51" s="244"/>
    </row>
    <row r="52" spans="2:11" x14ac:dyDescent="0.35">
      <c r="B52" s="45" t="str">
        <f>_xlfn.IFNA(VLOOKUP(C52,Inputs!$F$4:$G$43,2,0),"")</f>
        <v/>
      </c>
      <c r="C52" s="242"/>
      <c r="D52" s="242"/>
      <c r="E52" s="243"/>
      <c r="F52" s="243"/>
      <c r="G52" s="243"/>
      <c r="H52" s="243"/>
      <c r="I52" s="243"/>
      <c r="J52" s="243"/>
      <c r="K52" s="244"/>
    </row>
    <row r="53" spans="2:11" x14ac:dyDescent="0.35">
      <c r="B53" s="45" t="str">
        <f>_xlfn.IFNA(VLOOKUP(C53,Inputs!$F$4:$G$43,2,0),"")</f>
        <v/>
      </c>
      <c r="C53" s="242"/>
      <c r="D53" s="242"/>
      <c r="E53" s="243"/>
      <c r="F53" s="243"/>
      <c r="G53" s="243"/>
      <c r="H53" s="243"/>
      <c r="I53" s="243"/>
      <c r="J53" s="243"/>
      <c r="K53" s="244"/>
    </row>
    <row r="54" spans="2:11" x14ac:dyDescent="0.35">
      <c r="B54" s="45" t="str">
        <f>_xlfn.IFNA(VLOOKUP(C54,Inputs!$F$4:$G$43,2,0),"")</f>
        <v/>
      </c>
      <c r="C54" s="242"/>
      <c r="D54" s="242"/>
      <c r="E54" s="243"/>
      <c r="F54" s="243"/>
      <c r="G54" s="243"/>
      <c r="H54" s="243"/>
      <c r="I54" s="243"/>
      <c r="J54" s="243"/>
      <c r="K54" s="244"/>
    </row>
    <row r="55" spans="2:11" x14ac:dyDescent="0.35">
      <c r="B55" s="45" t="str">
        <f>_xlfn.IFNA(VLOOKUP(C55,Inputs!$F$4:$G$43,2,0),"")</f>
        <v/>
      </c>
      <c r="C55" s="242"/>
      <c r="D55" s="242"/>
      <c r="E55" s="243"/>
      <c r="F55" s="243"/>
      <c r="G55" s="243"/>
      <c r="H55" s="243"/>
      <c r="I55" s="243"/>
      <c r="J55" s="243"/>
      <c r="K55" s="244"/>
    </row>
    <row r="56" spans="2:11" x14ac:dyDescent="0.35">
      <c r="B56" s="45" t="str">
        <f>_xlfn.IFNA(VLOOKUP(C56,Inputs!$F$4:$G$43,2,0),"")</f>
        <v/>
      </c>
      <c r="C56" s="242"/>
      <c r="D56" s="242"/>
      <c r="E56" s="243"/>
      <c r="F56" s="243"/>
      <c r="G56" s="243"/>
      <c r="H56" s="243"/>
      <c r="I56" s="243"/>
      <c r="J56" s="243"/>
      <c r="K56" s="244"/>
    </row>
    <row r="57" spans="2:11" x14ac:dyDescent="0.35">
      <c r="B57" s="45" t="str">
        <f>_xlfn.IFNA(VLOOKUP(C57,Inputs!$F$4:$G$43,2,0),"")</f>
        <v/>
      </c>
      <c r="C57" s="242"/>
      <c r="D57" s="242"/>
      <c r="E57" s="243"/>
      <c r="F57" s="243"/>
      <c r="G57" s="243"/>
      <c r="H57" s="243"/>
      <c r="I57" s="243"/>
      <c r="J57" s="243"/>
      <c r="K57" s="244"/>
    </row>
    <row r="58" spans="2:11" x14ac:dyDescent="0.35">
      <c r="B58" s="45" t="str">
        <f>_xlfn.IFNA(VLOOKUP(C58,Inputs!$F$4:$G$43,2,0),"")</f>
        <v/>
      </c>
      <c r="C58" s="242"/>
      <c r="D58" s="242"/>
      <c r="E58" s="243"/>
      <c r="F58" s="243"/>
      <c r="G58" s="243"/>
      <c r="H58" s="243"/>
      <c r="I58" s="243"/>
      <c r="J58" s="243"/>
      <c r="K58" s="244"/>
    </row>
    <row r="59" spans="2:11" x14ac:dyDescent="0.35">
      <c r="B59" s="45" t="str">
        <f>_xlfn.IFNA(VLOOKUP(C59,Inputs!$F$4:$G$43,2,0),"")</f>
        <v/>
      </c>
      <c r="C59" s="242"/>
      <c r="D59" s="242"/>
      <c r="E59" s="243"/>
      <c r="F59" s="243"/>
      <c r="G59" s="243"/>
      <c r="H59" s="243"/>
      <c r="I59" s="243"/>
      <c r="J59" s="243"/>
      <c r="K59" s="244"/>
    </row>
    <row r="60" spans="2:11" x14ac:dyDescent="0.35">
      <c r="B60" s="45" t="str">
        <f>_xlfn.IFNA(VLOOKUP(C60,Inputs!$F$4:$G$43,2,0),"")</f>
        <v/>
      </c>
      <c r="C60" s="242"/>
      <c r="D60" s="242"/>
      <c r="E60" s="243"/>
      <c r="F60" s="243"/>
      <c r="G60" s="243"/>
      <c r="H60" s="243"/>
      <c r="I60" s="243"/>
      <c r="J60" s="243"/>
      <c r="K60" s="244"/>
    </row>
    <row r="61" spans="2:11" x14ac:dyDescent="0.35">
      <c r="B61" s="45" t="str">
        <f>_xlfn.IFNA(VLOOKUP(C61,Inputs!$F$4:$G$43,2,0),"")</f>
        <v/>
      </c>
      <c r="C61" s="245"/>
      <c r="D61" s="245"/>
      <c r="E61" s="246"/>
      <c r="F61" s="246"/>
      <c r="G61" s="246"/>
      <c r="H61" s="246"/>
      <c r="I61" s="246"/>
      <c r="J61" s="246"/>
      <c r="K61" s="247"/>
    </row>
    <row r="62" spans="2:11" x14ac:dyDescent="0.35">
      <c r="B62" s="45"/>
      <c r="C62" s="117"/>
      <c r="D62" s="137" t="s">
        <v>243</v>
      </c>
      <c r="E62" s="123">
        <f>SUM(E47:E61)</f>
        <v>250000</v>
      </c>
      <c r="F62" s="123">
        <f t="shared" ref="F62:I62" si="1">SUM(F47:F61)</f>
        <v>66628.5</v>
      </c>
      <c r="G62" s="123">
        <f t="shared" si="1"/>
        <v>108257</v>
      </c>
      <c r="H62" s="123">
        <f t="shared" si="1"/>
        <v>124885.5</v>
      </c>
      <c r="I62" s="123">
        <f t="shared" si="1"/>
        <v>164138.5</v>
      </c>
      <c r="J62" s="123">
        <f>SUM(J47:J61)</f>
        <v>167701.75</v>
      </c>
      <c r="K62" s="138"/>
    </row>
    <row r="63" spans="2:11" x14ac:dyDescent="0.35">
      <c r="B63" s="45"/>
      <c r="C63" s="117"/>
      <c r="D63" s="137" t="s">
        <v>240</v>
      </c>
      <c r="E63" s="124"/>
      <c r="F63" s="128">
        <f>IFERROR(F62/F$8,"-")</f>
        <v>475.91785714285714</v>
      </c>
      <c r="G63" s="128">
        <f>IFERROR(G62/G$8,"-")</f>
        <v>386.63214285714287</v>
      </c>
      <c r="H63" s="128">
        <f>IFERROR(H62/H$8,"-")</f>
        <v>297.34642857142859</v>
      </c>
      <c r="I63" s="128">
        <f>IFERROR(I62/I$8,"-")</f>
        <v>303.9601851851852</v>
      </c>
      <c r="J63" s="128">
        <f>IFERROR(J62/J$8,"-")</f>
        <v>294.21359649122809</v>
      </c>
      <c r="K63" s="138"/>
    </row>
    <row r="64" spans="2:11" x14ac:dyDescent="0.35">
      <c r="B64" s="45"/>
      <c r="C64" s="144" t="s">
        <v>191</v>
      </c>
      <c r="D64" s="139"/>
      <c r="E64" s="123"/>
      <c r="F64" s="123"/>
      <c r="G64" s="123"/>
      <c r="H64" s="123"/>
      <c r="I64" s="123"/>
      <c r="J64" s="123"/>
      <c r="K64" s="138"/>
    </row>
    <row r="65" spans="2:11" x14ac:dyDescent="0.35">
      <c r="B65" s="45">
        <f>_xlfn.IFNA(VLOOKUP(C65,Inputs!$F$4:$G$43,2,0),"")</f>
        <v>345</v>
      </c>
      <c r="C65" s="242" t="s">
        <v>204</v>
      </c>
      <c r="D65" s="242" t="s">
        <v>410</v>
      </c>
      <c r="E65" s="243"/>
      <c r="F65" s="243">
        <v>7500</v>
      </c>
      <c r="G65" s="243">
        <v>10000</v>
      </c>
      <c r="H65" s="243">
        <v>12500</v>
      </c>
      <c r="I65" s="243">
        <v>15000</v>
      </c>
      <c r="J65" s="243">
        <v>15000</v>
      </c>
      <c r="K65" s="244"/>
    </row>
    <row r="66" spans="2:11" x14ac:dyDescent="0.35">
      <c r="B66" s="45">
        <f>_xlfn.IFNA(VLOOKUP(C66,Inputs!$F$4:$G$43,2,0),"")</f>
        <v>340</v>
      </c>
      <c r="C66" s="242" t="s">
        <v>202</v>
      </c>
      <c r="D66" s="242" t="s">
        <v>406</v>
      </c>
      <c r="E66" s="243"/>
      <c r="F66" s="243">
        <v>12000</v>
      </c>
      <c r="G66" s="243">
        <v>15000</v>
      </c>
      <c r="H66" s="243">
        <v>17000</v>
      </c>
      <c r="I66" s="243">
        <v>19000</v>
      </c>
      <c r="J66" s="243">
        <v>21000</v>
      </c>
      <c r="K66" s="244"/>
    </row>
    <row r="67" spans="2:11" x14ac:dyDescent="0.35">
      <c r="B67" s="45">
        <f>_xlfn.IFNA(VLOOKUP(C67,Inputs!$F$4:$G$43,2,0),"")</f>
        <v>510</v>
      </c>
      <c r="C67" s="242" t="s">
        <v>216</v>
      </c>
      <c r="D67" s="242" t="s">
        <v>468</v>
      </c>
      <c r="E67" s="243"/>
      <c r="F67" s="243">
        <v>80000</v>
      </c>
      <c r="G67" s="243">
        <v>120000</v>
      </c>
      <c r="H67" s="243">
        <v>160000</v>
      </c>
      <c r="I67" s="243">
        <v>160000</v>
      </c>
      <c r="J67" s="243">
        <v>160000</v>
      </c>
      <c r="K67" s="244" t="s">
        <v>537</v>
      </c>
    </row>
    <row r="68" spans="2:11" ht="26.5" x14ac:dyDescent="0.35">
      <c r="B68" s="45">
        <f>_xlfn.IFNA(VLOOKUP(C68,Inputs!$F$4:$G$43,2,0),"")</f>
        <v>340</v>
      </c>
      <c r="C68" s="242" t="s">
        <v>202</v>
      </c>
      <c r="D68" s="242" t="s">
        <v>493</v>
      </c>
      <c r="E68" s="243">
        <v>35000</v>
      </c>
      <c r="F68" s="243"/>
      <c r="G68" s="243"/>
      <c r="H68" s="243"/>
      <c r="I68" s="243"/>
      <c r="J68" s="243"/>
      <c r="K68" s="244" t="s">
        <v>494</v>
      </c>
    </row>
    <row r="69" spans="2:11" ht="26.5" x14ac:dyDescent="0.35">
      <c r="B69" s="45">
        <f>_xlfn.IFNA(VLOOKUP(C69,Inputs!$F$4:$G$43,2,0),"")</f>
        <v>530</v>
      </c>
      <c r="C69" s="242" t="s">
        <v>218</v>
      </c>
      <c r="D69" s="242" t="s">
        <v>464</v>
      </c>
      <c r="E69" s="243"/>
      <c r="F69" s="243">
        <v>15600</v>
      </c>
      <c r="G69" s="243">
        <v>15600</v>
      </c>
      <c r="H69" s="243">
        <v>15600</v>
      </c>
      <c r="I69" s="243">
        <v>15600</v>
      </c>
      <c r="J69" s="243">
        <v>15600</v>
      </c>
      <c r="K69" s="244" t="s">
        <v>465</v>
      </c>
    </row>
    <row r="70" spans="2:11" ht="39.5" x14ac:dyDescent="0.35">
      <c r="B70" s="45">
        <f>_xlfn.IFNA(VLOOKUP(C70,Inputs!$F$4:$G$43,2,0),"")</f>
        <v>530</v>
      </c>
      <c r="C70" s="242" t="s">
        <v>218</v>
      </c>
      <c r="D70" s="242" t="s">
        <v>496</v>
      </c>
      <c r="E70" s="243"/>
      <c r="F70" s="243">
        <v>3000</v>
      </c>
      <c r="G70" s="243">
        <v>4000</v>
      </c>
      <c r="H70" s="243">
        <v>5000</v>
      </c>
      <c r="I70" s="243">
        <v>6000</v>
      </c>
      <c r="J70" s="243">
        <v>6000</v>
      </c>
      <c r="K70" s="244" t="s">
        <v>499</v>
      </c>
    </row>
    <row r="71" spans="2:11" x14ac:dyDescent="0.35">
      <c r="B71" s="45">
        <f>_xlfn.IFNA(VLOOKUP(C71,Inputs!$F$4:$G$43,2,0),"")</f>
        <v>570</v>
      </c>
      <c r="C71" s="242" t="s">
        <v>222</v>
      </c>
      <c r="D71" s="242" t="s">
        <v>534</v>
      </c>
      <c r="E71" s="243"/>
      <c r="F71" s="232">
        <v>118440</v>
      </c>
      <c r="G71" s="232">
        <v>241618</v>
      </c>
      <c r="H71" s="232">
        <v>369533</v>
      </c>
      <c r="I71" s="232">
        <v>457347</v>
      </c>
      <c r="J71" s="232">
        <v>465976</v>
      </c>
      <c r="K71" s="244" t="s">
        <v>535</v>
      </c>
    </row>
    <row r="72" spans="2:11" x14ac:dyDescent="0.35">
      <c r="B72" s="45" t="str">
        <f>_xlfn.IFNA(VLOOKUP(C72,Inputs!$F$4:$G$43,2,0),"")</f>
        <v/>
      </c>
      <c r="C72" s="242"/>
      <c r="D72" s="242"/>
      <c r="E72" s="243"/>
      <c r="F72" s="243"/>
      <c r="G72" s="243"/>
      <c r="H72" s="243"/>
      <c r="I72" s="243"/>
      <c r="J72" s="243"/>
      <c r="K72" s="244"/>
    </row>
    <row r="73" spans="2:11" x14ac:dyDescent="0.35">
      <c r="B73" s="45" t="str">
        <f>_xlfn.IFNA(VLOOKUP(C73,Inputs!$F$4:$G$43,2,0),"")</f>
        <v/>
      </c>
      <c r="C73" s="242"/>
      <c r="D73" s="242"/>
      <c r="E73" s="243"/>
      <c r="F73" s="243"/>
      <c r="G73" s="243"/>
      <c r="H73" s="243"/>
      <c r="I73" s="243"/>
      <c r="J73" s="243"/>
      <c r="K73" s="244"/>
    </row>
    <row r="74" spans="2:11" x14ac:dyDescent="0.35">
      <c r="B74" s="45" t="str">
        <f>_xlfn.IFNA(VLOOKUP(C74,Inputs!$F$4:$G$43,2,0),"")</f>
        <v/>
      </c>
      <c r="C74" s="242"/>
      <c r="D74" s="242"/>
      <c r="E74" s="243"/>
      <c r="F74" s="243"/>
      <c r="G74" s="243"/>
      <c r="H74" s="243"/>
      <c r="I74" s="243"/>
      <c r="J74" s="243"/>
      <c r="K74" s="244"/>
    </row>
    <row r="75" spans="2:11" x14ac:dyDescent="0.35">
      <c r="B75" s="45" t="str">
        <f>_xlfn.IFNA(VLOOKUP(C75,Inputs!$F$4:$G$43,2,0),"")</f>
        <v/>
      </c>
      <c r="C75" s="242"/>
      <c r="D75" s="242"/>
      <c r="E75" s="243"/>
      <c r="F75" s="243"/>
      <c r="G75" s="243"/>
      <c r="H75" s="243"/>
      <c r="I75" s="243"/>
      <c r="J75" s="243"/>
      <c r="K75" s="244"/>
    </row>
    <row r="76" spans="2:11" x14ac:dyDescent="0.35">
      <c r="B76" s="45" t="str">
        <f>_xlfn.IFNA(VLOOKUP(C76,Inputs!$F$4:$G$43,2,0),"")</f>
        <v/>
      </c>
      <c r="C76" s="242"/>
      <c r="D76" s="242"/>
      <c r="E76" s="243"/>
      <c r="F76" s="243"/>
      <c r="G76" s="243"/>
      <c r="H76" s="243"/>
      <c r="I76" s="243"/>
      <c r="J76" s="243"/>
      <c r="K76" s="244"/>
    </row>
    <row r="77" spans="2:11" x14ac:dyDescent="0.35">
      <c r="B77" s="45" t="str">
        <f>_xlfn.IFNA(VLOOKUP(C77,Inputs!$F$4:$G$43,2,0),"")</f>
        <v/>
      </c>
      <c r="C77" s="242"/>
      <c r="D77" s="242"/>
      <c r="E77" s="243"/>
      <c r="F77" s="243"/>
      <c r="G77" s="243"/>
      <c r="H77" s="243"/>
      <c r="I77" s="243"/>
      <c r="J77" s="243"/>
      <c r="K77" s="244"/>
    </row>
    <row r="78" spans="2:11" x14ac:dyDescent="0.35">
      <c r="B78" s="45" t="str">
        <f>_xlfn.IFNA(VLOOKUP(C78,Inputs!$F$4:$G$43,2,0),"")</f>
        <v/>
      </c>
      <c r="C78" s="242"/>
      <c r="D78" s="242"/>
      <c r="E78" s="243"/>
      <c r="F78" s="243"/>
      <c r="G78" s="243"/>
      <c r="H78" s="243"/>
      <c r="I78" s="243"/>
      <c r="J78" s="243"/>
      <c r="K78" s="244"/>
    </row>
    <row r="79" spans="2:11" x14ac:dyDescent="0.35">
      <c r="B79" s="45" t="str">
        <f>_xlfn.IFNA(VLOOKUP(C79,Inputs!$F$4:$G$43,2,0),"")</f>
        <v/>
      </c>
      <c r="C79" s="245"/>
      <c r="D79" s="245"/>
      <c r="E79" s="246"/>
      <c r="F79" s="246"/>
      <c r="G79" s="246"/>
      <c r="H79" s="246"/>
      <c r="I79" s="246"/>
      <c r="J79" s="246"/>
      <c r="K79" s="247"/>
    </row>
    <row r="80" spans="2:11" x14ac:dyDescent="0.35">
      <c r="B80" s="45"/>
      <c r="C80" s="117"/>
      <c r="D80" s="137" t="s">
        <v>244</v>
      </c>
      <c r="E80" s="123">
        <f>SUM(E65:E79)</f>
        <v>35000</v>
      </c>
      <c r="F80" s="123">
        <f t="shared" ref="F80:J80" si="2">SUM(F65:F79)</f>
        <v>236540</v>
      </c>
      <c r="G80" s="123">
        <f t="shared" si="2"/>
        <v>406218</v>
      </c>
      <c r="H80" s="123">
        <f t="shared" si="2"/>
        <v>579633</v>
      </c>
      <c r="I80" s="123">
        <f t="shared" si="2"/>
        <v>672947</v>
      </c>
      <c r="J80" s="123">
        <f t="shared" si="2"/>
        <v>683576</v>
      </c>
      <c r="K80" s="138"/>
    </row>
    <row r="81" spans="2:11" x14ac:dyDescent="0.35">
      <c r="B81" s="45"/>
      <c r="C81" s="117"/>
      <c r="D81" s="137" t="s">
        <v>240</v>
      </c>
      <c r="E81" s="124"/>
      <c r="F81" s="128">
        <f>IFERROR(F80/F$8,"-")</f>
        <v>1689.5714285714287</v>
      </c>
      <c r="G81" s="128">
        <f>IFERROR(G80/G$8,"-")</f>
        <v>1450.7785714285715</v>
      </c>
      <c r="H81" s="128">
        <f>IFERROR(H80/H$8,"-")</f>
        <v>1380.0785714285714</v>
      </c>
      <c r="I81" s="128">
        <f>IFERROR(I80/I$8,"-")</f>
        <v>1246.1981481481482</v>
      </c>
      <c r="J81" s="128">
        <f>IFERROR(J80/J$8,"-")</f>
        <v>1199.2561403508771</v>
      </c>
      <c r="K81" s="138"/>
    </row>
    <row r="82" spans="2:11" x14ac:dyDescent="0.35">
      <c r="B82" s="45"/>
      <c r="C82" s="144" t="s">
        <v>192</v>
      </c>
      <c r="D82" s="139"/>
      <c r="E82" s="123"/>
      <c r="F82" s="123"/>
      <c r="G82" s="123"/>
      <c r="H82" s="123"/>
      <c r="I82" s="123"/>
      <c r="J82" s="123"/>
      <c r="K82" s="138"/>
    </row>
    <row r="83" spans="2:11" x14ac:dyDescent="0.35">
      <c r="B83" s="45">
        <f>_xlfn.IFNA(VLOOKUP(C83,Inputs!$F$4:$G$43,2,0),"")</f>
        <v>420</v>
      </c>
      <c r="C83" s="242" t="s">
        <v>208</v>
      </c>
      <c r="D83" s="242" t="s">
        <v>409</v>
      </c>
      <c r="E83" s="243"/>
      <c r="F83" s="243">
        <v>35000</v>
      </c>
      <c r="G83" s="243">
        <v>43000</v>
      </c>
      <c r="H83" s="243">
        <v>50000</v>
      </c>
      <c r="I83" s="243">
        <v>52000</v>
      </c>
      <c r="J83" s="243">
        <v>54000</v>
      </c>
      <c r="K83" s="244"/>
    </row>
    <row r="84" spans="2:11" ht="39.5" x14ac:dyDescent="0.35">
      <c r="B84" s="45">
        <f>_xlfn.IFNA(VLOOKUP(C84,Inputs!$F$4:$G$43,2,0),"")</f>
        <v>521</v>
      </c>
      <c r="C84" s="242" t="s">
        <v>88</v>
      </c>
      <c r="D84" s="242" t="s">
        <v>498</v>
      </c>
      <c r="E84" s="243"/>
      <c r="F84" s="243">
        <v>8000</v>
      </c>
      <c r="G84" s="243">
        <v>8000</v>
      </c>
      <c r="H84" s="243">
        <v>8000</v>
      </c>
      <c r="I84" s="243">
        <v>8000</v>
      </c>
      <c r="J84" s="243">
        <v>8000</v>
      </c>
      <c r="K84" s="244" t="s">
        <v>500</v>
      </c>
    </row>
    <row r="85" spans="2:11" ht="39.5" x14ac:dyDescent="0.35">
      <c r="B85" s="45">
        <f>_xlfn.IFNA(VLOOKUP(C85,Inputs!$F$4:$G$43,2,0),"")</f>
        <v>522</v>
      </c>
      <c r="C85" s="242" t="s">
        <v>217</v>
      </c>
      <c r="D85" s="242" t="s">
        <v>217</v>
      </c>
      <c r="E85" s="243"/>
      <c r="F85" s="243">
        <v>15000</v>
      </c>
      <c r="G85" s="243">
        <v>15000</v>
      </c>
      <c r="H85" s="243">
        <v>15000</v>
      </c>
      <c r="I85" s="243">
        <v>15000</v>
      </c>
      <c r="J85" s="243">
        <v>15000</v>
      </c>
      <c r="K85" s="244" t="s">
        <v>501</v>
      </c>
    </row>
    <row r="86" spans="2:11" ht="65.5" x14ac:dyDescent="0.35">
      <c r="B86" s="45">
        <f>_xlfn.IFNA(VLOOKUP(C86,Inputs!$F$4:$G$43,2,0),"")</f>
        <v>522</v>
      </c>
      <c r="C86" s="242" t="s">
        <v>217</v>
      </c>
      <c r="D86" s="242" t="s">
        <v>502</v>
      </c>
      <c r="E86" s="243">
        <v>7500</v>
      </c>
      <c r="F86" s="243">
        <v>7500</v>
      </c>
      <c r="G86" s="243">
        <v>7500</v>
      </c>
      <c r="H86" s="243">
        <v>7500</v>
      </c>
      <c r="I86" s="243">
        <v>7500</v>
      </c>
      <c r="J86" s="243">
        <v>7500</v>
      </c>
      <c r="K86" s="244" t="s">
        <v>503</v>
      </c>
    </row>
    <row r="87" spans="2:11" x14ac:dyDescent="0.35">
      <c r="B87" s="45" t="str">
        <f>_xlfn.IFNA(VLOOKUP(C87,Inputs!$F$4:$G$43,2,0),"")</f>
        <v/>
      </c>
      <c r="C87" s="242"/>
      <c r="D87" s="242"/>
      <c r="E87" s="243"/>
      <c r="F87" s="243"/>
      <c r="G87" s="243"/>
      <c r="H87" s="243"/>
      <c r="I87" s="243"/>
      <c r="J87" s="243"/>
      <c r="K87" s="244"/>
    </row>
    <row r="88" spans="2:11" x14ac:dyDescent="0.35">
      <c r="B88" s="45" t="str">
        <f>_xlfn.IFNA(VLOOKUP(C88,Inputs!$F$4:$G$43,2,0),"")</f>
        <v/>
      </c>
      <c r="C88" s="242"/>
      <c r="D88" s="242"/>
      <c r="E88" s="243"/>
      <c r="F88" s="243"/>
      <c r="G88" s="243"/>
      <c r="H88" s="243"/>
      <c r="I88" s="243"/>
      <c r="J88" s="243"/>
      <c r="K88" s="244"/>
    </row>
    <row r="89" spans="2:11" x14ac:dyDescent="0.35">
      <c r="B89" s="45" t="str">
        <f>_xlfn.IFNA(VLOOKUP(C89,Inputs!$F$4:$G$43,2,0),"")</f>
        <v/>
      </c>
      <c r="C89" s="242"/>
      <c r="D89" s="242"/>
      <c r="E89" s="243"/>
      <c r="F89" s="243"/>
      <c r="G89" s="243"/>
      <c r="H89" s="243"/>
      <c r="I89" s="243"/>
      <c r="J89" s="243"/>
      <c r="K89" s="244"/>
    </row>
    <row r="90" spans="2:11" x14ac:dyDescent="0.35">
      <c r="B90" s="45" t="str">
        <f>_xlfn.IFNA(VLOOKUP(C90,Inputs!$F$4:$G$43,2,0),"")</f>
        <v/>
      </c>
      <c r="C90" s="242"/>
      <c r="D90" s="242"/>
      <c r="E90" s="243"/>
      <c r="F90" s="243"/>
      <c r="G90" s="243"/>
      <c r="H90" s="243"/>
      <c r="I90" s="243"/>
      <c r="J90" s="243"/>
      <c r="K90" s="244"/>
    </row>
    <row r="91" spans="2:11" x14ac:dyDescent="0.35">
      <c r="B91" s="45" t="str">
        <f>_xlfn.IFNA(VLOOKUP(C91,Inputs!$F$4:$G$43,2,0),"")</f>
        <v/>
      </c>
      <c r="C91" s="242"/>
      <c r="D91" s="242"/>
      <c r="E91" s="243"/>
      <c r="F91" s="243"/>
      <c r="G91" s="243"/>
      <c r="H91" s="243"/>
      <c r="I91" s="243"/>
      <c r="J91" s="243"/>
      <c r="K91" s="244"/>
    </row>
    <row r="92" spans="2:11" x14ac:dyDescent="0.35">
      <c r="B92" s="45" t="str">
        <f>_xlfn.IFNA(VLOOKUP(C92,Inputs!$F$4:$G$43,2,0),"")</f>
        <v/>
      </c>
      <c r="C92" s="242"/>
      <c r="D92" s="242"/>
      <c r="E92" s="243"/>
      <c r="F92" s="243"/>
      <c r="G92" s="243"/>
      <c r="H92" s="243"/>
      <c r="I92" s="243"/>
      <c r="J92" s="243"/>
      <c r="K92" s="244"/>
    </row>
    <row r="93" spans="2:11" x14ac:dyDescent="0.35">
      <c r="B93" s="45" t="str">
        <f>_xlfn.IFNA(VLOOKUP(C93,Inputs!$F$4:$G$43,2,0),"")</f>
        <v/>
      </c>
      <c r="C93" s="242"/>
      <c r="D93" s="242"/>
      <c r="E93" s="243"/>
      <c r="F93" s="243"/>
      <c r="G93" s="243"/>
      <c r="H93" s="243"/>
      <c r="I93" s="243"/>
      <c r="J93" s="243"/>
      <c r="K93" s="244"/>
    </row>
    <row r="94" spans="2:11" x14ac:dyDescent="0.35">
      <c r="B94" s="45" t="str">
        <f>_xlfn.IFNA(VLOOKUP(C94,Inputs!$F$4:$G$43,2,0),"")</f>
        <v/>
      </c>
      <c r="C94" s="242"/>
      <c r="D94" s="242"/>
      <c r="E94" s="243"/>
      <c r="F94" s="243"/>
      <c r="G94" s="243"/>
      <c r="H94" s="243"/>
      <c r="I94" s="243"/>
      <c r="J94" s="243"/>
      <c r="K94" s="244"/>
    </row>
    <row r="95" spans="2:11" x14ac:dyDescent="0.35">
      <c r="B95" s="45" t="str">
        <f>_xlfn.IFNA(VLOOKUP(C95,Inputs!$F$4:$G$43,2,0),"")</f>
        <v/>
      </c>
      <c r="C95" s="242"/>
      <c r="D95" s="242"/>
      <c r="E95" s="243"/>
      <c r="F95" s="243"/>
      <c r="G95" s="243"/>
      <c r="H95" s="243"/>
      <c r="I95" s="243"/>
      <c r="J95" s="243"/>
      <c r="K95" s="244"/>
    </row>
    <row r="96" spans="2:11" x14ac:dyDescent="0.35">
      <c r="B96" s="45" t="str">
        <f>_xlfn.IFNA(VLOOKUP(C96,Inputs!$F$4:$G$43,2,0),"")</f>
        <v/>
      </c>
      <c r="C96" s="242"/>
      <c r="D96" s="242"/>
      <c r="E96" s="232"/>
      <c r="F96" s="232"/>
      <c r="G96" s="232"/>
      <c r="H96" s="232"/>
      <c r="I96" s="232"/>
      <c r="J96" s="232"/>
      <c r="K96" s="244"/>
    </row>
    <row r="97" spans="2:11" x14ac:dyDescent="0.35">
      <c r="B97" s="45" t="str">
        <f>_xlfn.IFNA(VLOOKUP(C97,Inputs!$F$4:$G$43,2,0),"")</f>
        <v/>
      </c>
      <c r="C97" s="245"/>
      <c r="D97" s="245"/>
      <c r="E97" s="246"/>
      <c r="F97" s="246"/>
      <c r="G97" s="246"/>
      <c r="H97" s="246"/>
      <c r="I97" s="246"/>
      <c r="J97" s="246"/>
      <c r="K97" s="247"/>
    </row>
    <row r="98" spans="2:11" x14ac:dyDescent="0.35">
      <c r="B98" s="45"/>
      <c r="C98" s="117"/>
      <c r="D98" s="137" t="s">
        <v>245</v>
      </c>
      <c r="E98" s="123">
        <f>SUM(E83:E97)</f>
        <v>7500</v>
      </c>
      <c r="F98" s="123">
        <f t="shared" ref="F98:J98" si="3">SUM(F83:F97)</f>
        <v>65500</v>
      </c>
      <c r="G98" s="123">
        <f t="shared" si="3"/>
        <v>73500</v>
      </c>
      <c r="H98" s="123">
        <f t="shared" si="3"/>
        <v>80500</v>
      </c>
      <c r="I98" s="123">
        <f t="shared" si="3"/>
        <v>82500</v>
      </c>
      <c r="J98" s="123">
        <f t="shared" si="3"/>
        <v>84500</v>
      </c>
      <c r="K98" s="138"/>
    </row>
    <row r="99" spans="2:11" ht="15" thickBot="1" x14ac:dyDescent="0.4">
      <c r="B99" s="45"/>
      <c r="C99" s="122"/>
      <c r="D99" s="146" t="s">
        <v>240</v>
      </c>
      <c r="E99" s="125"/>
      <c r="F99" s="129">
        <f>IFERROR(F98/F$8,"-")</f>
        <v>467.85714285714283</v>
      </c>
      <c r="G99" s="129">
        <f>IFERROR(G98/G$8,"-")</f>
        <v>262.5</v>
      </c>
      <c r="H99" s="129">
        <f>IFERROR(H98/H$8,"-")</f>
        <v>191.66666666666666</v>
      </c>
      <c r="I99" s="129">
        <f>IFERROR(I98/I$8,"-")</f>
        <v>152.77777777777777</v>
      </c>
      <c r="J99" s="129">
        <f>IFERROR(J98/J$8,"-")</f>
        <v>148.24561403508773</v>
      </c>
      <c r="K99" s="140"/>
    </row>
    <row r="100" spans="2:11" ht="21.65" customHeight="1" thickTop="1" x14ac:dyDescent="0.4">
      <c r="B100" s="141"/>
      <c r="C100" s="142"/>
      <c r="D100" s="159" t="s">
        <v>255</v>
      </c>
      <c r="E100" s="160">
        <f>E98+E80+E62+E44</f>
        <v>292500</v>
      </c>
      <c r="F100" s="160">
        <f t="shared" ref="F100:J100" si="4">F98+F80+F62+F44</f>
        <v>438538.5</v>
      </c>
      <c r="G100" s="160">
        <f t="shared" si="4"/>
        <v>691615</v>
      </c>
      <c r="H100" s="160">
        <f t="shared" si="4"/>
        <v>928228.5</v>
      </c>
      <c r="I100" s="160">
        <f t="shared" si="4"/>
        <v>1091340.5</v>
      </c>
      <c r="J100" s="160">
        <f t="shared" si="4"/>
        <v>1110532.75</v>
      </c>
      <c r="K100" s="46"/>
    </row>
    <row r="101" spans="2:11" ht="20.399999999999999" customHeight="1" x14ac:dyDescent="0.35">
      <c r="B101" s="47"/>
      <c r="C101" s="3"/>
      <c r="D101" s="143" t="s">
        <v>246</v>
      </c>
      <c r="E101" s="126"/>
      <c r="F101" s="130">
        <f>IFERROR(F100/F$8,"-")</f>
        <v>3132.417857142857</v>
      </c>
      <c r="G101" s="130">
        <f>IFERROR(G100/G$8,"-")</f>
        <v>2470.0535714285716</v>
      </c>
      <c r="H101" s="130">
        <f>IFERROR(H100/H$8,"-")</f>
        <v>2210.0678571428571</v>
      </c>
      <c r="I101" s="130">
        <f>IFERROR(I100/I$8,"-")</f>
        <v>2021.0009259259259</v>
      </c>
      <c r="J101" s="130">
        <f>IFERROR(J100/J$8,"-")</f>
        <v>1948.3030701754385</v>
      </c>
      <c r="K101" s="48"/>
    </row>
    <row r="102" spans="2:11" x14ac:dyDescent="0.35">
      <c r="B102" s="1"/>
    </row>
    <row r="103" spans="2:11" x14ac:dyDescent="0.35">
      <c r="B103" s="1"/>
    </row>
    <row r="104" spans="2:11" x14ac:dyDescent="0.35">
      <c r="B104" s="1"/>
    </row>
    <row r="105" spans="2:11" x14ac:dyDescent="0.35">
      <c r="B105" s="1"/>
    </row>
    <row r="106" spans="2:11" x14ac:dyDescent="0.35">
      <c r="B106" s="1"/>
    </row>
    <row r="107" spans="2:11" x14ac:dyDescent="0.35">
      <c r="B107" s="1"/>
    </row>
    <row r="108" spans="2:11" x14ac:dyDescent="0.35">
      <c r="B108" s="1"/>
    </row>
    <row r="109" spans="2:11" x14ac:dyDescent="0.35">
      <c r="B109" s="1"/>
    </row>
  </sheetData>
  <sheetProtection algorithmName="SHA-512" hashValue="i6ab9l6qN/jbPIMUenobZI0taD6cTQgplTw1D+mYHMYHy+p7uf5b3yM77Vttwbp30jN1On3eV0cdzHJUvgXW0Q==" saltValue="NkipjS2T8nhakPV/20aAcg==" spinCount="100000" sheet="1" objects="1" scenarios="1"/>
  <mergeCells count="1">
    <mergeCell ref="C5:J5"/>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Inputs!$F$4:$F$42</xm:f>
          </x14:formula1>
          <xm:sqref>C13:C27 C47:C61 C29:C43 C65:C79 C83:C97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K49"/>
  <sheetViews>
    <sheetView zoomScaleNormal="100" workbookViewId="0">
      <pane xSplit="4" ySplit="11" topLeftCell="E15" activePane="bottomRight" state="frozen"/>
      <selection pane="topRight" activeCell="E1" sqref="E1"/>
      <selection pane="bottomLeft" activeCell="A12" sqref="A12"/>
      <selection pane="bottomRight" activeCell="E13" sqref="E13"/>
    </sheetView>
  </sheetViews>
  <sheetFormatPr defaultRowHeight="14.5" x14ac:dyDescent="0.35"/>
  <cols>
    <col min="1" max="1" width="5.90625" customWidth="1"/>
    <col min="2" max="2" width="13.08984375" customWidth="1"/>
    <col min="3" max="3" width="49.36328125" style="2" customWidth="1"/>
    <col min="4" max="4" width="45" style="2" customWidth="1"/>
    <col min="5" max="10" width="13.90625" customWidth="1"/>
    <col min="11" max="11" width="58" customWidth="1"/>
  </cols>
  <sheetData>
    <row r="1" spans="2:11" ht="18.5" x14ac:dyDescent="0.45">
      <c r="B1" s="36" t="s">
        <v>120</v>
      </c>
      <c r="C1" s="38" t="str">
        <f>Summary!C1</f>
        <v>Legal Prep Charter Academy</v>
      </c>
    </row>
    <row r="2" spans="2:11" ht="18.5" x14ac:dyDescent="0.45">
      <c r="B2" s="36" t="s">
        <v>126</v>
      </c>
      <c r="C2" s="38" t="str">
        <f>Summary!C2</f>
        <v>Las Vegas</v>
      </c>
    </row>
    <row r="3" spans="2:11" ht="18.5" x14ac:dyDescent="0.45">
      <c r="B3" s="36" t="s">
        <v>121</v>
      </c>
      <c r="C3" s="38">
        <f>Summary!C3</f>
        <v>2027</v>
      </c>
    </row>
    <row r="4" spans="2:11" ht="18.5" x14ac:dyDescent="0.45">
      <c r="B4" s="36"/>
      <c r="C4" s="38"/>
      <c r="E4" s="67"/>
    </row>
    <row r="5" spans="2:11" ht="21" x14ac:dyDescent="0.5">
      <c r="B5" s="36"/>
      <c r="C5" s="266" t="s">
        <v>247</v>
      </c>
      <c r="D5" s="266"/>
      <c r="E5" s="266"/>
      <c r="F5" s="266"/>
      <c r="G5" s="266"/>
      <c r="H5" s="266"/>
      <c r="I5" s="266"/>
      <c r="J5" s="266"/>
    </row>
    <row r="7" spans="2:11" ht="16.5" thickBot="1" x14ac:dyDescent="0.45">
      <c r="D7" s="65" t="s">
        <v>147</v>
      </c>
      <c r="E7" s="66" t="str">
        <f>($C$3-1)&amp;"-"&amp;($C$3+0)</f>
        <v>2026-2027</v>
      </c>
      <c r="F7" s="66" t="str">
        <f>($C$3+0)&amp;"-"&amp;($C$3+1)</f>
        <v>2027-2028</v>
      </c>
      <c r="G7" s="66" t="str">
        <f>($C$3+1)&amp;"-"&amp;($C$3+2)</f>
        <v>2028-2029</v>
      </c>
      <c r="H7" s="66" t="str">
        <f>($C$3+2)&amp;"-"&amp;($C$3+3)</f>
        <v>2029-2030</v>
      </c>
      <c r="I7" s="66" t="str">
        <f>($C$3+3)&amp;"-"&amp;($C$3+4)</f>
        <v>2030-2031</v>
      </c>
      <c r="J7" s="66" t="str">
        <f>($C$3+4)&amp;"-"&amp;($C$3+5)</f>
        <v>2031-2032</v>
      </c>
    </row>
    <row r="8" spans="2:11" x14ac:dyDescent="0.35">
      <c r="D8" s="84" t="s">
        <v>133</v>
      </c>
      <c r="E8" s="80"/>
      <c r="F8" s="57">
        <f>Enrollment!D$23</f>
        <v>140</v>
      </c>
      <c r="G8" s="57">
        <f>Enrollment!E$23</f>
        <v>280</v>
      </c>
      <c r="H8" s="57">
        <f>Enrollment!F$23</f>
        <v>420</v>
      </c>
      <c r="I8" s="57">
        <f>Enrollment!G$23</f>
        <v>540</v>
      </c>
      <c r="J8" s="57">
        <f>Enrollment!H$23</f>
        <v>570</v>
      </c>
    </row>
    <row r="9" spans="2:11" x14ac:dyDescent="0.35">
      <c r="D9" s="37" t="s">
        <v>124</v>
      </c>
      <c r="E9" s="131"/>
      <c r="F9" s="81"/>
      <c r="G9" s="73">
        <f>Enrollment!E24</f>
        <v>1</v>
      </c>
      <c r="H9" s="73">
        <f>Enrollment!F24</f>
        <v>0.5</v>
      </c>
      <c r="I9" s="73">
        <f>Enrollment!G24</f>
        <v>0.2857142857142857</v>
      </c>
      <c r="J9" s="73">
        <f>Enrollment!H24</f>
        <v>5.5555555555555552E-2</v>
      </c>
    </row>
    <row r="10" spans="2:11" ht="16" x14ac:dyDescent="0.4">
      <c r="B10" s="1"/>
      <c r="E10" s="57"/>
      <c r="F10" s="127"/>
      <c r="G10" s="127"/>
      <c r="H10" s="127"/>
      <c r="I10" s="127"/>
      <c r="J10" s="127"/>
    </row>
    <row r="11" spans="2:11" ht="29" x14ac:dyDescent="0.35">
      <c r="B11" s="19" t="s">
        <v>87</v>
      </c>
      <c r="C11" s="23" t="s">
        <v>115</v>
      </c>
      <c r="D11" s="23" t="s">
        <v>116</v>
      </c>
      <c r="E11" s="60" t="s">
        <v>2</v>
      </c>
      <c r="F11" s="60" t="s">
        <v>3</v>
      </c>
      <c r="G11" s="60" t="s">
        <v>4</v>
      </c>
      <c r="H11" s="60" t="s">
        <v>5</v>
      </c>
      <c r="I11" s="60" t="s">
        <v>6</v>
      </c>
      <c r="J11" s="60" t="s">
        <v>7</v>
      </c>
      <c r="K11" s="20" t="s">
        <v>16</v>
      </c>
    </row>
    <row r="12" spans="2:11" ht="22.25" customHeight="1" x14ac:dyDescent="0.35">
      <c r="B12" s="132"/>
      <c r="C12" s="145" t="s">
        <v>237</v>
      </c>
      <c r="D12" s="134"/>
      <c r="E12" s="135"/>
      <c r="F12" s="135"/>
      <c r="G12" s="135"/>
      <c r="H12" s="135"/>
      <c r="I12" s="135"/>
      <c r="J12" s="135"/>
      <c r="K12" s="136"/>
    </row>
    <row r="13" spans="2:11" ht="52.5" x14ac:dyDescent="0.35">
      <c r="B13" s="45">
        <f>_xlfn.IFNA(VLOOKUP(C13,Inputs!$I$4:$J$15,2,0),"")</f>
        <v>734</v>
      </c>
      <c r="C13" s="242" t="s">
        <v>92</v>
      </c>
      <c r="D13" s="242" t="s">
        <v>479</v>
      </c>
      <c r="E13" s="243">
        <v>59516</v>
      </c>
      <c r="F13" s="243"/>
      <c r="G13" s="243"/>
      <c r="H13" s="243"/>
      <c r="I13" s="243"/>
      <c r="J13" s="243"/>
      <c r="K13" s="244" t="s">
        <v>527</v>
      </c>
    </row>
    <row r="14" spans="2:11" x14ac:dyDescent="0.35">
      <c r="B14" s="45" t="str">
        <f>_xlfn.IFNA(VLOOKUP(C14,Inputs!$I$4:$J$15,2,0),"")</f>
        <v/>
      </c>
      <c r="C14" s="242"/>
      <c r="D14" s="242"/>
      <c r="E14" s="243"/>
      <c r="F14" s="243"/>
      <c r="G14" s="243"/>
      <c r="H14" s="243"/>
      <c r="I14" s="243"/>
      <c r="J14" s="243"/>
      <c r="K14" s="244"/>
    </row>
    <row r="15" spans="2:11" x14ac:dyDescent="0.35">
      <c r="B15" s="45" t="str">
        <f>_xlfn.IFNA(VLOOKUP(C15,Inputs!$I$4:$J$15,2,0),"")</f>
        <v/>
      </c>
      <c r="C15" s="242"/>
      <c r="D15" s="242"/>
      <c r="E15" s="243"/>
      <c r="F15" s="243"/>
      <c r="G15" s="243"/>
      <c r="H15" s="243"/>
      <c r="I15" s="243"/>
      <c r="J15" s="243"/>
      <c r="K15" s="244"/>
    </row>
    <row r="16" spans="2:11" x14ac:dyDescent="0.35">
      <c r="B16" s="45" t="str">
        <f>_xlfn.IFNA(VLOOKUP(C16,Inputs!$I$4:$J$15,2,0),"")</f>
        <v/>
      </c>
      <c r="C16" s="242"/>
      <c r="D16" s="242"/>
      <c r="E16" s="243"/>
      <c r="F16" s="243"/>
      <c r="G16" s="243"/>
      <c r="H16" s="243"/>
      <c r="I16" s="243"/>
      <c r="J16" s="243"/>
      <c r="K16" s="244"/>
    </row>
    <row r="17" spans="2:11" x14ac:dyDescent="0.35">
      <c r="B17" s="45" t="str">
        <f>_xlfn.IFNA(VLOOKUP(C17,Inputs!$I$4:$J$15,2,0),"")</f>
        <v/>
      </c>
      <c r="C17" s="242"/>
      <c r="D17" s="242"/>
      <c r="E17" s="243"/>
      <c r="F17" s="243"/>
      <c r="G17" s="243"/>
      <c r="H17" s="243"/>
      <c r="I17" s="243"/>
      <c r="J17" s="243"/>
      <c r="K17" s="244"/>
    </row>
    <row r="18" spans="2:11" x14ac:dyDescent="0.35">
      <c r="B18" s="45" t="str">
        <f>_xlfn.IFNA(VLOOKUP(C18,Inputs!$I$4:$J$15,2,0),"")</f>
        <v/>
      </c>
      <c r="C18" s="242"/>
      <c r="D18" s="242"/>
      <c r="E18" s="243"/>
      <c r="F18" s="243"/>
      <c r="G18" s="243"/>
      <c r="H18" s="243"/>
      <c r="I18" s="243"/>
      <c r="J18" s="243"/>
      <c r="K18" s="244"/>
    </row>
    <row r="19" spans="2:11" x14ac:dyDescent="0.35">
      <c r="B19" s="45" t="str">
        <f>_xlfn.IFNA(VLOOKUP(C19,Inputs!$I$4:$J$15,2,0),"")</f>
        <v/>
      </c>
      <c r="C19" s="242"/>
      <c r="D19" s="242"/>
      <c r="E19" s="243"/>
      <c r="F19" s="243"/>
      <c r="G19" s="243"/>
      <c r="H19" s="243"/>
      <c r="I19" s="243"/>
      <c r="J19" s="243"/>
      <c r="K19" s="244"/>
    </row>
    <row r="20" spans="2:11" x14ac:dyDescent="0.35">
      <c r="B20" s="45" t="str">
        <f>_xlfn.IFNA(VLOOKUP(C20,Inputs!$I$4:$J$15,2,0),"")</f>
        <v/>
      </c>
      <c r="C20" s="242"/>
      <c r="D20" s="242"/>
      <c r="E20" s="243"/>
      <c r="F20" s="243"/>
      <c r="G20" s="243"/>
      <c r="H20" s="243"/>
      <c r="I20" s="243"/>
      <c r="J20" s="243"/>
      <c r="K20" s="244"/>
    </row>
    <row r="21" spans="2:11" x14ac:dyDescent="0.35">
      <c r="B21" s="45" t="str">
        <f>_xlfn.IFNA(VLOOKUP(C21,Inputs!$I$4:$J$15,2,0),"")</f>
        <v/>
      </c>
      <c r="C21" s="242"/>
      <c r="D21" s="242"/>
      <c r="E21" s="243"/>
      <c r="F21" s="243"/>
      <c r="G21" s="243"/>
      <c r="H21" s="243"/>
      <c r="I21" s="243"/>
      <c r="J21" s="243"/>
      <c r="K21" s="244"/>
    </row>
    <row r="22" spans="2:11" x14ac:dyDescent="0.35">
      <c r="B22" s="45" t="str">
        <f>_xlfn.IFNA(VLOOKUP(C22,Inputs!$I$4:$J$15,2,0),"")</f>
        <v/>
      </c>
      <c r="C22" s="242"/>
      <c r="D22" s="242"/>
      <c r="E22" s="243"/>
      <c r="F22" s="243"/>
      <c r="G22" s="243"/>
      <c r="H22" s="243"/>
      <c r="I22" s="243"/>
      <c r="J22" s="243"/>
      <c r="K22" s="244"/>
    </row>
    <row r="23" spans="2:11" x14ac:dyDescent="0.35">
      <c r="B23" s="45" t="str">
        <f>_xlfn.IFNA(VLOOKUP(C23,Inputs!$I$4:$J$15,2,0),"")</f>
        <v/>
      </c>
      <c r="C23" s="242"/>
      <c r="D23" s="242"/>
      <c r="E23" s="243"/>
      <c r="F23" s="243"/>
      <c r="G23" s="243"/>
      <c r="H23" s="243"/>
      <c r="I23" s="243"/>
      <c r="J23" s="243"/>
      <c r="K23" s="244"/>
    </row>
    <row r="24" spans="2:11" x14ac:dyDescent="0.35">
      <c r="B24" s="45" t="str">
        <f>_xlfn.IFNA(VLOOKUP(C24,Inputs!$I$4:$J$15,2,0),"")</f>
        <v/>
      </c>
      <c r="C24" s="245"/>
      <c r="D24" s="245"/>
      <c r="E24" s="246"/>
      <c r="F24" s="246"/>
      <c r="G24" s="246"/>
      <c r="H24" s="246"/>
      <c r="I24" s="246"/>
      <c r="J24" s="246"/>
      <c r="K24" s="247"/>
    </row>
    <row r="25" spans="2:11" x14ac:dyDescent="0.35">
      <c r="B25" s="45"/>
      <c r="C25" s="117"/>
      <c r="D25" s="137" t="s">
        <v>239</v>
      </c>
      <c r="E25" s="123">
        <f t="shared" ref="E25:J25" si="0">SUM(E13:E24)</f>
        <v>59516</v>
      </c>
      <c r="F25" s="123">
        <f t="shared" si="0"/>
        <v>0</v>
      </c>
      <c r="G25" s="123">
        <f t="shared" si="0"/>
        <v>0</v>
      </c>
      <c r="H25" s="123">
        <f t="shared" si="0"/>
        <v>0</v>
      </c>
      <c r="I25" s="123">
        <f t="shared" si="0"/>
        <v>0</v>
      </c>
      <c r="J25" s="123">
        <f t="shared" si="0"/>
        <v>0</v>
      </c>
      <c r="K25" s="138"/>
    </row>
    <row r="26" spans="2:11" x14ac:dyDescent="0.35">
      <c r="B26" s="45"/>
      <c r="C26" s="117"/>
      <c r="D26" s="137" t="s">
        <v>240</v>
      </c>
      <c r="E26" s="124"/>
      <c r="F26" s="128">
        <f>IFERROR(F25/F$8,"-")</f>
        <v>0</v>
      </c>
      <c r="G26" s="128">
        <f>IFERROR(G25/G$8,"-")</f>
        <v>0</v>
      </c>
      <c r="H26" s="128">
        <f>IFERROR(H25/H$8,"-")</f>
        <v>0</v>
      </c>
      <c r="I26" s="128">
        <f>IFERROR(I25/I$8,"-")</f>
        <v>0</v>
      </c>
      <c r="J26" s="128">
        <f>IFERROR(J25/J$8,"-")</f>
        <v>0</v>
      </c>
      <c r="K26" s="138"/>
    </row>
    <row r="27" spans="2:11" x14ac:dyDescent="0.35">
      <c r="B27" s="45"/>
      <c r="C27" s="117" t="s">
        <v>238</v>
      </c>
      <c r="D27" s="139"/>
      <c r="E27" s="123"/>
      <c r="F27" s="123"/>
      <c r="G27" s="123"/>
      <c r="H27" s="123"/>
      <c r="I27" s="123"/>
      <c r="J27" s="123"/>
      <c r="K27" s="138"/>
    </row>
    <row r="28" spans="2:11" ht="39.5" x14ac:dyDescent="0.35">
      <c r="B28" s="45">
        <f>_xlfn.IFNA(VLOOKUP(C28,Inputs!$L$4:$M$11,2,0),"")</f>
        <v>836</v>
      </c>
      <c r="C28" s="242" t="s">
        <v>235</v>
      </c>
      <c r="D28" s="242" t="s">
        <v>466</v>
      </c>
      <c r="E28" s="243"/>
      <c r="F28" s="243">
        <v>300000</v>
      </c>
      <c r="G28" s="243">
        <v>315000</v>
      </c>
      <c r="H28" s="243">
        <v>330750</v>
      </c>
      <c r="I28" s="243">
        <v>347288</v>
      </c>
      <c r="J28" s="243">
        <v>364652</v>
      </c>
      <c r="K28" s="244" t="s">
        <v>528</v>
      </c>
    </row>
    <row r="29" spans="2:11" x14ac:dyDescent="0.35">
      <c r="B29" s="45" t="str">
        <f>_xlfn.IFNA(VLOOKUP(C29,Inputs!$L$4:$M$11,2,0),"")</f>
        <v/>
      </c>
      <c r="C29" s="242"/>
      <c r="D29" s="242"/>
      <c r="E29" s="243"/>
      <c r="F29" s="243"/>
      <c r="G29" s="243"/>
      <c r="H29" s="243"/>
      <c r="I29" s="243"/>
      <c r="J29" s="243"/>
      <c r="K29" s="244"/>
    </row>
    <row r="30" spans="2:11" x14ac:dyDescent="0.35">
      <c r="B30" s="45" t="str">
        <f>_xlfn.IFNA(VLOOKUP(C30,Inputs!$L$4:$M$11,2,0),"")</f>
        <v/>
      </c>
      <c r="C30" s="242"/>
      <c r="D30" s="242"/>
      <c r="E30" s="243"/>
      <c r="F30" s="243"/>
      <c r="G30" s="243"/>
      <c r="H30" s="243"/>
      <c r="I30" s="243"/>
      <c r="J30" s="243"/>
      <c r="K30" s="244"/>
    </row>
    <row r="31" spans="2:11" x14ac:dyDescent="0.35">
      <c r="B31" s="45" t="str">
        <f>_xlfn.IFNA(VLOOKUP(C31,Inputs!$L$4:$M$11,2,0),"")</f>
        <v/>
      </c>
      <c r="C31" s="242"/>
      <c r="D31" s="242"/>
      <c r="E31" s="243"/>
      <c r="F31" s="243"/>
      <c r="G31" s="243"/>
      <c r="H31" s="243"/>
      <c r="I31" s="243"/>
      <c r="J31" s="243"/>
      <c r="K31" s="244"/>
    </row>
    <row r="32" spans="2:11" x14ac:dyDescent="0.35">
      <c r="B32" s="45" t="str">
        <f>_xlfn.IFNA(VLOOKUP(C32,Inputs!$L$4:$M$11,2,0),"")</f>
        <v/>
      </c>
      <c r="C32" s="242"/>
      <c r="D32" s="242"/>
      <c r="E32" s="243"/>
      <c r="F32" s="243"/>
      <c r="G32" s="243"/>
      <c r="H32" s="243"/>
      <c r="I32" s="243"/>
      <c r="J32" s="243"/>
      <c r="K32" s="244"/>
    </row>
    <row r="33" spans="2:11" x14ac:dyDescent="0.35">
      <c r="B33" s="45" t="str">
        <f>_xlfn.IFNA(VLOOKUP(C33,Inputs!$L$4:$M$11,2,0),"")</f>
        <v/>
      </c>
      <c r="C33" s="242"/>
      <c r="D33" s="242"/>
      <c r="E33" s="243"/>
      <c r="F33" s="243"/>
      <c r="G33" s="243"/>
      <c r="H33" s="243"/>
      <c r="I33" s="243"/>
      <c r="J33" s="243"/>
      <c r="K33" s="244"/>
    </row>
    <row r="34" spans="2:11" x14ac:dyDescent="0.35">
      <c r="B34" s="45" t="str">
        <f>_xlfn.IFNA(VLOOKUP(C34,Inputs!$L$4:$M$11,2,0),"")</f>
        <v/>
      </c>
      <c r="C34" s="242"/>
      <c r="D34" s="242"/>
      <c r="E34" s="243"/>
      <c r="F34" s="243"/>
      <c r="G34" s="243"/>
      <c r="H34" s="243"/>
      <c r="I34" s="243"/>
      <c r="J34" s="243"/>
      <c r="K34" s="244"/>
    </row>
    <row r="35" spans="2:11" x14ac:dyDescent="0.35">
      <c r="B35" s="45" t="str">
        <f>_xlfn.IFNA(VLOOKUP(C35,Inputs!$L$4:$M$11,2,0),"")</f>
        <v/>
      </c>
      <c r="C35" s="242"/>
      <c r="D35" s="242"/>
      <c r="E35" s="243"/>
      <c r="F35" s="243"/>
      <c r="G35" s="243"/>
      <c r="H35" s="243"/>
      <c r="I35" s="243"/>
      <c r="J35" s="243"/>
      <c r="K35" s="244"/>
    </row>
    <row r="36" spans="2:11" x14ac:dyDescent="0.35">
      <c r="B36" s="45" t="str">
        <f>_xlfn.IFNA(VLOOKUP(C36,Inputs!$L$4:$M$11,2,0),"")</f>
        <v/>
      </c>
      <c r="C36" s="242"/>
      <c r="D36" s="242"/>
      <c r="E36" s="243"/>
      <c r="F36" s="243"/>
      <c r="G36" s="243"/>
      <c r="H36" s="243"/>
      <c r="I36" s="243"/>
      <c r="J36" s="243"/>
      <c r="K36" s="244"/>
    </row>
    <row r="37" spans="2:11" x14ac:dyDescent="0.35">
      <c r="B37" s="45" t="str">
        <f>_xlfn.IFNA(VLOOKUP(C37,Inputs!$L$4:$M$11,2,0),"")</f>
        <v/>
      </c>
      <c r="C37" s="245"/>
      <c r="D37" s="245"/>
      <c r="E37" s="246"/>
      <c r="F37" s="246"/>
      <c r="G37" s="246"/>
      <c r="H37" s="246"/>
      <c r="I37" s="246"/>
      <c r="J37" s="246"/>
      <c r="K37" s="247"/>
    </row>
    <row r="38" spans="2:11" x14ac:dyDescent="0.35">
      <c r="B38" s="45"/>
      <c r="C38" s="117"/>
      <c r="D38" s="137" t="s">
        <v>241</v>
      </c>
      <c r="E38" s="123">
        <f t="shared" ref="E38:J38" si="1">SUM(E28:E37)</f>
        <v>0</v>
      </c>
      <c r="F38" s="123">
        <f t="shared" si="1"/>
        <v>300000</v>
      </c>
      <c r="G38" s="123">
        <f t="shared" si="1"/>
        <v>315000</v>
      </c>
      <c r="H38" s="123">
        <f t="shared" si="1"/>
        <v>330750</v>
      </c>
      <c r="I38" s="123">
        <f t="shared" si="1"/>
        <v>347288</v>
      </c>
      <c r="J38" s="123">
        <f t="shared" si="1"/>
        <v>364652</v>
      </c>
      <c r="K38" s="138"/>
    </row>
    <row r="39" spans="2:11" ht="15" thickBot="1" x14ac:dyDescent="0.4">
      <c r="B39" s="45"/>
      <c r="C39" s="122"/>
      <c r="D39" s="146" t="s">
        <v>240</v>
      </c>
      <c r="E39" s="125"/>
      <c r="F39" s="129">
        <f>IFERROR(F38/F$8,"-")</f>
        <v>2142.8571428571427</v>
      </c>
      <c r="G39" s="129">
        <f>IFERROR(G38/G$8,"-")</f>
        <v>1125</v>
      </c>
      <c r="H39" s="129">
        <f>IFERROR(H38/H$8,"-")</f>
        <v>787.5</v>
      </c>
      <c r="I39" s="129">
        <f>IFERROR(I38/I$8,"-")</f>
        <v>643.12592592592591</v>
      </c>
      <c r="J39" s="129">
        <f>IFERROR(J38/J$8,"-")</f>
        <v>639.74035087719301</v>
      </c>
      <c r="K39" s="138"/>
    </row>
    <row r="40" spans="2:11" ht="21.65" customHeight="1" thickTop="1" x14ac:dyDescent="0.4">
      <c r="B40" s="141"/>
      <c r="C40" s="142"/>
      <c r="D40" s="159" t="s">
        <v>256</v>
      </c>
      <c r="E40" s="160">
        <f>E25+E38</f>
        <v>59516</v>
      </c>
      <c r="F40" s="160">
        <f>F25+F38</f>
        <v>300000</v>
      </c>
      <c r="G40" s="160">
        <f t="shared" ref="G40:J40" si="2">G25+G38</f>
        <v>315000</v>
      </c>
      <c r="H40" s="160">
        <f t="shared" si="2"/>
        <v>330750</v>
      </c>
      <c r="I40" s="160">
        <f t="shared" si="2"/>
        <v>347288</v>
      </c>
      <c r="J40" s="160">
        <f t="shared" si="2"/>
        <v>364652</v>
      </c>
      <c r="K40" s="46"/>
    </row>
    <row r="41" spans="2:11" ht="20.399999999999999" customHeight="1" x14ac:dyDescent="0.35">
      <c r="B41" s="47"/>
      <c r="C41" s="3"/>
      <c r="D41" s="143" t="s">
        <v>186</v>
      </c>
      <c r="E41" s="126"/>
      <c r="F41" s="130">
        <f>IFERROR(F40/F$8,"-")</f>
        <v>2142.8571428571427</v>
      </c>
      <c r="G41" s="130">
        <f>IFERROR(G40/G$8,"-")</f>
        <v>1125</v>
      </c>
      <c r="H41" s="130">
        <f>IFERROR(H40/H$8,"-")</f>
        <v>787.5</v>
      </c>
      <c r="I41" s="130">
        <f>IFERROR(I40/I$8,"-")</f>
        <v>643.12592592592591</v>
      </c>
      <c r="J41" s="130">
        <f>IFERROR(J40/J$8,"-")</f>
        <v>639.74035087719301</v>
      </c>
      <c r="K41" s="48"/>
    </row>
    <row r="42" spans="2:11" x14ac:dyDescent="0.35">
      <c r="B42" s="1"/>
    </row>
    <row r="43" spans="2:11" x14ac:dyDescent="0.35">
      <c r="B43" s="1"/>
    </row>
    <row r="44" spans="2:11" x14ac:dyDescent="0.35">
      <c r="B44" s="1"/>
    </row>
    <row r="45" spans="2:11" x14ac:dyDescent="0.35">
      <c r="B45" s="1"/>
    </row>
    <row r="46" spans="2:11" x14ac:dyDescent="0.35">
      <c r="B46" s="1"/>
    </row>
    <row r="47" spans="2:11" x14ac:dyDescent="0.35">
      <c r="B47" s="1"/>
    </row>
    <row r="48" spans="2:11" x14ac:dyDescent="0.35">
      <c r="B48" s="1"/>
    </row>
    <row r="49" spans="2:2" x14ac:dyDescent="0.35">
      <c r="B49" s="1"/>
    </row>
  </sheetData>
  <sheetProtection algorithmName="SHA-512" hashValue="yBKDvGHPfFNFrTsruAutHZAhiVVMS8fn2761Qga/auZCYj15rzwdOfMsMgDzxEj9s9rztqkaabN1b7yfNi+L3w==" saltValue="beU2BPUvoCfgevHGWnG5ig==" spinCount="100000" sheet="1" objects="1" scenarios="1"/>
  <mergeCells count="1">
    <mergeCell ref="C5:J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Inputs!$L$4:$L$11</xm:f>
          </x14:formula1>
          <xm:sqref>C28:C37</xm:sqref>
        </x14:dataValidation>
        <x14:dataValidation type="list" allowBlank="1" showInputMessage="1" showErrorMessage="1" xr:uid="{00000000-0002-0000-0800-000001000000}">
          <x14:formula1>
            <xm:f>Inputs!$I$4:$I$16</xm:f>
          </x14:formula1>
          <xm:sqref>C13:C24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db173ee-3fb8-4f75-bf43-79a22ca96f2e">
      <Terms xmlns="http://schemas.microsoft.com/office/infopath/2007/PartnerControls"/>
    </lcf76f155ced4ddcb4097134ff3c332f>
    <TaxCatchAll xmlns="9224003f-e6e7-470a-941a-44de56618887" xsi:nil="true"/>
    <_ip_UnifiedCompliancePolicyProperties xmlns="http://schemas.microsoft.com/sharepoint/v3" xsi:nil="true"/>
    <DateTimeMod xmlns="edb173ee-3fb8-4f75-bf43-79a22ca96f2e" xsi:nil="true"/>
    <Dateandtime xmlns="edb173ee-3fb8-4f75-bf43-79a22ca96f2e" xsi:nil="true"/>
    <NOC_x002d_FIP xmlns="edb173ee-3fb8-4f75-bf43-79a22ca96f2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2D4A3EC0020B44F93019580CF4D642E" ma:contentTypeVersion="28" ma:contentTypeDescription="Create a new document." ma:contentTypeScope="" ma:versionID="bc4b8034ffcb071e99e63db7de18d567">
  <xsd:schema xmlns:xsd="http://www.w3.org/2001/XMLSchema" xmlns:xs="http://www.w3.org/2001/XMLSchema" xmlns:p="http://schemas.microsoft.com/office/2006/metadata/properties" xmlns:ns1="http://schemas.microsoft.com/sharepoint/v3" xmlns:ns2="edb173ee-3fb8-4f75-bf43-79a22ca96f2e" xmlns:ns3="9224003f-e6e7-470a-941a-44de56618887" targetNamespace="http://schemas.microsoft.com/office/2006/metadata/properties" ma:root="true" ma:fieldsID="af57c9fa4829473094f5e5f925b68551" ns1:_="" ns2:_="" ns3:_="">
    <xsd:import namespace="http://schemas.microsoft.com/sharepoint/v3"/>
    <xsd:import namespace="edb173ee-3fb8-4f75-bf43-79a22ca96f2e"/>
    <xsd:import namespace="9224003f-e6e7-470a-941a-44de56618887"/>
    <xsd:element name="properties">
      <xsd:complexType>
        <xsd:sequence>
          <xsd:element name="documentManagement">
            <xsd:complexType>
              <xsd:all>
                <xsd:element ref="ns2:Dateandtime" minOccurs="0"/>
                <xsd:element ref="ns2:NOC_x002d_FIP"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DateTimeMo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ma:readOnly="false">
      <xsd:simpleType>
        <xsd:restriction base="dms:Note"/>
      </xsd:simpleType>
    </xsd:element>
    <xsd:element name="_ip_UnifiedCompliancePolicyUIAction" ma:index="18"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b173ee-3fb8-4f75-bf43-79a22ca96f2e" elementFormDefault="qualified">
    <xsd:import namespace="http://schemas.microsoft.com/office/2006/documentManagement/types"/>
    <xsd:import namespace="http://schemas.microsoft.com/office/infopath/2007/PartnerControls"/>
    <xsd:element name="Dateandtime" ma:index="2" nillable="true" ma:displayName="Date and time" ma:format="DateTime" ma:internalName="Dateandtime" ma:readOnly="false">
      <xsd:simpleType>
        <xsd:restriction base="dms:DateTime"/>
      </xsd:simpleType>
    </xsd:element>
    <xsd:element name="NOC_x002d_FIP" ma:index="4" nillable="true" ma:displayName="NOC-FIP" ma:description="School received or is continuing under a Notice Of Concern (NOC) or is required to submit a Financial Improvement Plan (FIP)" ma:internalName="NOC_x002d_FIP">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hidden="true" ma:internalName="MediaServiceAutoTags"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OCR" ma:index="19" nillable="true" ma:displayName="Extracted Text" ma:hidden="true" ma:internalName="MediaServiceOCR" ma:readOnly="true">
      <xsd:simpleType>
        <xsd:restriction base="dms:Note"/>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hidden="true" ma:internalName="MediaServiceLocation" ma:readOnly="true">
      <xsd:simpleType>
        <xsd:restriction base="dms:Text"/>
      </xsd:simpleType>
    </xsd:element>
    <xsd:element name="MediaLengthInSeconds" ma:index="23" nillable="true" ma:displayName="Length (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DateTimeMod" ma:index="30" nillable="true" ma:displayName="Date &amp; Time Mod" ma:format="DateTime" ma:hidden="true" ma:internalName="DateTimeMo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224003f-e6e7-470a-941a-44de5661888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51d1bbaf-8935-41e2-b6d1-001bd16c079b}" ma:internalName="TaxCatchAll" ma:readOnly="false" ma:showField="CatchAllData" ma:web="9224003f-e6e7-470a-941a-44de566188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458ED4-1075-4B21-8E88-CF45D517C253}">
  <ds:schemaRefs>
    <ds:schemaRef ds:uri="http://schemas.microsoft.com/office/2006/metadata/properties"/>
    <ds:schemaRef ds:uri="http://schemas.microsoft.com/office/infopath/2007/PartnerControls"/>
    <ds:schemaRef ds:uri="http://schemas.microsoft.com/sharepoint/v3"/>
    <ds:schemaRef ds:uri="edb173ee-3fb8-4f75-bf43-79a22ca96f2e"/>
    <ds:schemaRef ds:uri="9224003f-e6e7-470a-941a-44de56618887"/>
  </ds:schemaRefs>
</ds:datastoreItem>
</file>

<file path=customXml/itemProps2.xml><?xml version="1.0" encoding="utf-8"?>
<ds:datastoreItem xmlns:ds="http://schemas.openxmlformats.org/officeDocument/2006/customXml" ds:itemID="{88646324-4718-4C45-9071-C5D81C2B932B}">
  <ds:schemaRefs>
    <ds:schemaRef ds:uri="http://schemas.microsoft.com/sharepoint/v3/contenttype/forms"/>
  </ds:schemaRefs>
</ds:datastoreItem>
</file>

<file path=customXml/itemProps3.xml><?xml version="1.0" encoding="utf-8"?>
<ds:datastoreItem xmlns:ds="http://schemas.openxmlformats.org/officeDocument/2006/customXml" ds:itemID="{579B1099-9A4C-436A-88B4-5D42F35368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db173ee-3fb8-4f75-bf43-79a22ca96f2e"/>
    <ds:schemaRef ds:uri="9224003f-e6e7-470a-941a-44de56618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Instructions</vt:lpstr>
      <vt:lpstr>Title</vt:lpstr>
      <vt:lpstr>Summary</vt:lpstr>
      <vt:lpstr>Enrollment</vt:lpstr>
      <vt:lpstr>Revenue</vt:lpstr>
      <vt:lpstr>Staff</vt:lpstr>
      <vt:lpstr>Supplies</vt:lpstr>
      <vt:lpstr>Services</vt:lpstr>
      <vt:lpstr>Capital &amp; Debt</vt:lpstr>
      <vt:lpstr>Cash Flow</vt:lpstr>
      <vt:lpstr>Inputs</vt:lpstr>
      <vt:lpstr>Title!Print_Area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Dusty Casey</dc:creator>
  <cp:lastModifiedBy>Dusty Casey</cp:lastModifiedBy>
  <cp:lastPrinted>2026-04-11T20:50:24Z</cp:lastPrinted>
  <dcterms:created xsi:type="dcterms:W3CDTF">2026-01-25T16:33:23Z</dcterms:created>
  <dcterms:modified xsi:type="dcterms:W3CDTF">2026-05-12T20:29:26Z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0x01010072D4A3EC0020B44F93019580CF4D642E</vt:lpwstr>
  </property>
</Properties>
</file>