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nandini.vaishnav\Box\Clients\Nevada Clients\Z-Prospective Clients\Nexus Academy\SPCSA Application\"/>
    </mc:Choice>
  </mc:AlternateContent>
  <xr:revisionPtr revIDLastSave="0" documentId="8_{C334E0B6-1D2E-4ABD-B93D-7BDE23E0940B}" xr6:coauthVersionLast="47" xr6:coauthVersionMax="47" xr10:uidLastSave="{00000000-0000-0000-0000-000000000000}"/>
  <workbookProtection workbookAlgorithmName="SHA-512" workbookHashValue="hN+nuYjBBSUhc28pLB7/yo1FvjTu7UTsKZtjCo5/0AA3puxwlDKr25y15kolDohy1PmZj8YfJvFajiqwlIn4Tg==" workbookSaltValue="DR3FvYaC0TLkv8V6WZo9/w==" workbookSpinCount="100000" lockStructure="1"/>
  <bookViews>
    <workbookView xWindow="-108" yWindow="-108" windowWidth="23256" windowHeight="13896" tabRatio="723" firstSheet="1" activeTab="1" xr2:uid="{14378D69-9327-4CDA-9C31-209552A33C34}"/>
  </bookViews>
  <sheets>
    <sheet name="Instructions" sheetId="13" r:id="rId1"/>
    <sheet name="Title" sheetId="14" r:id="rId2"/>
    <sheet name="Summary" sheetId="5" r:id="rId3"/>
    <sheet name="Enrollment" sheetId="7" r:id="rId4"/>
    <sheet name="Revenue" sheetId="6" r:id="rId5"/>
    <sheet name="Staff" sheetId="1" r:id="rId6"/>
    <sheet name="Supplies" sheetId="2" r:id="rId7"/>
    <sheet name="Services" sheetId="11" r:id="rId8"/>
    <sheet name="Capital &amp; Debt" sheetId="12" r:id="rId9"/>
    <sheet name="Cash Flow" sheetId="9" r:id="rId10"/>
    <sheet name="Inputs" sheetId="10" state="hidden" r:id="rId11"/>
  </sheets>
  <externalReferences>
    <externalReference r:id="rId12"/>
    <externalReference r:id="rId13"/>
  </externalReferences>
  <definedNames>
    <definedName name="DSA">'[1]PCFP Rates'!#REF!</definedName>
    <definedName name="HypLink1">#REF!</definedName>
    <definedName name="HypLink2">#REF!</definedName>
    <definedName name="HypLink3">Title!#REF!</definedName>
    <definedName name="_xlnm.Print_Area" localSheetId="1">Title!$A$1:$D$18</definedName>
    <definedName name="SchoolName">'[1]Cover &amp; Loc'!$A$9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2" l="1"/>
  <c r="G28" i="12" s="1"/>
  <c r="H28" i="12" s="1"/>
  <c r="I28" i="12" s="1"/>
  <c r="J28" i="12" s="1"/>
  <c r="E28" i="12"/>
  <c r="I30" i="11"/>
  <c r="J30" i="11"/>
  <c r="H30" i="11"/>
  <c r="F54" i="11"/>
  <c r="H89" i="1"/>
  <c r="I89" i="1" s="1"/>
  <c r="G89" i="1"/>
  <c r="F83" i="11"/>
  <c r="H22" i="2"/>
  <c r="I22" i="2"/>
  <c r="J22" i="2"/>
  <c r="J54" i="2"/>
  <c r="I54" i="2"/>
  <c r="H54" i="2"/>
  <c r="G54" i="2"/>
  <c r="F54" i="2"/>
  <c r="E55" i="11"/>
  <c r="I59" i="11"/>
  <c r="J59" i="11"/>
  <c r="H59" i="11"/>
  <c r="G59" i="11"/>
  <c r="F59" i="11"/>
  <c r="H16" i="11"/>
  <c r="F16" i="11"/>
  <c r="J15" i="2"/>
  <c r="I15" i="2"/>
  <c r="H15" i="2"/>
  <c r="G15" i="2"/>
  <c r="F15" i="2"/>
  <c r="F18" i="11"/>
  <c r="G58" i="11"/>
  <c r="H58" i="11" s="1"/>
  <c r="I58" i="11" s="1"/>
  <c r="J58" i="11" s="1"/>
  <c r="F58" i="11"/>
  <c r="E58" i="11"/>
  <c r="G22" i="2"/>
  <c r="E22" i="2"/>
  <c r="I68" i="11"/>
  <c r="J68" i="11"/>
  <c r="H68" i="11"/>
  <c r="G19" i="6" l="1"/>
  <c r="H19" i="6"/>
  <c r="I19" i="6"/>
  <c r="F19" i="6"/>
  <c r="G17" i="11"/>
  <c r="H17" i="11"/>
  <c r="I17" i="11"/>
  <c r="J17" i="11"/>
  <c r="H29" i="11"/>
  <c r="I29" i="11"/>
  <c r="J29" i="11"/>
  <c r="G29" i="11"/>
  <c r="H89" i="11"/>
  <c r="E57" i="11"/>
  <c r="I20" i="11"/>
  <c r="J20" i="11" s="1"/>
  <c r="I19" i="11"/>
  <c r="J19" i="11" s="1"/>
  <c r="H20" i="11"/>
  <c r="H19" i="11"/>
  <c r="I18" i="11"/>
  <c r="J18" i="11" s="1"/>
  <c r="H18" i="11"/>
  <c r="G18" i="11"/>
  <c r="G100" i="1"/>
  <c r="H100" i="1" s="1"/>
  <c r="I100" i="1" s="1"/>
  <c r="J78" i="2"/>
  <c r="F89" i="11"/>
  <c r="G89" i="11" s="1"/>
  <c r="I89" i="11" s="1"/>
  <c r="J89" i="11" s="1"/>
  <c r="G55" i="11"/>
  <c r="H55" i="11" s="1"/>
  <c r="I55" i="11" s="1"/>
  <c r="J55" i="11" s="1"/>
  <c r="J13" i="2"/>
  <c r="G87" i="11"/>
  <c r="H87" i="11" s="1"/>
  <c r="I87" i="11" s="1"/>
  <c r="J87" i="11" s="1"/>
  <c r="G38" i="2"/>
  <c r="F38" i="2"/>
  <c r="I13" i="2"/>
  <c r="H13" i="2"/>
  <c r="G13" i="2"/>
  <c r="F53" i="6"/>
  <c r="G53" i="6"/>
  <c r="H53" i="6"/>
  <c r="I53" i="6"/>
  <c r="F29" i="6"/>
  <c r="G29" i="6"/>
  <c r="H29" i="6"/>
  <c r="I29" i="6"/>
  <c r="G54" i="11"/>
  <c r="H54" i="11" s="1"/>
  <c r="I54" i="11" s="1"/>
  <c r="J54" i="11" s="1"/>
  <c r="E52" i="11"/>
  <c r="F51" i="11"/>
  <c r="G51" i="11" s="1"/>
  <c r="H51" i="11" s="1"/>
  <c r="I51" i="11" s="1"/>
  <c r="J51" i="11" s="1"/>
  <c r="H14" i="9"/>
  <c r="G20" i="9"/>
  <c r="E19" i="9"/>
  <c r="P19" i="9"/>
  <c r="I21" i="9"/>
  <c r="J21" i="9"/>
  <c r="K21" i="9"/>
  <c r="L21" i="9" s="1"/>
  <c r="M21" i="9" s="1"/>
  <c r="N21" i="9" s="1"/>
  <c r="O21" i="9" s="1"/>
  <c r="H21" i="9"/>
  <c r="G21" i="9"/>
  <c r="G85" i="11"/>
  <c r="H85" i="11" s="1"/>
  <c r="I85" i="11" s="1"/>
  <c r="J85" i="11" s="1"/>
  <c r="F84" i="11"/>
  <c r="G84" i="11" s="1"/>
  <c r="H84" i="11" s="1"/>
  <c r="I84" i="11" s="1"/>
  <c r="J84" i="11" s="1"/>
  <c r="G83" i="11"/>
  <c r="H83" i="11" s="1"/>
  <c r="I83" i="11" s="1"/>
  <c r="J83" i="11" s="1"/>
  <c r="J98" i="11" l="1"/>
  <c r="F101" i="1"/>
  <c r="G101" i="1" s="1"/>
  <c r="H101" i="1" s="1"/>
  <c r="I101" i="1" s="1"/>
  <c r="G99" i="1"/>
  <c r="H99" i="1" s="1"/>
  <c r="I99" i="1" s="1"/>
  <c r="F98" i="1"/>
  <c r="G98" i="1" s="1"/>
  <c r="H98" i="1" s="1"/>
  <c r="I98" i="1" s="1"/>
  <c r="H72" i="1"/>
  <c r="I72" i="1" s="1"/>
  <c r="G71" i="1"/>
  <c r="H71" i="1" s="1"/>
  <c r="I71" i="1" s="1"/>
  <c r="G70" i="1"/>
  <c r="H70" i="1" s="1"/>
  <c r="I70" i="1" s="1"/>
  <c r="F69" i="1"/>
  <c r="G69" i="1" s="1"/>
  <c r="H69" i="1" s="1"/>
  <c r="I69" i="1" s="1"/>
  <c r="F68" i="1"/>
  <c r="G68" i="1" s="1"/>
  <c r="H68" i="1" s="1"/>
  <c r="I68" i="1" s="1"/>
  <c r="E67" i="1"/>
  <c r="F67" i="1" s="1"/>
  <c r="G67" i="1" s="1"/>
  <c r="H67" i="1" s="1"/>
  <c r="I67" i="1" s="1"/>
  <c r="E66" i="1"/>
  <c r="F66" i="1" s="1"/>
  <c r="G66" i="1" s="1"/>
  <c r="H66" i="1" s="1"/>
  <c r="I66" i="1" s="1"/>
  <c r="H56" i="1"/>
  <c r="I56" i="1" s="1"/>
  <c r="F55" i="1"/>
  <c r="G55" i="1" s="1"/>
  <c r="H55" i="1" s="1"/>
  <c r="I55" i="1" s="1"/>
  <c r="H54" i="1"/>
  <c r="I54" i="1" s="1"/>
  <c r="H53" i="1"/>
  <c r="I53" i="1" s="1"/>
  <c r="G53" i="1"/>
  <c r="F53" i="1"/>
  <c r="E53" i="1"/>
  <c r="I50" i="1"/>
  <c r="I49" i="1"/>
  <c r="I48" i="1"/>
  <c r="I47" i="1"/>
  <c r="H46" i="1"/>
  <c r="I46" i="1" s="1"/>
  <c r="H45" i="1"/>
  <c r="I45" i="1" s="1"/>
  <c r="H44" i="1"/>
  <c r="I44" i="1" s="1"/>
  <c r="H43" i="1"/>
  <c r="I43" i="1" s="1"/>
  <c r="G42" i="1"/>
  <c r="H42" i="1" s="1"/>
  <c r="I42" i="1" s="1"/>
  <c r="G41" i="1"/>
  <c r="H41" i="1" s="1"/>
  <c r="I41" i="1" s="1"/>
  <c r="G40" i="1"/>
  <c r="H40" i="1" s="1"/>
  <c r="I40" i="1" s="1"/>
  <c r="G39" i="1"/>
  <c r="H39" i="1" s="1"/>
  <c r="I39" i="1" s="1"/>
  <c r="F38" i="1"/>
  <c r="G38" i="1" s="1"/>
  <c r="H38" i="1" s="1"/>
  <c r="I38" i="1" s="1"/>
  <c r="F37" i="1"/>
  <c r="G37" i="1" s="1"/>
  <c r="H37" i="1" s="1"/>
  <c r="I37" i="1" s="1"/>
  <c r="F36" i="1"/>
  <c r="G36" i="1" s="1"/>
  <c r="H36" i="1" s="1"/>
  <c r="I36" i="1" s="1"/>
  <c r="F35" i="1"/>
  <c r="G35" i="1" s="1"/>
  <c r="H35" i="1" s="1"/>
  <c r="I35" i="1" s="1"/>
  <c r="H34" i="1"/>
  <c r="I34" i="1" s="1"/>
  <c r="H33" i="1"/>
  <c r="I33" i="1" s="1"/>
  <c r="H32" i="1"/>
  <c r="I32" i="1" s="1"/>
  <c r="H31" i="1"/>
  <c r="I31" i="1" s="1"/>
  <c r="G30" i="1"/>
  <c r="H30" i="1" s="1"/>
  <c r="I30" i="1" s="1"/>
  <c r="G29" i="1"/>
  <c r="H29" i="1" s="1"/>
  <c r="I29" i="1" s="1"/>
  <c r="G28" i="1"/>
  <c r="H28" i="1" s="1"/>
  <c r="I28" i="1" s="1"/>
  <c r="G27" i="1"/>
  <c r="H27" i="1" s="1"/>
  <c r="I27" i="1" s="1"/>
  <c r="F26" i="1"/>
  <c r="G26" i="1" s="1"/>
  <c r="H26" i="1" s="1"/>
  <c r="I26" i="1" s="1"/>
  <c r="F25" i="1"/>
  <c r="G25" i="1" s="1"/>
  <c r="H25" i="1" s="1"/>
  <c r="I25" i="1" s="1"/>
  <c r="F24" i="1"/>
  <c r="G24" i="1" s="1"/>
  <c r="H24" i="1" s="1"/>
  <c r="I24" i="1" s="1"/>
  <c r="F23" i="1"/>
  <c r="G23" i="1" s="1"/>
  <c r="H23" i="1" s="1"/>
  <c r="I23" i="1" s="1"/>
  <c r="E15" i="1"/>
  <c r="F15" i="1" s="1"/>
  <c r="G15" i="1" s="1"/>
  <c r="H15" i="1" s="1"/>
  <c r="I15" i="1" s="1"/>
  <c r="F54" i="6"/>
  <c r="I21" i="6"/>
  <c r="H21" i="6"/>
  <c r="G21" i="6"/>
  <c r="F21" i="6"/>
  <c r="I20" i="6"/>
  <c r="H20" i="6"/>
  <c r="G20" i="6"/>
  <c r="F20" i="6"/>
  <c r="G40" i="6" l="1"/>
  <c r="H40" i="6"/>
  <c r="I40" i="6"/>
  <c r="F40" i="6"/>
  <c r="D13" i="9"/>
  <c r="G12" i="1" l="1"/>
  <c r="H12" i="1"/>
  <c r="I12" i="1" s="1"/>
  <c r="F12" i="1"/>
  <c r="E12" i="6"/>
  <c r="F12" i="6" s="1"/>
  <c r="G12" i="6" s="1"/>
  <c r="H12" i="6" s="1"/>
  <c r="I12" i="6" s="1"/>
  <c r="B19" i="2" l="1"/>
  <c r="C1" i="5"/>
  <c r="C1" i="9" s="1"/>
  <c r="B14" i="11"/>
  <c r="B15" i="11"/>
  <c r="B16" i="11"/>
  <c r="B17" i="11"/>
  <c r="B18" i="11"/>
  <c r="B19" i="11"/>
  <c r="B20" i="11"/>
  <c r="B21" i="11"/>
  <c r="B22" i="11"/>
  <c r="B23" i="11"/>
  <c r="B24" i="11"/>
  <c r="B25" i="11"/>
  <c r="B26" i="11"/>
  <c r="B27" i="11"/>
  <c r="B68" i="2"/>
  <c r="B69" i="2"/>
  <c r="B70" i="2"/>
  <c r="B71" i="2"/>
  <c r="B72" i="2"/>
  <c r="B73" i="2"/>
  <c r="B74" i="2"/>
  <c r="B75" i="2"/>
  <c r="B76" i="2"/>
  <c r="B77" i="2"/>
  <c r="B54" i="2"/>
  <c r="B55" i="2"/>
  <c r="B56" i="2"/>
  <c r="B57" i="2"/>
  <c r="B58" i="2"/>
  <c r="B59" i="2"/>
  <c r="B60" i="2"/>
  <c r="B61" i="2"/>
  <c r="B62" i="2"/>
  <c r="B63" i="2"/>
  <c r="B36" i="2"/>
  <c r="B37" i="2"/>
  <c r="B38" i="2"/>
  <c r="B39" i="2"/>
  <c r="B40" i="2"/>
  <c r="B41" i="2"/>
  <c r="B42" i="2"/>
  <c r="B43" i="2"/>
  <c r="B44" i="2"/>
  <c r="B45" i="2"/>
  <c r="B46" i="2"/>
  <c r="B47" i="2"/>
  <c r="B48" i="2"/>
  <c r="B49" i="2"/>
  <c r="B14" i="2"/>
  <c r="B15" i="2"/>
  <c r="B16" i="2"/>
  <c r="B17" i="2"/>
  <c r="B18" i="2"/>
  <c r="B20" i="2"/>
  <c r="B21" i="2"/>
  <c r="B22" i="2"/>
  <c r="B23" i="2"/>
  <c r="B24" i="2"/>
  <c r="B25" i="2"/>
  <c r="B26" i="2"/>
  <c r="B27" i="2"/>
  <c r="B28" i="2"/>
  <c r="B29" i="2"/>
  <c r="B30" i="2"/>
  <c r="B31" i="2"/>
  <c r="E8" i="9"/>
  <c r="C2" i="5"/>
  <c r="C2" i="9" s="1"/>
  <c r="C3" i="5"/>
  <c r="C3" i="9" s="1"/>
  <c r="Q15" i="9"/>
  <c r="D15" i="9"/>
  <c r="D33" i="6" l="1"/>
  <c r="D31" i="5"/>
  <c r="I7" i="5"/>
  <c r="H7" i="5"/>
  <c r="G7" i="5"/>
  <c r="F7" i="5"/>
  <c r="E7" i="5"/>
  <c r="D7" i="5"/>
  <c r="D8" i="9" s="1"/>
  <c r="B14" i="12"/>
  <c r="B15" i="12"/>
  <c r="B16" i="12"/>
  <c r="B17" i="12"/>
  <c r="B18" i="12"/>
  <c r="B19" i="12"/>
  <c r="B20" i="12"/>
  <c r="B21" i="12"/>
  <c r="B22" i="12"/>
  <c r="B23" i="12"/>
  <c r="B24" i="12"/>
  <c r="B13" i="12"/>
  <c r="B29" i="12"/>
  <c r="B30" i="12"/>
  <c r="B31" i="12"/>
  <c r="B32" i="12"/>
  <c r="B33" i="12"/>
  <c r="B34" i="12"/>
  <c r="B35" i="12"/>
  <c r="B36" i="12"/>
  <c r="B37" i="12"/>
  <c r="B28" i="12"/>
  <c r="J38" i="12"/>
  <c r="I31" i="5" s="1"/>
  <c r="I38" i="12"/>
  <c r="H31" i="5" s="1"/>
  <c r="H38" i="12"/>
  <c r="G31" i="5" s="1"/>
  <c r="G38" i="12"/>
  <c r="F31" i="5" s="1"/>
  <c r="F38" i="12"/>
  <c r="E24" i="9" s="1"/>
  <c r="E38" i="12"/>
  <c r="D24" i="9" s="1"/>
  <c r="J25" i="12"/>
  <c r="I28" i="5" s="1"/>
  <c r="I25" i="12"/>
  <c r="H25" i="12"/>
  <c r="G28" i="5" s="1"/>
  <c r="G25" i="12"/>
  <c r="F28" i="5" s="1"/>
  <c r="F25" i="12"/>
  <c r="E23" i="9" s="1"/>
  <c r="E25" i="12"/>
  <c r="D23" i="9" s="1"/>
  <c r="C3" i="12"/>
  <c r="E7" i="12" s="1"/>
  <c r="C2" i="12"/>
  <c r="C1" i="12"/>
  <c r="B29" i="11"/>
  <c r="B30" i="11"/>
  <c r="B31" i="11"/>
  <c r="B32" i="11"/>
  <c r="B33" i="11"/>
  <c r="B34" i="11"/>
  <c r="B35" i="11"/>
  <c r="B36" i="11"/>
  <c r="B37" i="11"/>
  <c r="B38" i="11"/>
  <c r="B39" i="11"/>
  <c r="B40" i="11"/>
  <c r="B41" i="11"/>
  <c r="B42" i="11"/>
  <c r="B43" i="11"/>
  <c r="B47" i="11"/>
  <c r="B48" i="11"/>
  <c r="B49" i="11"/>
  <c r="B50" i="11"/>
  <c r="B51" i="11"/>
  <c r="B52" i="11"/>
  <c r="B53" i="11"/>
  <c r="B54" i="11"/>
  <c r="B55" i="11"/>
  <c r="B56" i="11"/>
  <c r="B57" i="11"/>
  <c r="B58" i="11"/>
  <c r="B59" i="11"/>
  <c r="B60" i="11"/>
  <c r="B61" i="11"/>
  <c r="B65" i="11"/>
  <c r="B66" i="11"/>
  <c r="B67" i="11"/>
  <c r="B68" i="11"/>
  <c r="B74" i="11"/>
  <c r="B75" i="11"/>
  <c r="B76" i="11"/>
  <c r="B77" i="11"/>
  <c r="B78" i="11"/>
  <c r="B79" i="11"/>
  <c r="B83" i="11"/>
  <c r="B84" i="11"/>
  <c r="B85" i="11"/>
  <c r="B86" i="11"/>
  <c r="B87" i="11"/>
  <c r="B88" i="11"/>
  <c r="B89" i="11"/>
  <c r="B90" i="11"/>
  <c r="B91" i="11"/>
  <c r="B92" i="11"/>
  <c r="B93" i="11"/>
  <c r="B94" i="11"/>
  <c r="B95" i="11"/>
  <c r="B96" i="11"/>
  <c r="B97" i="11"/>
  <c r="B70" i="11"/>
  <c r="B71" i="11"/>
  <c r="B72" i="11"/>
  <c r="B73" i="11"/>
  <c r="B69" i="11"/>
  <c r="B13" i="11"/>
  <c r="I98" i="11"/>
  <c r="H98" i="11"/>
  <c r="G98" i="11"/>
  <c r="F98" i="11"/>
  <c r="E98" i="11"/>
  <c r="E80" i="11"/>
  <c r="E62" i="11"/>
  <c r="E44" i="11"/>
  <c r="C3" i="11"/>
  <c r="H7" i="11" s="1"/>
  <c r="C2" i="11"/>
  <c r="C1" i="11"/>
  <c r="E50" i="2"/>
  <c r="E64" i="2"/>
  <c r="F78" i="2"/>
  <c r="G78" i="2"/>
  <c r="H78" i="2"/>
  <c r="I78" i="2"/>
  <c r="E78" i="2"/>
  <c r="B35" i="2"/>
  <c r="B52" i="2"/>
  <c r="B53" i="2"/>
  <c r="B66" i="2"/>
  <c r="B67" i="2"/>
  <c r="B13" i="2"/>
  <c r="C3" i="2"/>
  <c r="I7" i="2" s="1"/>
  <c r="C2" i="2"/>
  <c r="C1" i="2"/>
  <c r="D128" i="1"/>
  <c r="D127" i="1"/>
  <c r="D129" i="1"/>
  <c r="C3" i="1"/>
  <c r="E7" i="1" s="1"/>
  <c r="C2" i="1"/>
  <c r="C1" i="1"/>
  <c r="F50" i="6"/>
  <c r="G50" i="6"/>
  <c r="H50" i="6"/>
  <c r="I50" i="6"/>
  <c r="F51" i="6"/>
  <c r="G51" i="6"/>
  <c r="H51" i="6"/>
  <c r="I51" i="6"/>
  <c r="F52" i="6"/>
  <c r="G52" i="6"/>
  <c r="H52" i="6"/>
  <c r="I52" i="6"/>
  <c r="E51" i="6"/>
  <c r="E52" i="6"/>
  <c r="E50" i="6"/>
  <c r="E31" i="5" l="1"/>
  <c r="E28" i="5"/>
  <c r="J40" i="12"/>
  <c r="I40" i="12"/>
  <c r="H28" i="5"/>
  <c r="E40" i="12"/>
  <c r="D28" i="5"/>
  <c r="H40" i="12"/>
  <c r="G40" i="12"/>
  <c r="F40" i="12"/>
  <c r="J7" i="12"/>
  <c r="F7" i="12"/>
  <c r="G7" i="12"/>
  <c r="H7" i="12"/>
  <c r="I7" i="12"/>
  <c r="G7" i="11"/>
  <c r="E7" i="11"/>
  <c r="I7" i="11"/>
  <c r="J7" i="11"/>
  <c r="E100" i="11"/>
  <c r="F7" i="11"/>
  <c r="J7" i="2"/>
  <c r="G7" i="2"/>
  <c r="H7" i="2"/>
  <c r="E7" i="2"/>
  <c r="F7" i="2"/>
  <c r="G7" i="1"/>
  <c r="H7" i="1"/>
  <c r="F7" i="1"/>
  <c r="I7" i="1"/>
  <c r="D7" i="1"/>
  <c r="C3" i="7"/>
  <c r="E7" i="7" s="1"/>
  <c r="C2" i="7"/>
  <c r="C1" i="7"/>
  <c r="C1" i="6"/>
  <c r="C2" i="6"/>
  <c r="C3" i="6"/>
  <c r="G7" i="6" s="1"/>
  <c r="D21" i="9" l="1"/>
  <c r="D25" i="5"/>
  <c r="F7" i="7"/>
  <c r="I7" i="6"/>
  <c r="F7" i="6"/>
  <c r="H7" i="6"/>
  <c r="D7" i="6"/>
  <c r="E7" i="6"/>
  <c r="G7" i="7"/>
  <c r="H7" i="7"/>
  <c r="C7" i="7"/>
  <c r="D7" i="7"/>
  <c r="F24" i="9" l="1"/>
  <c r="G24" i="9" l="1"/>
  <c r="H24" i="9" s="1"/>
  <c r="I24" i="9" s="1"/>
  <c r="J24" i="9" s="1"/>
  <c r="K24" i="9" s="1"/>
  <c r="L24" i="9" s="1"/>
  <c r="M24" i="9" s="1"/>
  <c r="N24" i="9" s="1"/>
  <c r="O24" i="9" s="1"/>
  <c r="P24" i="9" s="1"/>
  <c r="Q24" i="9"/>
  <c r="E127" i="1"/>
  <c r="E128" i="1"/>
  <c r="E129" i="1"/>
  <c r="F129" i="1" l="1"/>
  <c r="F128" i="1"/>
  <c r="G127" i="1"/>
  <c r="G128" i="1"/>
  <c r="F127" i="1"/>
  <c r="G129" i="1"/>
  <c r="D23" i="7"/>
  <c r="E23" i="7"/>
  <c r="F23" i="7"/>
  <c r="G23" i="7"/>
  <c r="H23" i="7"/>
  <c r="E65" i="6"/>
  <c r="F65" i="6"/>
  <c r="G65" i="6"/>
  <c r="H65" i="6"/>
  <c r="I65" i="6"/>
  <c r="D65" i="6"/>
  <c r="D56" i="6"/>
  <c r="D42" i="6"/>
  <c r="D14" i="5" s="1"/>
  <c r="G29" i="7" l="1"/>
  <c r="G27" i="7"/>
  <c r="G28" i="7"/>
  <c r="G32" i="7"/>
  <c r="G33" i="7" s="1"/>
  <c r="H29" i="7"/>
  <c r="H32" i="7"/>
  <c r="H33" i="7" s="1"/>
  <c r="H28" i="7"/>
  <c r="H27" i="7"/>
  <c r="F29" i="7"/>
  <c r="F27" i="7"/>
  <c r="F32" i="7"/>
  <c r="F33" i="7" s="1"/>
  <c r="F28" i="7"/>
  <c r="H38" i="6" s="1"/>
  <c r="E28" i="7"/>
  <c r="G38" i="6" s="1"/>
  <c r="E27" i="7"/>
  <c r="E29" i="7"/>
  <c r="E32" i="7"/>
  <c r="E33" i="7" s="1"/>
  <c r="D29" i="7"/>
  <c r="D28" i="7"/>
  <c r="F38" i="6" s="1"/>
  <c r="D32" i="7"/>
  <c r="D33" i="7" s="1"/>
  <c r="D27" i="7"/>
  <c r="F29" i="11" s="1"/>
  <c r="I38" i="6"/>
  <c r="I41" i="6"/>
  <c r="H41" i="6"/>
  <c r="H24" i="7"/>
  <c r="I9" i="5" s="1"/>
  <c r="G24" i="7"/>
  <c r="H9" i="5" s="1"/>
  <c r="F24" i="7"/>
  <c r="G9" i="5" s="1"/>
  <c r="E24" i="7"/>
  <c r="F9" i="5" s="1"/>
  <c r="F8" i="6"/>
  <c r="F8" i="5"/>
  <c r="G8" i="11"/>
  <c r="F8" i="1"/>
  <c r="F137" i="1" s="1"/>
  <c r="G8" i="2"/>
  <c r="G8" i="12"/>
  <c r="G8" i="1"/>
  <c r="G137" i="1" s="1"/>
  <c r="H8" i="12"/>
  <c r="G8" i="6"/>
  <c r="H8" i="2"/>
  <c r="H8" i="11"/>
  <c r="G8" i="5"/>
  <c r="J8" i="2"/>
  <c r="I8" i="5"/>
  <c r="J8" i="12"/>
  <c r="I8" i="6"/>
  <c r="J8" i="11"/>
  <c r="I8" i="1"/>
  <c r="I137" i="1" s="1"/>
  <c r="I8" i="11"/>
  <c r="H8" i="5"/>
  <c r="I8" i="12"/>
  <c r="H8" i="6"/>
  <c r="I8" i="2"/>
  <c r="H8" i="1"/>
  <c r="H137" i="1" s="1"/>
  <c r="F8" i="11"/>
  <c r="E8" i="1"/>
  <c r="E8" i="6"/>
  <c r="E8" i="5"/>
  <c r="F8" i="12"/>
  <c r="F8" i="2"/>
  <c r="H127" i="1"/>
  <c r="H128" i="1"/>
  <c r="H129" i="1"/>
  <c r="F18" i="5"/>
  <c r="D18" i="5"/>
  <c r="I18" i="5"/>
  <c r="H18" i="5"/>
  <c r="G18" i="5"/>
  <c r="E18" i="5"/>
  <c r="D15" i="5"/>
  <c r="D59" i="6"/>
  <c r="D67" i="6" s="1"/>
  <c r="D13" i="5"/>
  <c r="D12" i="9"/>
  <c r="D16" i="9" s="1"/>
  <c r="E36" i="6"/>
  <c r="F23" i="9"/>
  <c r="I36" i="6"/>
  <c r="J47" i="11" s="1"/>
  <c r="H36" i="6"/>
  <c r="I47" i="11" s="1"/>
  <c r="G36" i="6"/>
  <c r="H47" i="11" s="1"/>
  <c r="F36" i="6"/>
  <c r="G47" i="11" s="1"/>
  <c r="E53" i="6" l="1"/>
  <c r="E29" i="6"/>
  <c r="F56" i="11"/>
  <c r="F17" i="11"/>
  <c r="I50" i="11"/>
  <c r="I66" i="11"/>
  <c r="I56" i="11"/>
  <c r="J50" i="11"/>
  <c r="J56" i="11"/>
  <c r="J66" i="11"/>
  <c r="F66" i="11"/>
  <c r="G66" i="11"/>
  <c r="G56" i="11"/>
  <c r="H50" i="11"/>
  <c r="H56" i="11"/>
  <c r="H66" i="11"/>
  <c r="H80" i="11" s="1"/>
  <c r="H81" i="11" s="1"/>
  <c r="H49" i="6"/>
  <c r="G34" i="7"/>
  <c r="I17" i="2"/>
  <c r="I53" i="2"/>
  <c r="H37" i="6"/>
  <c r="I67" i="11" s="1"/>
  <c r="H28" i="6"/>
  <c r="I49" i="6"/>
  <c r="H34" i="7"/>
  <c r="I37" i="6"/>
  <c r="J67" i="11" s="1"/>
  <c r="J80" i="11" s="1"/>
  <c r="J81" i="11" s="1"/>
  <c r="J99" i="11" s="1"/>
  <c r="I28" i="6"/>
  <c r="J53" i="2"/>
  <c r="G41" i="6"/>
  <c r="G49" i="6"/>
  <c r="F34" i="7"/>
  <c r="G28" i="6"/>
  <c r="G37" i="6"/>
  <c r="H67" i="11" s="1"/>
  <c r="H17" i="2"/>
  <c r="H53" i="2"/>
  <c r="F49" i="6"/>
  <c r="E34" i="7"/>
  <c r="G17" i="2"/>
  <c r="G53" i="2"/>
  <c r="G64" i="2" s="1"/>
  <c r="G65" i="2" s="1"/>
  <c r="F37" i="6"/>
  <c r="G67" i="11" s="1"/>
  <c r="F28" i="6"/>
  <c r="F33" i="6" s="1"/>
  <c r="F13" i="5" s="1"/>
  <c r="E49" i="6"/>
  <c r="D34" i="7"/>
  <c r="F53" i="2"/>
  <c r="F17" i="2"/>
  <c r="E32" i="2"/>
  <c r="E80" i="2" s="1"/>
  <c r="J32" i="2"/>
  <c r="J33" i="2" s="1"/>
  <c r="F13" i="2"/>
  <c r="E37" i="6"/>
  <c r="F67" i="11" s="1"/>
  <c r="E28" i="6"/>
  <c r="E33" i="6" s="1"/>
  <c r="F41" i="6"/>
  <c r="G50" i="11"/>
  <c r="F50" i="11"/>
  <c r="F47" i="11"/>
  <c r="F62" i="11" s="1"/>
  <c r="F63" i="11" s="1"/>
  <c r="I64" i="2"/>
  <c r="I65" i="2" s="1"/>
  <c r="I80" i="11"/>
  <c r="J62" i="11"/>
  <c r="J63" i="11" s="1"/>
  <c r="J50" i="2"/>
  <c r="J51" i="2" s="1"/>
  <c r="H44" i="11"/>
  <c r="H45" i="11" s="1"/>
  <c r="G44" i="11"/>
  <c r="G45" i="11" s="1"/>
  <c r="F50" i="2"/>
  <c r="F51" i="2" s="1"/>
  <c r="E48" i="6"/>
  <c r="J41" i="12"/>
  <c r="J39" i="12"/>
  <c r="J26" i="12"/>
  <c r="I99" i="11"/>
  <c r="I79" i="2"/>
  <c r="I41" i="12"/>
  <c r="I39" i="12"/>
  <c r="I26" i="12"/>
  <c r="H99" i="11"/>
  <c r="H79" i="2"/>
  <c r="H41" i="12"/>
  <c r="H39" i="12"/>
  <c r="H26" i="12"/>
  <c r="G79" i="2"/>
  <c r="G99" i="11"/>
  <c r="G41" i="12"/>
  <c r="G39" i="12"/>
  <c r="G26" i="12"/>
  <c r="F79" i="2"/>
  <c r="F26" i="12"/>
  <c r="F41" i="12"/>
  <c r="F39" i="12"/>
  <c r="E137" i="1"/>
  <c r="F99" i="11"/>
  <c r="H9" i="2"/>
  <c r="H9" i="11"/>
  <c r="H9" i="12"/>
  <c r="I9" i="12"/>
  <c r="I9" i="11"/>
  <c r="G9" i="2"/>
  <c r="G9" i="12"/>
  <c r="G9" i="11"/>
  <c r="J9" i="11"/>
  <c r="J9" i="12"/>
  <c r="D16" i="5"/>
  <c r="D19" i="5" s="1"/>
  <c r="D20" i="5" s="1"/>
  <c r="I129" i="1"/>
  <c r="I127" i="1"/>
  <c r="I128" i="1"/>
  <c r="G48" i="6"/>
  <c r="H42" i="6"/>
  <c r="H43" i="6" s="1"/>
  <c r="H48" i="6"/>
  <c r="H56" i="6" s="1"/>
  <c r="H57" i="6" s="1"/>
  <c r="I42" i="6"/>
  <c r="I43" i="6" s="1"/>
  <c r="I48" i="6"/>
  <c r="F48" i="6"/>
  <c r="I9" i="2"/>
  <c r="J9" i="2"/>
  <c r="G23" i="9"/>
  <c r="E124" i="1"/>
  <c r="G124" i="1"/>
  <c r="D124" i="1"/>
  <c r="I124" i="1"/>
  <c r="D126" i="1"/>
  <c r="D120" i="1"/>
  <c r="E120" i="1"/>
  <c r="E12" i="1"/>
  <c r="E123" i="1" s="1"/>
  <c r="D12" i="1"/>
  <c r="D123" i="1" s="1"/>
  <c r="H62" i="11" l="1"/>
  <c r="H63" i="11" s="1"/>
  <c r="F80" i="11"/>
  <c r="I62" i="11"/>
  <c r="I63" i="11" s="1"/>
  <c r="G62" i="11"/>
  <c r="G63" i="11" s="1"/>
  <c r="G80" i="11"/>
  <c r="G81" i="11" s="1"/>
  <c r="I56" i="6"/>
  <c r="I57" i="6" s="1"/>
  <c r="H33" i="6"/>
  <c r="H64" i="2"/>
  <c r="H65" i="2" s="1"/>
  <c r="G56" i="6"/>
  <c r="G57" i="6" s="1"/>
  <c r="F56" i="6"/>
  <c r="F57" i="6" s="1"/>
  <c r="F34" i="6"/>
  <c r="J64" i="2"/>
  <c r="J65" i="2" s="1"/>
  <c r="I33" i="6"/>
  <c r="F32" i="2"/>
  <c r="F33" i="2" s="1"/>
  <c r="E42" i="6"/>
  <c r="E13" i="9" s="1"/>
  <c r="F13" i="9" s="1"/>
  <c r="G13" i="9" s="1"/>
  <c r="H13" i="9" s="1"/>
  <c r="I13" i="9" s="1"/>
  <c r="J13" i="9" s="1"/>
  <c r="K13" i="9" s="1"/>
  <c r="L13" i="9" s="1"/>
  <c r="M13" i="9" s="1"/>
  <c r="N13" i="9" s="1"/>
  <c r="O13" i="9" s="1"/>
  <c r="P13" i="9" s="1"/>
  <c r="E56" i="6"/>
  <c r="E57" i="6" s="1"/>
  <c r="G33" i="6"/>
  <c r="G42" i="6"/>
  <c r="G43" i="6" s="1"/>
  <c r="F42" i="6"/>
  <c r="F43" i="6" s="1"/>
  <c r="E12" i="9"/>
  <c r="F12" i="9" s="1"/>
  <c r="G12" i="9" s="1"/>
  <c r="H12" i="9" s="1"/>
  <c r="I12" i="9" s="1"/>
  <c r="J12" i="9" s="1"/>
  <c r="K12" i="9" s="1"/>
  <c r="L12" i="9" s="1"/>
  <c r="M12" i="9" s="1"/>
  <c r="N12" i="9" s="1"/>
  <c r="O12" i="9" s="1"/>
  <c r="E13" i="5"/>
  <c r="D22" i="9"/>
  <c r="D26" i="5"/>
  <c r="E34" i="6"/>
  <c r="F64" i="2"/>
  <c r="F65" i="2" s="1"/>
  <c r="I44" i="11"/>
  <c r="I45" i="11" s="1"/>
  <c r="H32" i="2"/>
  <c r="H33" i="2" s="1"/>
  <c r="I32" i="2"/>
  <c r="I33" i="2" s="1"/>
  <c r="I81" i="11"/>
  <c r="J44" i="11"/>
  <c r="J45" i="11" s="1"/>
  <c r="H100" i="11"/>
  <c r="G50" i="2"/>
  <c r="G51" i="2" s="1"/>
  <c r="G32" i="2"/>
  <c r="G33" i="2" s="1"/>
  <c r="F44" i="11"/>
  <c r="F45" i="11" s="1"/>
  <c r="F81" i="11"/>
  <c r="H50" i="2"/>
  <c r="H51" i="2" s="1"/>
  <c r="I50" i="2"/>
  <c r="D19" i="9"/>
  <c r="G19" i="9"/>
  <c r="H19" i="9" s="1"/>
  <c r="I19" i="9" s="1"/>
  <c r="J19" i="9" s="1"/>
  <c r="K19" i="9" s="1"/>
  <c r="L19" i="9" s="1"/>
  <c r="M19" i="9" s="1"/>
  <c r="N19" i="9" s="1"/>
  <c r="O19" i="9" s="1"/>
  <c r="H14" i="5"/>
  <c r="H15" i="5"/>
  <c r="H59" i="6"/>
  <c r="H60" i="6" s="1"/>
  <c r="E14" i="5"/>
  <c r="H23" i="9"/>
  <c r="I14" i="5"/>
  <c r="E126" i="1"/>
  <c r="F120" i="1"/>
  <c r="E23" i="5"/>
  <c r="D125" i="1"/>
  <c r="D23" i="5"/>
  <c r="F123" i="1"/>
  <c r="E125" i="1"/>
  <c r="H124" i="1"/>
  <c r="F124" i="1"/>
  <c r="F126" i="1"/>
  <c r="I59" i="6" l="1"/>
  <c r="I60" i="6" s="1"/>
  <c r="G100" i="11"/>
  <c r="F25" i="5" s="1"/>
  <c r="E59" i="6"/>
  <c r="E60" i="6" s="1"/>
  <c r="G15" i="5"/>
  <c r="F15" i="5"/>
  <c r="I15" i="5"/>
  <c r="H13" i="5"/>
  <c r="H34" i="6"/>
  <c r="G59" i="6"/>
  <c r="G60" i="6" s="1"/>
  <c r="G14" i="5"/>
  <c r="F14" i="5"/>
  <c r="E43" i="6"/>
  <c r="E15" i="5"/>
  <c r="E16" i="5" s="1"/>
  <c r="E38" i="5" s="1"/>
  <c r="I13" i="5"/>
  <c r="I34" i="6"/>
  <c r="F80" i="2"/>
  <c r="F81" i="2" s="1"/>
  <c r="F59" i="6"/>
  <c r="F60" i="6" s="1"/>
  <c r="G13" i="5"/>
  <c r="G16" i="5" s="1"/>
  <c r="G38" i="5" s="1"/>
  <c r="G34" i="6"/>
  <c r="I100" i="11"/>
  <c r="H25" i="5" s="1"/>
  <c r="G80" i="2"/>
  <c r="G81" i="2" s="1"/>
  <c r="J100" i="11"/>
  <c r="I25" i="5" s="1"/>
  <c r="G25" i="5"/>
  <c r="H101" i="11"/>
  <c r="F100" i="11"/>
  <c r="F101" i="11" s="1"/>
  <c r="H80" i="2"/>
  <c r="H81" i="2" s="1"/>
  <c r="I80" i="2"/>
  <c r="I81" i="2" s="1"/>
  <c r="I51" i="2"/>
  <c r="Q14" i="9"/>
  <c r="E16" i="9"/>
  <c r="Q13" i="9"/>
  <c r="F16" i="9"/>
  <c r="Q19" i="9"/>
  <c r="H16" i="5"/>
  <c r="H38" i="5" s="1"/>
  <c r="J79" i="2"/>
  <c r="I67" i="6"/>
  <c r="I68" i="6" s="1"/>
  <c r="H67" i="6"/>
  <c r="H68" i="6" s="1"/>
  <c r="G16" i="9"/>
  <c r="I23" i="9"/>
  <c r="P12" i="9"/>
  <c r="Q12" i="9" s="1"/>
  <c r="D130" i="1"/>
  <c r="F125" i="1"/>
  <c r="F130" i="1" s="1"/>
  <c r="E130" i="1"/>
  <c r="F23" i="5"/>
  <c r="G123" i="1"/>
  <c r="G126" i="1"/>
  <c r="G120" i="1"/>
  <c r="F16" i="5" l="1"/>
  <c r="F19" i="5" s="1"/>
  <c r="E67" i="6"/>
  <c r="E68" i="6" s="1"/>
  <c r="I16" i="5"/>
  <c r="I38" i="5" s="1"/>
  <c r="G101" i="11"/>
  <c r="G67" i="6"/>
  <c r="G68" i="6" s="1"/>
  <c r="F67" i="6"/>
  <c r="F68" i="6" s="1"/>
  <c r="E26" i="5"/>
  <c r="I101" i="11"/>
  <c r="J101" i="11"/>
  <c r="F26" i="5"/>
  <c r="H20" i="9"/>
  <c r="I20" i="9" s="1"/>
  <c r="J20" i="9" s="1"/>
  <c r="K20" i="9" s="1"/>
  <c r="L20" i="9" s="1"/>
  <c r="M20" i="9" s="1"/>
  <c r="N20" i="9" s="1"/>
  <c r="O20" i="9" s="1"/>
  <c r="P20" i="9" s="1"/>
  <c r="E25" i="5"/>
  <c r="H26" i="5"/>
  <c r="G26" i="5"/>
  <c r="Q16" i="9"/>
  <c r="G19" i="5"/>
  <c r="I19" i="5"/>
  <c r="H19" i="5"/>
  <c r="E19" i="5"/>
  <c r="J80" i="2"/>
  <c r="D20" i="9"/>
  <c r="E132" i="1"/>
  <c r="E136" i="1" s="1"/>
  <c r="D24" i="5"/>
  <c r="D132" i="1"/>
  <c r="D134" i="1" s="1"/>
  <c r="H16" i="9"/>
  <c r="J23" i="9"/>
  <c r="E24" i="5"/>
  <c r="F132" i="1"/>
  <c r="F136" i="1" s="1"/>
  <c r="F24" i="5"/>
  <c r="G23" i="5"/>
  <c r="G125" i="1"/>
  <c r="H126" i="1"/>
  <c r="H123" i="1"/>
  <c r="H120" i="1"/>
  <c r="F38" i="5" l="1"/>
  <c r="D25" i="9"/>
  <c r="D27" i="9" s="1"/>
  <c r="D29" i="9" s="1"/>
  <c r="E10" i="9" s="1"/>
  <c r="E20" i="9"/>
  <c r="E25" i="9" s="1"/>
  <c r="E27" i="9" s="1"/>
  <c r="F25" i="9"/>
  <c r="F27" i="9" s="1"/>
  <c r="Q22" i="9"/>
  <c r="I26" i="5"/>
  <c r="J81" i="2"/>
  <c r="F27" i="5"/>
  <c r="F37" i="5" s="1"/>
  <c r="D27" i="5"/>
  <c r="D37" i="5" s="1"/>
  <c r="E27" i="5"/>
  <c r="E40" i="5" s="1"/>
  <c r="E134" i="1"/>
  <c r="F134" i="1"/>
  <c r="G25" i="9"/>
  <c r="G27" i="9" s="1"/>
  <c r="E135" i="1"/>
  <c r="D135" i="1"/>
  <c r="I16" i="9"/>
  <c r="H25" i="9"/>
  <c r="H27" i="9" s="1"/>
  <c r="K23" i="9"/>
  <c r="F135" i="1"/>
  <c r="H23" i="5"/>
  <c r="G130" i="1"/>
  <c r="H125" i="1"/>
  <c r="I126" i="1"/>
  <c r="I123" i="1"/>
  <c r="I120" i="1"/>
  <c r="E29" i="9" l="1"/>
  <c r="F10" i="9" s="1"/>
  <c r="F29" i="9" s="1"/>
  <c r="G10" i="9" s="1"/>
  <c r="G29" i="9" s="1"/>
  <c r="H10" i="9" s="1"/>
  <c r="H29" i="9" s="1"/>
  <c r="I10" i="9" s="1"/>
  <c r="Q20" i="9"/>
  <c r="E37" i="5"/>
  <c r="F29" i="5"/>
  <c r="F30" i="5" s="1"/>
  <c r="F32" i="5" s="1"/>
  <c r="F41" i="5" s="1"/>
  <c r="F40" i="5"/>
  <c r="D29" i="5"/>
  <c r="E29" i="5"/>
  <c r="I25" i="9"/>
  <c r="I27" i="9" s="1"/>
  <c r="J16" i="9"/>
  <c r="L23" i="9"/>
  <c r="H130" i="1"/>
  <c r="H132" i="1" s="1"/>
  <c r="H136" i="1" s="1"/>
  <c r="I23" i="5"/>
  <c r="G132" i="1"/>
  <c r="G136" i="1" s="1"/>
  <c r="G24" i="5"/>
  <c r="I125" i="1"/>
  <c r="F33" i="5" l="1"/>
  <c r="D30" i="5"/>
  <c r="D32" i="5" s="1"/>
  <c r="D33" i="5" s="1"/>
  <c r="D34" i="5" s="1"/>
  <c r="E30" i="5"/>
  <c r="E32" i="5" s="1"/>
  <c r="E41" i="5" s="1"/>
  <c r="G27" i="5"/>
  <c r="G40" i="5" s="1"/>
  <c r="G134" i="1"/>
  <c r="H134" i="1"/>
  <c r="I29" i="9"/>
  <c r="J10" i="9" s="1"/>
  <c r="K16" i="9"/>
  <c r="J25" i="9"/>
  <c r="J27" i="9" s="1"/>
  <c r="M23" i="9"/>
  <c r="H24" i="5"/>
  <c r="H135" i="1"/>
  <c r="G135" i="1"/>
  <c r="I130" i="1"/>
  <c r="G37" i="5" l="1"/>
  <c r="D36" i="5"/>
  <c r="D35" i="5"/>
  <c r="E11" i="5"/>
  <c r="E33" i="5"/>
  <c r="G29" i="5"/>
  <c r="H27" i="5"/>
  <c r="H40" i="5" s="1"/>
  <c r="J29" i="9"/>
  <c r="K10" i="9" s="1"/>
  <c r="K25" i="9"/>
  <c r="K27" i="9" s="1"/>
  <c r="L16" i="9"/>
  <c r="N23" i="9"/>
  <c r="I132" i="1"/>
  <c r="I136" i="1" s="1"/>
  <c r="I24" i="5"/>
  <c r="E20" i="5" l="1"/>
  <c r="E39" i="5" s="1"/>
  <c r="H37" i="5"/>
  <c r="E34" i="5"/>
  <c r="F11" i="5" s="1"/>
  <c r="H29" i="5"/>
  <c r="G30" i="5"/>
  <c r="G32" i="5" s="1"/>
  <c r="G41" i="5" s="1"/>
  <c r="I27" i="5"/>
  <c r="K29" i="9"/>
  <c r="L10" i="9" s="1"/>
  <c r="I134" i="1"/>
  <c r="M16" i="9"/>
  <c r="L25" i="9"/>
  <c r="L27" i="9" s="1"/>
  <c r="O23" i="9"/>
  <c r="I135" i="1"/>
  <c r="F20" i="5" l="1"/>
  <c r="F39" i="5" s="1"/>
  <c r="E35" i="5"/>
  <c r="E36" i="5"/>
  <c r="I37" i="5"/>
  <c r="I40" i="5"/>
  <c r="F34" i="5"/>
  <c r="G33" i="5"/>
  <c r="I29" i="5"/>
  <c r="H30" i="5"/>
  <c r="H32" i="5" s="1"/>
  <c r="H41" i="5" s="1"/>
  <c r="L29" i="9"/>
  <c r="M10" i="9" s="1"/>
  <c r="M25" i="9"/>
  <c r="M27" i="9" s="1"/>
  <c r="N16" i="9"/>
  <c r="P23" i="9"/>
  <c r="Q23" i="9" s="1"/>
  <c r="F36" i="5" l="1"/>
  <c r="F35" i="5"/>
  <c r="G11" i="5"/>
  <c r="H33" i="5"/>
  <c r="I30" i="5"/>
  <c r="I32" i="5" s="1"/>
  <c r="I41" i="5" s="1"/>
  <c r="M29" i="9"/>
  <c r="N10" i="9" s="1"/>
  <c r="P16" i="9"/>
  <c r="O16" i="9"/>
  <c r="N25" i="9"/>
  <c r="N27" i="9" s="1"/>
  <c r="G20" i="5" l="1"/>
  <c r="G39" i="5" s="1"/>
  <c r="G34" i="5"/>
  <c r="G36" i="5" s="1"/>
  <c r="I33" i="5"/>
  <c r="N29" i="9"/>
  <c r="O10" i="9" s="1"/>
  <c r="O25" i="9"/>
  <c r="O27" i="9" s="1"/>
  <c r="H11" i="5" l="1"/>
  <c r="G35" i="5"/>
  <c r="P25" i="9"/>
  <c r="P27" i="9" s="1"/>
  <c r="Q21" i="9"/>
  <c r="O29" i="9"/>
  <c r="P10" i="9" s="1"/>
  <c r="H20" i="5" l="1"/>
  <c r="H39" i="5" s="1"/>
  <c r="H34" i="5"/>
  <c r="H35" i="5" s="1"/>
  <c r="P29" i="9"/>
  <c r="Q25" i="9"/>
  <c r="Q27" i="9" s="1"/>
  <c r="H36" i="5" l="1"/>
  <c r="I11" i="5"/>
  <c r="I34" i="5" l="1"/>
  <c r="I36" i="5" s="1"/>
  <c r="I20" i="5"/>
  <c r="I39" i="5" s="1"/>
  <c r="I35" i="5" l="1"/>
</calcChain>
</file>

<file path=xl/sharedStrings.xml><?xml version="1.0" encoding="utf-8"?>
<sst xmlns="http://schemas.openxmlformats.org/spreadsheetml/2006/main" count="813" uniqueCount="551">
  <si>
    <t>INTRODUCTION TO THE FINANCIAL PLAN WORKBOOK</t>
  </si>
  <si>
    <r>
      <t xml:space="preserve">This New School Financial Plan Workbook (FPW) is a critical and mandatory component of the new scool application.  The financial health of a school is vital to the success of its programs, and utlimately the success of educational outcomes for students.  It is also one of the primary reasons charter schools fail across the nation.  This workbook spans the first 6 years of the school, including year 0, which is considered the 'planning' phase of the school 1 year prior to the school's opening.  
</t>
    </r>
    <r>
      <rPr>
        <b/>
        <sz val="11"/>
        <color theme="1"/>
        <rFont val="Aptos Narrow"/>
        <family val="2"/>
        <scheme val="minor"/>
      </rPr>
      <t xml:space="preserve">Please familiarize yourself with the following general instructions prior to data entry. </t>
    </r>
  </si>
  <si>
    <t>UNDERSTANDING THE WORKBOOK</t>
  </si>
  <si>
    <t>The general format of this workbook aligns with the Nevada Department of Education's prescribed chart of accounts for education finance.  This account code structure aligns with the National Center for Education Statistics (NCES) for Federal reporting purposes.  For detailed descriptions on the Chart of Accounts, see links at the bottom of this page.
In accordance with NRS 354, the creation of fiscal funds is required to account for revenue and expenditures in local governments.  This includes public school districts and charter schools.  NAC 387 dictates the budget authority for school boards and leaders in expending funds.</t>
  </si>
  <si>
    <t>Microsoft Excel is the required software program to be used for this workbook.  It will not function property in other programs such as Google Sheets.</t>
  </si>
  <si>
    <r>
      <t xml:space="preserve">YELLOW cell indicate that applicant inputs are accepted and/or required. Applicants should input data </t>
    </r>
    <r>
      <rPr>
        <b/>
        <u/>
        <sz val="11"/>
        <color theme="1"/>
        <rFont val="Aptos"/>
        <family val="2"/>
      </rPr>
      <t>ONLY in yellow cells</t>
    </r>
    <r>
      <rPr>
        <sz val="11"/>
        <color theme="1"/>
        <rFont val="Aptos"/>
        <family val="2"/>
      </rPr>
      <t>.</t>
    </r>
  </si>
  <si>
    <t>GREY cells are those that are not applicable and therefore not required or usable.</t>
  </si>
  <si>
    <t>Applicants MUST complete ALL sheets with yellow cells, starting with the Title Page.</t>
  </si>
  <si>
    <r>
      <rPr>
        <sz val="11"/>
        <color theme="1"/>
        <rFont val="Aptos"/>
        <family val="2"/>
      </rPr>
      <t>A member of the proposed school’s board must review and approve the FPW.</t>
    </r>
    <r>
      <rPr>
        <sz val="11"/>
        <color theme="1"/>
        <rFont val="Symbol"/>
        <family val="1"/>
        <charset val="2"/>
      </rPr>
      <t xml:space="preserve"> </t>
    </r>
    <r>
      <rPr>
        <sz val="11"/>
        <color theme="1"/>
        <rFont val="Aptos Narrow"/>
        <family val="2"/>
        <scheme val="minor"/>
      </rPr>
      <t>Board members are expected to be prepared to discuss the FPW at the interview.</t>
    </r>
  </si>
  <si>
    <t>DO NOT delete any worksheet, add additional worksheets, or re-order the worksheet tabs.</t>
  </si>
  <si>
    <t xml:space="preserve">Within each worksheet, applicants may not need to input values in EVERY yellow cell. </t>
  </si>
  <si>
    <t>Note that inputs on various sheets will be used to calculate or complete other sections of the workbook.</t>
  </si>
  <si>
    <t>Each input line includes a field titled “Explanation comments/notes.” This is for applicants to explain, in detail, their methodology/reasoning for the input item.</t>
  </si>
  <si>
    <t>Please remember that the figures entered in this workbook should align with your application, and specifically your Budget Narrative.</t>
  </si>
  <si>
    <t>TAB DESCRIPTIONS AND INSTRUCTIONS</t>
  </si>
  <si>
    <t>INSTRUCTIONS</t>
  </si>
  <si>
    <t>You are here.</t>
  </si>
  <si>
    <t>TITLE</t>
  </si>
  <si>
    <t>Enter information in yellow cells only. You must enter a correct County of location, as this will determine your school's PCFP per pupil funding on the revenue tab.  You also MUST identify the primary preparers of the FPW, even if they are not on the CTF, including any contributing vendors, whether paid or unpaid. Additionally, at least one proposed board member must review and approve the completed FPW by inputting their name(s) in cell 9G. Board members are expected to be able to discuss the FPW during the interview.</t>
  </si>
  <si>
    <t>SUMMARY</t>
  </si>
  <si>
    <t>This tab summarizes all the financial and enrollment information from the other tabs in similar fashion to other financial reports required by the State.  Only the contingency line requires user input.  Applicants should review this information for accuracy prior to submitting the workbook.  In accordance with NAC 354.650, ending fund balances below 4% of expenditures in any given year require written notification and approval from the SPCSA and the Nevada Department of Education.</t>
  </si>
  <si>
    <t>ENROLLMENT</t>
  </si>
  <si>
    <t xml:space="preserve">Applicants must enter projected Average Daily Enrollment (ADE) for all grade levels for years 1-5, including prospective weighted populations including: Special Education (SPED), English Language Learners (ELL), At-Risk (AR) populations, Gifted and Talented (GATE), and the quantity of students projected to qualify for Medicaid direct certification.  </t>
  </si>
  <si>
    <t>REVENUE</t>
  </si>
  <si>
    <t>This section will capture all revenue sources projected to be received by the school beginning with year 0.  The tab has 2 distinct sections, Revenue Inputs and Annual Revenue Estimates.  The Revenue Inputs will be provided by the SPCSA, and the Revenue Estimates section is for schools to enter various projected revenues in subcategories aligning with the NDE Chart of Accounts (see link below).  Most of the State and Federal revenue lines will be automatically calculated based on the Inputs provided by the SPCSA.</t>
  </si>
  <si>
    <t>For Year 0, fundraising, donations and grants (including CSP) should be captured in the Local Revenues section.</t>
  </si>
  <si>
    <t>Debt instruments greater than 12 months, such as bond financing, bank loans, equipment loans, etc. should be captured in the Other Revenue Section.</t>
  </si>
  <si>
    <t>STAFF</t>
  </si>
  <si>
    <t>The hiring plan reflected in this sheet MUST match the Staffing Plan table in the narrative and the organizational charts. This tab must contain ALL school employees. DO NOT include contracted service providers, consultants, etc. in this section.  For those items, use the Services section and see the Chart of Accounts for detailed descriptions on how to code them.</t>
  </si>
  <si>
    <t>The Benefits Inputs section has both hard-coded items, such as PERS, Social Security and Medicaid, provided by SPCSA staff, and estimates for the applicant to input.  These items will be utilized in calculating the Benefits section at the bottom.</t>
  </si>
  <si>
    <t>Use the same titles/role names that you use in your application and will use in the school.</t>
  </si>
  <si>
    <r>
      <rPr>
        <sz val="11"/>
        <color theme="1"/>
        <rFont val="Aptos Narrow"/>
        <family val="2"/>
        <scheme val="minor"/>
      </rPr>
      <t>Column C, Employment Status, determines each employee's benefit selections.   ALL employees eligible for PERS are considered Full-Time.</t>
    </r>
  </si>
  <si>
    <t>Positions that change status from one year to the next (i.e. part-time to full-time) should be captured on separate lines in order to code the employment status correctly.</t>
  </si>
  <si>
    <t>SUPPLIES</t>
  </si>
  <si>
    <t>This section is for the applicant to list all supplies purchased below the NDE capitalization threshold of $5,000.  Use the drop-down menu in each cell of column C to select a supply category, then input a description of the supply being purchased in column D.  Column B will show the applicable Chart of Account object code.  For a more detailed description of the code, visit the Chart of Accounts link at the bottom of the page.</t>
  </si>
  <si>
    <t>Items purchased should align with the academic program plan outlined in the school's application.</t>
  </si>
  <si>
    <t>Use the Explanation/Notes section to describe purchasing methodology/reasoning.  Some examples might include notes around technology replacement timelines, annual per pupil general supply assumptions, etc.</t>
  </si>
  <si>
    <t>SERVICES</t>
  </si>
  <si>
    <t>This section is for the applicant to list all services purchased by the school and as categorized by the Chart of Accounts.  Use the drop-down menu in each cell of column C to select a service category, then input a description of the service being purchased in column D.  Column B will show the applicable Chart of Account object code.  For a more detailed description of the code, visit the Chart of Accounts link at the bottom of the page.</t>
  </si>
  <si>
    <t>Use the Explanation/Notes section to describe purchasing methodology/reasoning.  Some examples might include subcontractor descriptions, growth in service expenditures related to student growth, etc.</t>
  </si>
  <si>
    <t>CAPITAL &amp; DEBT</t>
  </si>
  <si>
    <t>This tab is divided into 2 sections, Capital Expenditures and Debt.   Use the drop-down menu in each cell of column C to select a relevant category, then input a description of the item in column D.  Column B will show the applicable Chart of Account object code.  For a more detailed description of the code, visit the Chart of Accounts link at the bottom of the page.</t>
  </si>
  <si>
    <t>Capital purchases are for all goods exceeding the NDE capitalization threshold of $5,000.  Examples include:  building and land purchases, vehicles, technology hardware, equipment, and construction services (labor and materials).</t>
  </si>
  <si>
    <t>Debt &amp; Capital Leases include all debt instruments with terms greater than 12 months.  In accordance with GASB 87, leases for buildings, equipment, etc. greater than 12 months are to be captured as debt rather than a supply or service purchase.  Other examples of debt include:  working capital loans greater than 12 months, bonds for building purchases/construction, vehicle loans, etc.</t>
  </si>
  <si>
    <t>CASH FLOW</t>
  </si>
  <si>
    <r>
      <t xml:space="preserve">This tab captures the projected cash flow for the school for years 0 and 1 of operations.  Year 0 is summarized in 1 column, while year 1, the first year of school operations, is tracked by month for the entire year.  Although initial formulas are input into many of the yellow input cells, it is the </t>
    </r>
    <r>
      <rPr>
        <b/>
        <u/>
        <sz val="11"/>
        <color theme="1"/>
        <rFont val="Aptos Narrow"/>
        <family val="2"/>
        <scheme val="minor"/>
      </rPr>
      <t>applicant's responsibility to finalize</t>
    </r>
    <r>
      <rPr>
        <sz val="11"/>
        <color theme="1"/>
        <rFont val="Aptos Narrow"/>
        <family val="2"/>
        <scheme val="minor"/>
      </rPr>
      <t xml:space="preserve"> the estimated cash flow projections for each month/year.  </t>
    </r>
  </si>
  <si>
    <t>HELPFUL LINKS</t>
  </si>
  <si>
    <t>NRS 354</t>
  </si>
  <si>
    <t>NAC 387</t>
  </si>
  <si>
    <t>NAC 354</t>
  </si>
  <si>
    <t>Chart of Accounts</t>
  </si>
  <si>
    <t>Transparent Nevada</t>
  </si>
  <si>
    <t>FINANCIAL PLAN TITLE SHEET</t>
  </si>
  <si>
    <t>Proposed Name of School:</t>
  </si>
  <si>
    <t>Nexus Academy</t>
  </si>
  <si>
    <t>Proposed Location (City)</t>
  </si>
  <si>
    <t>Las Vegas (89015, 89011, 89122, 89121)</t>
  </si>
  <si>
    <t>Proposed Location (County)</t>
  </si>
  <si>
    <t>Clark</t>
  </si>
  <si>
    <t>Proposed Opening Year:</t>
  </si>
  <si>
    <t>Name of Committee To Form contact(s)</t>
  </si>
  <si>
    <t>Phone number</t>
  </si>
  <si>
    <t xml:space="preserve">  email address</t>
  </si>
  <si>
    <t>Test</t>
  </si>
  <si>
    <t>School Location(s) under consideration: (Addresses or cross streets, City)(1 minimum, 2 maximum)</t>
  </si>
  <si>
    <t>Site 2</t>
  </si>
  <si>
    <t>Specific address recommended but not required .  Target cross streets required at a minimum.</t>
  </si>
  <si>
    <t>Supporting documentation attached? (y/n)</t>
  </si>
  <si>
    <t>Three sample Listings of buildings in targeted/planned zip code being considered.</t>
  </si>
  <si>
    <t>Listing must show available square footage, lease rates, location. (E.g., Loopnet)</t>
  </si>
  <si>
    <t>For start-up funding</t>
  </si>
  <si>
    <t>For fundraising</t>
  </si>
  <si>
    <t>Financial Plan Workbook Preparation Team</t>
  </si>
  <si>
    <t>Name</t>
  </si>
  <si>
    <t>Member of CTF?</t>
  </si>
  <si>
    <t>Paid Preparer?</t>
  </si>
  <si>
    <t>Proposed Role With School</t>
  </si>
  <si>
    <t>Board Member Approval:</t>
  </si>
  <si>
    <t>School:</t>
  </si>
  <si>
    <t>Location:</t>
  </si>
  <si>
    <t>Opening Year:</t>
  </si>
  <si>
    <t>Annual Financial Summary (Fund Basis)</t>
  </si>
  <si>
    <t>School Year:</t>
  </si>
  <si>
    <t>Total ADE:</t>
  </si>
  <si>
    <t>Enrollment growth %:</t>
  </si>
  <si>
    <t>Code</t>
  </si>
  <si>
    <t>Revenue/Expenditure category</t>
  </si>
  <si>
    <t>Year 0</t>
  </si>
  <si>
    <t>Year 1</t>
  </si>
  <si>
    <t>Year 2</t>
  </si>
  <si>
    <t>Year 3</t>
  </si>
  <si>
    <t>Year 4</t>
  </si>
  <si>
    <t>Year 5</t>
  </si>
  <si>
    <t>Explanation comments/notes:</t>
  </si>
  <si>
    <t>Opening Fund Balance (OFB)</t>
  </si>
  <si>
    <t>Revenue:</t>
  </si>
  <si>
    <t>Total Local Revenue</t>
  </si>
  <si>
    <t>student activity fees for sports, uniforms, school gear, school food revenue</t>
  </si>
  <si>
    <t>Total State Revenue</t>
  </si>
  <si>
    <t>PCFP and State Transportation</t>
  </si>
  <si>
    <t>Total Federal Revenue</t>
  </si>
  <si>
    <t>CSP in Y0-Y2, Title I-IV and IDEA as applicable to funding model</t>
  </si>
  <si>
    <t>Sub-total Operating Revenue:</t>
  </si>
  <si>
    <t>Total Other Revenue</t>
  </si>
  <si>
    <t>Total Annual Revenue:</t>
  </si>
  <si>
    <t>Total Available Resources (OFB + Revenue):</t>
  </si>
  <si>
    <t>Expenditures:</t>
  </si>
  <si>
    <t>Wages</t>
  </si>
  <si>
    <t>Benefits</t>
  </si>
  <si>
    <t>Purchased Services</t>
  </si>
  <si>
    <t>Supplies</t>
  </si>
  <si>
    <t>Sub-total Operating Expenditures:</t>
  </si>
  <si>
    <t>Capital Expenditures (Property, equipment)</t>
  </si>
  <si>
    <t>Sub-total Operating &amp; Capital expenditures:</t>
  </si>
  <si>
    <t>Contingency fund (3% max):</t>
  </si>
  <si>
    <t>3% contingency budgeted to cover unknown costs and substitutes</t>
  </si>
  <si>
    <t>Debt Service (principal &amp; interest)</t>
  </si>
  <si>
    <t>Total Expenditures:</t>
  </si>
  <si>
    <t>Net Change in funds (Revenue - Expenditures):</t>
  </si>
  <si>
    <t>Ending Fund Balance (EFB):</t>
  </si>
  <si>
    <t>*Calculated as OFB + Net Change in Funds</t>
  </si>
  <si>
    <t>EFB % of Total Expenditures:</t>
  </si>
  <si>
    <t>EFB % of Total Revenue:</t>
  </si>
  <si>
    <t>Compensation cost % of Operating Expenditures:</t>
  </si>
  <si>
    <t>Operating Revenue per pupil:</t>
  </si>
  <si>
    <t>Total resources per pupil:</t>
  </si>
  <si>
    <t>Operating expenditures per pupil:</t>
  </si>
  <si>
    <t>Total expenditures per pupil:</t>
  </si>
  <si>
    <t>Average Daily Enrollment Projections (ADE)</t>
  </si>
  <si>
    <t>Grade/Level ADE</t>
  </si>
  <si>
    <t>Kindergarten</t>
  </si>
  <si>
    <t>1st grade</t>
  </si>
  <si>
    <t>2nd grade</t>
  </si>
  <si>
    <t>3rd grade</t>
  </si>
  <si>
    <t>4th grade</t>
  </si>
  <si>
    <t>5th grade</t>
  </si>
  <si>
    <t>6th grade</t>
  </si>
  <si>
    <t>Class size is 25, current class size is below cap with 4 classrooms of 20 students</t>
  </si>
  <si>
    <t>7th grade</t>
  </si>
  <si>
    <t>8th grade</t>
  </si>
  <si>
    <t>9th grade</t>
  </si>
  <si>
    <t>10th grade</t>
  </si>
  <si>
    <t>11th grade</t>
  </si>
  <si>
    <t>12th grade</t>
  </si>
  <si>
    <t>Total K-12 ADE:</t>
  </si>
  <si>
    <t>ADE Growth % year over year:</t>
  </si>
  <si>
    <t>Weighted Populations ADE</t>
  </si>
  <si>
    <t>SPED</t>
  </si>
  <si>
    <t>ELL</t>
  </si>
  <si>
    <t>At-Risk</t>
  </si>
  <si>
    <t>Gate</t>
  </si>
  <si>
    <t>Pre-K</t>
  </si>
  <si>
    <t>FRL Direct Cert count</t>
  </si>
  <si>
    <t>FRL count with 1.6 multiplier</t>
  </si>
  <si>
    <t>FRL % of total ADE</t>
  </si>
  <si>
    <t>ANNUAL REVENUE PROJECTIONS</t>
  </si>
  <si>
    <t>ANNUAL REVENUE INPUTS</t>
  </si>
  <si>
    <t>Revenue Code</t>
  </si>
  <si>
    <t>Revenue Item</t>
  </si>
  <si>
    <t>PCPF Per-Pupil base</t>
  </si>
  <si>
    <t>PCFP ELL Per pupil</t>
  </si>
  <si>
    <t>PCFP At-Risk per pupil</t>
  </si>
  <si>
    <t>PCFP GATE per pupil</t>
  </si>
  <si>
    <t>State SPED per pupil</t>
  </si>
  <si>
    <t>Federal IDEA per pupil estimate</t>
  </si>
  <si>
    <t>Title I Part A per pupil estimate (if qualified and funds available)</t>
  </si>
  <si>
    <t>Title II Part A annual estimate (if qualified and funds available)</t>
  </si>
  <si>
    <t>FY25 per FRL of $30 , with 75% allocation amount to account for recent lowered trends</t>
  </si>
  <si>
    <t>Title III ELL annual estimate (if qualified and funds available)</t>
  </si>
  <si>
    <t>FY25 per ELL of $130,  with 75% allocation amount to account for recent lowered trends</t>
  </si>
  <si>
    <t>Title IV Part A (if qualified and funds available)</t>
  </si>
  <si>
    <t>FY25 per FRL of $50 , with 75% allocation amount to account for recent lowered trends</t>
  </si>
  <si>
    <t>ANNUAL REVENUE ESTIMATES</t>
  </si>
  <si>
    <t>Local Revenue:</t>
  </si>
  <si>
    <t>Investment Income (interest)</t>
  </si>
  <si>
    <t>Food Services revenue from student fees/sales</t>
  </si>
  <si>
    <t>$10/student starting in Y1</t>
  </si>
  <si>
    <t>School Activities (student dues and fees)</t>
  </si>
  <si>
    <t>$25/student starting Y1: student activity fees for sports, uniforms, school gear</t>
  </si>
  <si>
    <t>Contributions/donations/fundraising from Private Sources</t>
  </si>
  <si>
    <t>Propel Grant will be anticipated Y1-Y4 @ $65k/year (school to pay remainder of salary/benefits)</t>
  </si>
  <si>
    <t>Sub-total Local Revenue:</t>
  </si>
  <si>
    <t>Per Pupil Revenue:</t>
  </si>
  <si>
    <t>State Revenue:</t>
  </si>
  <si>
    <t>PCFP - Adjusted Base Funding</t>
  </si>
  <si>
    <t>Other State Grants</t>
  </si>
  <si>
    <t>Transportation allocation $481/student (Clark County pp)</t>
  </si>
  <si>
    <t>PCFP - English Learner</t>
  </si>
  <si>
    <t>PCFP - At-Risk</t>
  </si>
  <si>
    <t>PCFP Gifted and Talented</t>
  </si>
  <si>
    <t>State Special Education Funding</t>
  </si>
  <si>
    <t>Sub-total State Revenue:</t>
  </si>
  <si>
    <t>Federal Revenue:</t>
  </si>
  <si>
    <t>Unrestricted Grants-in-Aid, direct from the Federal Govt.</t>
  </si>
  <si>
    <t>Unrestricted Grants-in-Aid from the Federal Govt. through the State</t>
  </si>
  <si>
    <t>Restricted Grants-in-Aid direct from the Federal Govt.</t>
  </si>
  <si>
    <t>National School Lunch Program</t>
  </si>
  <si>
    <t>Lunch reimbursed $4.77/meal and Breakfast reimbursed $2.46</t>
  </si>
  <si>
    <t>Grants-in-Aid from the Federal Govt., through other Inter. Agencies</t>
  </si>
  <si>
    <t>E-Rate Funds</t>
  </si>
  <si>
    <t>Sub-total Federal Revenue:</t>
  </si>
  <si>
    <t>Total Operating Revenue:</t>
  </si>
  <si>
    <t>Other Revenue:</t>
  </si>
  <si>
    <t>Bond Proceeds</t>
  </si>
  <si>
    <t>Loan Proceeds &gt; 12 months</t>
  </si>
  <si>
    <t>Sub-total Other Revenue:</t>
  </si>
  <si>
    <t>TOTAL ANNUAL ESTIMATED REVENUE:</t>
  </si>
  <si>
    <t>Annual Staff Compensation Projections</t>
  </si>
  <si>
    <t>Annual benefits inputs</t>
  </si>
  <si>
    <t>Benefit Category</t>
  </si>
  <si>
    <t>Employment status eligibility</t>
  </si>
  <si>
    <t>PERS</t>
  </si>
  <si>
    <t>Full-time</t>
  </si>
  <si>
    <t>Based on EE/ER contribution rate for 2026-27 school year.  Staff working at minimum of .75FTE must receive PERS.</t>
  </si>
  <si>
    <t>Social Security</t>
  </si>
  <si>
    <t>Part-time</t>
  </si>
  <si>
    <t>Only for staff not eligible for PERS (less than .75 FTE)</t>
  </si>
  <si>
    <t>Medicare</t>
  </si>
  <si>
    <t>All</t>
  </si>
  <si>
    <t>Applicable to all staff</t>
  </si>
  <si>
    <t>Health Ins. Annual premium</t>
  </si>
  <si>
    <t>Average cost is assumed $6000 for a single Employee of which 75% of single employee only will be covered by school-includes Health, Dental and Vision. Of the staff 75% will be single coverage and 25% family coverage. 5% annual increase.</t>
  </si>
  <si>
    <t>Workers Compensation</t>
  </si>
  <si>
    <t>Unemployment insurance</t>
  </si>
  <si>
    <t>Rate may drop after Y2 and then remain at lowered rate through Y5</t>
  </si>
  <si>
    <t>Other misc. group benefits combined total:</t>
  </si>
  <si>
    <t>Estimated sub-total of other group polices paid by school for each employee (ST/LT disability, OPEB, work comp, etc.)</t>
  </si>
  <si>
    <t>Annual wages by position</t>
  </si>
  <si>
    <t>Individual Position</t>
  </si>
  <si>
    <t>Employment Status</t>
  </si>
  <si>
    <t>General Ed Teachers (Licensed &amp; unlicensed)</t>
  </si>
  <si>
    <t>6th Grade-1</t>
  </si>
  <si>
    <t>Full-Time</t>
  </si>
  <si>
    <t>Base salary of $65k, average salary of teachers in each grade level will be $70k with mix of 25% experienced teachers/75% new hire</t>
  </si>
  <si>
    <t>6th Grade-2</t>
  </si>
  <si>
    <t>3% annual increase budgeted for instructional staff</t>
  </si>
  <si>
    <t>6th Grade-3</t>
  </si>
  <si>
    <t>6th Grade-4</t>
  </si>
  <si>
    <t>7th Grade-1</t>
  </si>
  <si>
    <t>7th Grade-2</t>
  </si>
  <si>
    <t>7th Grade-3</t>
  </si>
  <si>
    <t>7th Grade-4</t>
  </si>
  <si>
    <t>8th Grade-1</t>
  </si>
  <si>
    <t>8th Grade-2</t>
  </si>
  <si>
    <t>8th Grade-3</t>
  </si>
  <si>
    <t>8th Grade-4</t>
  </si>
  <si>
    <t>9th Grade-1</t>
  </si>
  <si>
    <t>9th Grade-2</t>
  </si>
  <si>
    <t>9th Grade-3</t>
  </si>
  <si>
    <t>9th Grade-4</t>
  </si>
  <si>
    <t>10th Grade-1</t>
  </si>
  <si>
    <t>10th Grade-2</t>
  </si>
  <si>
    <t>10th Grade-3</t>
  </si>
  <si>
    <t>10th Grade-4</t>
  </si>
  <si>
    <t>11th Grade-1</t>
  </si>
  <si>
    <t>11th Grade-2</t>
  </si>
  <si>
    <t>11th Grade-3</t>
  </si>
  <si>
    <t>11th Grade-4</t>
  </si>
  <si>
    <t>12th Grade-1</t>
  </si>
  <si>
    <t>12th Grade-2</t>
  </si>
  <si>
    <t>12th Grade-3</t>
  </si>
  <si>
    <t>12th Grade-4</t>
  </si>
  <si>
    <t>Weighted Population Teachers (SPED, ELL, GATE)</t>
  </si>
  <si>
    <t>SPED Facilitator - 1</t>
  </si>
  <si>
    <t xml:space="preserve">Case load will dictate SpEd lead FTE; 1 FTE for Y1-Y3 and then </t>
  </si>
  <si>
    <t>SPED Facilitator - 2</t>
  </si>
  <si>
    <t>Increase to 2 FTE when school is at enrollment of at least 500</t>
  </si>
  <si>
    <t>ELL Facilitator - 1</t>
  </si>
  <si>
    <t>As budget allows; Coordinator on staff from Y1, AP/ teacher-lead may be responsible for EL coordination svcs</t>
  </si>
  <si>
    <t>ELL Facilitator - 2</t>
  </si>
  <si>
    <t>Instructional aides</t>
  </si>
  <si>
    <t>Paraprofessionals-1</t>
  </si>
  <si>
    <t>Part-Time</t>
  </si>
  <si>
    <t>Paraprofessionals will be hourly at $20/hr, 20 hours per week for 35 weeks =$14,000</t>
  </si>
  <si>
    <t>Paraprofessionals-2</t>
  </si>
  <si>
    <t>2% annual increase</t>
  </si>
  <si>
    <t>Paraprofessionals-3</t>
  </si>
  <si>
    <t>Paraprofessionals-4</t>
  </si>
  <si>
    <t>Paraprofessionals-5</t>
  </si>
  <si>
    <t>Paraprofessionals-6</t>
  </si>
  <si>
    <t>Paraprofessionals-7</t>
  </si>
  <si>
    <t>Support Staff (Nurses, counselors, IT)</t>
  </si>
  <si>
    <t>Counselor (SEL)</t>
  </si>
  <si>
    <t>Counselor will be brought on staff in Y2 to support SEL (increased compensation as upper grades are added)</t>
  </si>
  <si>
    <t>College Counselor</t>
  </si>
  <si>
    <t>College Counselor will be brought on staff Y3 to support first class of 11th graders</t>
  </si>
  <si>
    <t>School leadership &amp; administration (administrators, front office, clerical)</t>
  </si>
  <si>
    <t>Executive Director</t>
  </si>
  <si>
    <t>Executive Director brought on Y0 to develop school programming foundation and operations</t>
  </si>
  <si>
    <t>Principal</t>
  </si>
  <si>
    <t>Assistant Principal</t>
  </si>
  <si>
    <t>Operations Manager</t>
  </si>
  <si>
    <t>Operations Manager will be responsible for Community Engagement  along with Operation duties</t>
  </si>
  <si>
    <t>Director of SPED</t>
  </si>
  <si>
    <t>As caseload increases, Director will be brought on board to manage services coordination and testing</t>
  </si>
  <si>
    <t>Operations Support</t>
  </si>
  <si>
    <t>Other Support Staff (maint/custodial, bus drivers, food service, etc.)</t>
  </si>
  <si>
    <t>Non-instructional support staff will be conracted</t>
  </si>
  <si>
    <t>Total Annual Wages:</t>
  </si>
  <si>
    <t>Benefits totals:</t>
  </si>
  <si>
    <t>Health Ins.</t>
  </si>
  <si>
    <t>Other misc. group benefits total:</t>
  </si>
  <si>
    <t>Benefits sub-total:</t>
  </si>
  <si>
    <t>Total Compensation Costs:</t>
  </si>
  <si>
    <t>Wages % of total compensation:</t>
  </si>
  <si>
    <t>Benefits % of total compensation:</t>
  </si>
  <si>
    <t>Total compensation cost per pupil:</t>
  </si>
  <si>
    <t>Gen Ed Teacher-student ratio</t>
  </si>
  <si>
    <t>Annual  Expenditure Estimate - SUPPLIES (less than $5k)</t>
  </si>
  <si>
    <t>Expenditure Code</t>
  </si>
  <si>
    <t>Expenditure Code Description</t>
  </si>
  <si>
    <t>Expenditure Item Description</t>
  </si>
  <si>
    <t>Instructional Supplies (classroom related)</t>
  </si>
  <si>
    <t>General Supplies - Non-IT Related of Lower Value ($999 or less)</t>
  </si>
  <si>
    <t>General Supplies</t>
  </si>
  <si>
    <t>$50 per student, $500 per month general supplies w/ 3% COLA</t>
  </si>
  <si>
    <t>General Supplies - Non-IT Related of Higher Value ($1,000-$4,999)</t>
  </si>
  <si>
    <t>Classroom Furniture, Fixtures and Equipment</t>
  </si>
  <si>
    <t>$5000 per classroom, Y0 is to furnish Y1 classrooms, Y1 and Y5 maintenance</t>
  </si>
  <si>
    <t>Textbooks</t>
  </si>
  <si>
    <t>Core subject textbooks: Illustrative Math, Sci/Soc St</t>
  </si>
  <si>
    <t>IT software installed on devices</t>
  </si>
  <si>
    <t>Google Management portal</t>
  </si>
  <si>
    <t>$50/student, technology classroom set not 1:1</t>
  </si>
  <si>
    <t>IT hardware of Higher Value ($1000-$4999)</t>
  </si>
  <si>
    <t>IT web based programs</t>
  </si>
  <si>
    <t>Illustrative Math and Literacy Curriculum, Panorama</t>
  </si>
  <si>
    <t xml:space="preserve">Y1-Y2 initial purchase, Y3 smaller ADE incrase, Y4+ additional ADE </t>
  </si>
  <si>
    <t>Field Trips</t>
  </si>
  <si>
    <t>$1000 per grade level and then additional for grade level expansions</t>
  </si>
  <si>
    <t>Sub-total Instructional Supplies:</t>
  </si>
  <si>
    <t>Sub-total expenditures per pupil:</t>
  </si>
  <si>
    <t>Front office/admin Supplies</t>
  </si>
  <si>
    <t>Teacher/parent meetings, general office supplies/food for open houses and engagement activities, Board retreat</t>
  </si>
  <si>
    <t>Office furniture</t>
  </si>
  <si>
    <t xml:space="preserve">Office, McAfee, Adobe, Google Workspace </t>
  </si>
  <si>
    <t>IT hardware of Lower value ($999 or less)</t>
  </si>
  <si>
    <t>Teacher and office technology</t>
  </si>
  <si>
    <t>Admin and office staff laptops, technology (initial purchase Y0-Y2)</t>
  </si>
  <si>
    <t>Sub-total Admin Supplies:</t>
  </si>
  <si>
    <t>Other support service supplies (nurse, counselors, food service, IT, etc.)</t>
  </si>
  <si>
    <t>hygiene kits, nurse/health supplies</t>
  </si>
  <si>
    <t>$10 per ADE</t>
  </si>
  <si>
    <t>Food expenditures for school food service programs</t>
  </si>
  <si>
    <t>Only school breakfast/lunch, no staff or non-meal food</t>
  </si>
  <si>
    <t>$875 per ADE</t>
  </si>
  <si>
    <t>Sub-total Other Supplies:</t>
  </si>
  <si>
    <t>Facility supplies (utilities, maintenance/custodial, buildings &amp; grounds)</t>
  </si>
  <si>
    <t xml:space="preserve">Custodial, landscape </t>
  </si>
  <si>
    <t>Custodial supplies included in janitorial contract, for any additional</t>
  </si>
  <si>
    <t>Sub-total Facility Supplies:</t>
  </si>
  <si>
    <t>TOTAL ANNUAL SUPPLIES:</t>
  </si>
  <si>
    <t>Total costs per pupil:</t>
  </si>
  <si>
    <t>Annual  Expenditure Estimate - PURCHASED SERVICES</t>
  </si>
  <si>
    <t>Instructional Services (general classroom related)</t>
  </si>
  <si>
    <t>Professional Ed Services (curriculum, assessment, counseling)</t>
  </si>
  <si>
    <t>Substitute Services</t>
  </si>
  <si>
    <t>Prof. Development - Teachers</t>
  </si>
  <si>
    <t>Project Based Learning, SEL/Panorama</t>
  </si>
  <si>
    <t>Y1 and Y2 PBL and Culture climate foundations, Y3+ for new FTE</t>
  </si>
  <si>
    <t>Prof. Development - Inst. Aids</t>
  </si>
  <si>
    <t>IA support PGl model and lab facilitiation</t>
  </si>
  <si>
    <t>Prof. Development - Licensed Admin</t>
  </si>
  <si>
    <t>Technology Services (data processing, student assessment, IT support, etc.)</t>
  </si>
  <si>
    <t>Instructional Services (weighted populations - SPED, ELL, GATE related)</t>
  </si>
  <si>
    <t>Other Prof. Services (legal, accountants, therapists, etc.)</t>
  </si>
  <si>
    <t>Contracted SpEd Services</t>
  </si>
  <si>
    <t>Sub-total Instructional services:</t>
  </si>
  <si>
    <t>Front office/admin services</t>
  </si>
  <si>
    <t>Charter Sponsorship Fees (SPCSA fee)</t>
  </si>
  <si>
    <t>1.25% of PCFP base revenue</t>
  </si>
  <si>
    <t>*SPCSA sponsor fee, deducted monthly from PCFP payment</t>
  </si>
  <si>
    <t xml:space="preserve">Audit, Legal </t>
  </si>
  <si>
    <t>Marketing Services</t>
  </si>
  <si>
    <t>Indeed, Facebook, website maintenance</t>
  </si>
  <si>
    <t>Intellatek, Schoolmint/Lotterase</t>
  </si>
  <si>
    <t>$500/month, initial setup only in Y0, Lottery service $25/student</t>
  </si>
  <si>
    <t>Other misc services (non-professional)</t>
  </si>
  <si>
    <t>Transportation service provider fee</t>
  </si>
  <si>
    <t>Fee for the transportation program ($1600/month)</t>
  </si>
  <si>
    <t xml:space="preserve">Contracted Principal Y0 </t>
  </si>
  <si>
    <t>Principal will focus on enrollment support, instructional planning and recruitment</t>
  </si>
  <si>
    <t>Student recruitment and community engagement</t>
  </si>
  <si>
    <t>Community engagement activities including ads, community events, etc</t>
  </si>
  <si>
    <t>Communication services (phone, internet, postage)</t>
  </si>
  <si>
    <t>Financial and Accounting Services</t>
  </si>
  <si>
    <t>Finance, Accounting, Payroll, Accounts Payable, Compliance and Board Support</t>
  </si>
  <si>
    <t>Dues &amp; Fees (student contests/events, memberships)</t>
  </si>
  <si>
    <t>Sub-total Admin services:</t>
  </si>
  <si>
    <t>Other support service services (nurse, counselors, food service, IT, etc.)</t>
  </si>
  <si>
    <t>Maintenance Services, IT/Tech</t>
  </si>
  <si>
    <t>Network Services</t>
  </si>
  <si>
    <t>Classroom set technology so maintenance lower amount</t>
  </si>
  <si>
    <t>Food Service Mgmt</t>
  </si>
  <si>
    <t xml:space="preserve">Monthly Management fees </t>
  </si>
  <si>
    <t>Vendor such as School Food Solutions, SLA, etc</t>
  </si>
  <si>
    <t>Student transportation services</t>
  </si>
  <si>
    <t>School bus route, bus passes, uber for kids</t>
  </si>
  <si>
    <t>Sub-total Other services:</t>
  </si>
  <si>
    <t>Facility services (utilities, maintenance/custodial, buildings &amp; grounds)</t>
  </si>
  <si>
    <t>Utility services (water, sewer)</t>
  </si>
  <si>
    <t>water, electric, heat, sewer, trash removal</t>
  </si>
  <si>
    <t>$3000/month, 5% COLA</t>
  </si>
  <si>
    <t>Cleaning services (waste, custodial)</t>
  </si>
  <si>
    <t>contracted janitorial services</t>
  </si>
  <si>
    <t>$5k initial cleaning, $2000/month with 3% COLA</t>
  </si>
  <si>
    <t>Maintenance services, Non-IT (bldgs &amp; grounds)</t>
  </si>
  <si>
    <t>20% COLA (if included in facility fee, this will be removed)</t>
  </si>
  <si>
    <t>Rental services, Land/Bldgs</t>
  </si>
  <si>
    <t>Property Insurance</t>
  </si>
  <si>
    <t>2% COLA, $1500 per month</t>
  </si>
  <si>
    <t>Liability Insurance</t>
  </si>
  <si>
    <t>Rental services, Equipment &amp; Vehicles</t>
  </si>
  <si>
    <t>copier lease and service charges</t>
  </si>
  <si>
    <t>Sub-total Facility services:</t>
  </si>
  <si>
    <t>TOTAL ANNUAL PURCHASED SERVICES:</t>
  </si>
  <si>
    <t>Annual  Expenditure Estimate - Capital Purchases &amp; Debt</t>
  </si>
  <si>
    <t>Capital Expenditures above $5k capitalization threshold</t>
  </si>
  <si>
    <t>Furnitures &amp; Fixtures</t>
  </si>
  <si>
    <t>Initial Classroom Furniture and Equipment Purchase</t>
  </si>
  <si>
    <t>Sub-total Capital expenditures:</t>
  </si>
  <si>
    <t>Debt Service &amp; Capital Leases</t>
  </si>
  <si>
    <t>Sub-total Debt expenditures:</t>
  </si>
  <si>
    <t>TOTAL ANNUAL CAPITAL &amp; DEBT:</t>
  </si>
  <si>
    <t>Cash Flow Estimates, Years 0 and 1</t>
  </si>
  <si>
    <t>Year 0 total</t>
  </si>
  <si>
    <t>July</t>
  </si>
  <si>
    <t>August</t>
  </si>
  <si>
    <t>September</t>
  </si>
  <si>
    <t>October</t>
  </si>
  <si>
    <t>November</t>
  </si>
  <si>
    <t>December</t>
  </si>
  <si>
    <t>January</t>
  </si>
  <si>
    <t>February</t>
  </si>
  <si>
    <t>March</t>
  </si>
  <si>
    <t>April</t>
  </si>
  <si>
    <t>May</t>
  </si>
  <si>
    <t>June</t>
  </si>
  <si>
    <t>Year 1 Total</t>
  </si>
  <si>
    <t>Opening CASH Balance (OCB)</t>
  </si>
  <si>
    <t>*cash balance as of first day of the month = prior month ending balance</t>
  </si>
  <si>
    <t>Revenue (ACTUAL RECEIVED):</t>
  </si>
  <si>
    <t>Total Other Revenue (short term debt &lt;12mos or working capital portion of long-term debt)</t>
  </si>
  <si>
    <t>Sub-total revenue:</t>
  </si>
  <si>
    <t>Expenditures (ACTUAL EXPENDED):</t>
  </si>
  <si>
    <t>Admin Staff in July, All Instructional staff Aug-Jul with June accrual of July wages</t>
  </si>
  <si>
    <t>Sub-total expenditures:</t>
  </si>
  <si>
    <t>Net Change in CASH (Revenue - Expenditures):</t>
  </si>
  <si>
    <t>Ending CASH Balance (OCB + Net Change):</t>
  </si>
  <si>
    <t>*Cash balance as of last day of the month</t>
  </si>
  <si>
    <t>WORKBOOK INPUTS</t>
  </si>
  <si>
    <t>PCFP Adjusted Base Funding FY26-27</t>
  </si>
  <si>
    <t>Staff employment status</t>
  </si>
  <si>
    <t>Supply description</t>
  </si>
  <si>
    <t>Codes</t>
  </si>
  <si>
    <t>Services description</t>
  </si>
  <si>
    <t>Capital Purchases description</t>
  </si>
  <si>
    <t>Debt Service description</t>
  </si>
  <si>
    <t>County</t>
  </si>
  <si>
    <t>Per Pupil Adjusted Base</t>
  </si>
  <si>
    <t>Construction services</t>
  </si>
  <si>
    <t>Redemption of Principal Debt</t>
  </si>
  <si>
    <t>Statewide base (online schools)</t>
  </si>
  <si>
    <t>Land &amp; Land Improvements (bare land purchase, land improvements such as infrastructure)</t>
  </si>
  <si>
    <t>Interest expense on long-term debt</t>
  </si>
  <si>
    <t>Carson City</t>
  </si>
  <si>
    <t>Natural Gas</t>
  </si>
  <si>
    <t>Buildings (purchase of existing buildings)</t>
  </si>
  <si>
    <t>Debt issuance costs (bonds)</t>
  </si>
  <si>
    <t>Churchill</t>
  </si>
  <si>
    <t>Electricity</t>
  </si>
  <si>
    <t>Machinery</t>
  </si>
  <si>
    <t>Capital lease payments (leases &gt; 12 months)</t>
  </si>
  <si>
    <t>Prof. Development - Non-Lic. Admin</t>
  </si>
  <si>
    <t>Vehicles</t>
  </si>
  <si>
    <t>Douglas</t>
  </si>
  <si>
    <t>Prof. Development - Other Licensed (counselors, nurses, etc.)</t>
  </si>
  <si>
    <t>Elko</t>
  </si>
  <si>
    <t>Prof. Development - Other Non-Lic. Staff</t>
  </si>
  <si>
    <t>Technology - Hardware</t>
  </si>
  <si>
    <t>Esmeralda</t>
  </si>
  <si>
    <t>Technology - Software</t>
  </si>
  <si>
    <t>Eureka</t>
  </si>
  <si>
    <t>Charter Mgmt Firm/Agency fees</t>
  </si>
  <si>
    <t>Humboldt</t>
  </si>
  <si>
    <t>Lander</t>
  </si>
  <si>
    <t>Lincoln</t>
  </si>
  <si>
    <t>Lyon</t>
  </si>
  <si>
    <t>Mineral</t>
  </si>
  <si>
    <t>Nye</t>
  </si>
  <si>
    <t>Pershing</t>
  </si>
  <si>
    <t>Storey</t>
  </si>
  <si>
    <t>Washoe</t>
  </si>
  <si>
    <t>White Pine</t>
  </si>
  <si>
    <t>Rental services, Tech</t>
  </si>
  <si>
    <t>Rental services, Misc (books, supplies, etc.)</t>
  </si>
  <si>
    <t>Construction Services (below $5k)</t>
  </si>
  <si>
    <t>Advertising (ads, social media, etc.)</t>
  </si>
  <si>
    <t>Printing &amp; Binding</t>
  </si>
  <si>
    <t>Tuition paid (post-secondary, districts, other charters)</t>
  </si>
  <si>
    <t>Travel costs for Staff</t>
  </si>
  <si>
    <t>School focus on lower teacher to student ratio due to project based model</t>
  </si>
  <si>
    <t>If possible Propel Fellow Y2-3 and Y4-5; O180 pays $65k/year, school responsible for remaining $25k</t>
  </si>
  <si>
    <t>Principal onboarded Y1 once students are in session to support Exec Dir with leadership, Y0 will be provided stipend see Services tab</t>
  </si>
  <si>
    <t>Contracted Social Worker</t>
  </si>
  <si>
    <t>$2000/month increasing based on enrollment</t>
  </si>
  <si>
    <t>Elective teachers: PE, Dance, Theater, Arts</t>
  </si>
  <si>
    <t>$3500/month/teacher: Y1=2, Y2=4, Y3=6, Y4and Y5 =8</t>
  </si>
  <si>
    <t>Transportation service for students (covered by state grant)</t>
  </si>
  <si>
    <t>Transportation service for students (covered by other funding)</t>
  </si>
  <si>
    <t>School bus route and field trips</t>
  </si>
  <si>
    <t>Dual Enrollment Class Tuition (FRL sts)</t>
  </si>
  <si>
    <t>Dual Enrollment Class Tuition (non-FRL sts)</t>
  </si>
  <si>
    <t>$95.75/credit for nonFRL sts, 30% of 11th and 12th, 6 credits per year</t>
  </si>
  <si>
    <t>$65/credit for FRL sts, 30% of 11th and 12th, 6 credits per year</t>
  </si>
  <si>
    <t>Chamber of Commerce, Prof Orgs</t>
  </si>
  <si>
    <t>Broker Fee</t>
  </si>
  <si>
    <t>Broker fee to secure facilty, 2.8% of initial lease expense</t>
  </si>
  <si>
    <t>PBL Teacher Instructional Materials</t>
  </si>
  <si>
    <t>Access to library of curriculum materials for teaching staff</t>
  </si>
  <si>
    <t>estimate $5000 per classroom</t>
  </si>
  <si>
    <t>$550 per SpEd ADE (Psych, Speech, Nurse, OT/PT)</t>
  </si>
  <si>
    <t>% of total enrollment specified above, based on neighboring schools demographics</t>
  </si>
  <si>
    <t>David Sabey</t>
  </si>
  <si>
    <t>Nandini Vaishnav</t>
  </si>
  <si>
    <t>Board Member</t>
  </si>
  <si>
    <t>Financial Lead</t>
  </si>
  <si>
    <t>iReady, Infinite Campus, Intellatek</t>
  </si>
  <si>
    <t>iReady and IC per ADE ($125 per ADE) Erate may be used to reduce expense</t>
  </si>
  <si>
    <t>CSP revenue in July may be prior month reimbursement, federal for Y1 Aug to June</t>
  </si>
  <si>
    <t>June 30th DCOH is estimated at 50, meeting SPCSA threshold of 15 DCOH, best practice of 30 DCOH</t>
  </si>
  <si>
    <t>Truman Rowley</t>
  </si>
  <si>
    <t>Core subject area classrooms: English, Science/STEM, Social Studies, Math</t>
  </si>
  <si>
    <t>CSP Grant ($2M for 12 month planning and 24 month implementation grant duration assumed)</t>
  </si>
  <si>
    <t>Junior Achievement of S. NV ($20/ADE), Chamber $500/year and misc</t>
  </si>
  <si>
    <t>phone, postage, internet</t>
  </si>
  <si>
    <t>teacher recruitment and Teach for America fees as budget allows</t>
  </si>
  <si>
    <t>Classroom set of chromebooks, cart/storage</t>
  </si>
  <si>
    <t>$13,500/ grade set, $500/classroom storage-at least 2 grade level sets per year</t>
  </si>
  <si>
    <t>Operations support for the administration ($25/hour, 20 hours per week) contracted unless budget allows on staff</t>
  </si>
  <si>
    <t>Operations support, recruitment</t>
  </si>
  <si>
    <t>Operations support for front office, possible parent or EmployNV</t>
  </si>
  <si>
    <t xml:space="preserve">$75/student and 25% replacement per year </t>
  </si>
  <si>
    <t>$1000/admin for school programs based professional learning</t>
  </si>
  <si>
    <t>Travel for admin related to professional learning</t>
  </si>
  <si>
    <t>$500/admin for travel to professional learning</t>
  </si>
  <si>
    <t>Based on Wright Insurance quote for similar school size ($1500/mo)</t>
  </si>
  <si>
    <t>Annual lease for school facility</t>
  </si>
  <si>
    <t>Monthly rent of $45k, 3% COLA</t>
  </si>
  <si>
    <t>Lease duration 12 months, renewal each year-end</t>
  </si>
  <si>
    <t>YO=1 month security deposit and 1 month rent for occupancy to set-up prior to school start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</si>
</sst>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quot;SYE &quot;General"/>
    <numFmt numFmtId="168" formatCode="000\-000\-0000"/>
  </numFmts>
  <fonts count="33"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sz val="11"/>
      <color rgb="FF000000"/>
      <name val="Calibri"/>
      <family val="2"/>
    </font>
    <font>
      <b/>
      <sz val="12"/>
      <color theme="1"/>
      <name val="Aptos Narrow"/>
      <family val="2"/>
      <scheme val="minor"/>
    </font>
    <font>
      <b/>
      <u/>
      <sz val="11"/>
      <color theme="1"/>
      <name val="Aptos Narrow"/>
      <family val="2"/>
      <scheme val="minor"/>
    </font>
    <font>
      <sz val="10"/>
      <color theme="1"/>
      <name val="Aptos Narrow"/>
      <family val="2"/>
      <scheme val="minor"/>
    </font>
    <font>
      <sz val="9"/>
      <color theme="1"/>
      <name val="Aptos Narrow"/>
      <family val="2"/>
      <scheme val="minor"/>
    </font>
    <font>
      <b/>
      <u val="singleAccounting"/>
      <sz val="11"/>
      <color theme="1"/>
      <name val="Aptos Narrow"/>
      <family val="2"/>
      <scheme val="minor"/>
    </font>
    <font>
      <b/>
      <sz val="16"/>
      <color theme="1"/>
      <name val="Aptos Narrow"/>
      <family val="2"/>
      <scheme val="minor"/>
    </font>
    <font>
      <b/>
      <sz val="14"/>
      <color theme="1"/>
      <name val="Aptos Narrow"/>
      <family val="2"/>
      <scheme val="minor"/>
    </font>
    <font>
      <b/>
      <sz val="10"/>
      <color theme="1"/>
      <name val="Aptos Narrow"/>
      <family val="2"/>
      <scheme val="minor"/>
    </font>
    <font>
      <b/>
      <sz val="9"/>
      <color theme="1"/>
      <name val="Aptos Narrow"/>
      <family val="2"/>
      <scheme val="minor"/>
    </font>
    <font>
      <b/>
      <u/>
      <sz val="12"/>
      <color theme="1"/>
      <name val="Aptos Narrow"/>
      <family val="2"/>
      <scheme val="minor"/>
    </font>
    <font>
      <b/>
      <sz val="14"/>
      <color theme="0"/>
      <name val="Aptos Narrow"/>
      <family val="2"/>
      <scheme val="minor"/>
    </font>
    <font>
      <sz val="11"/>
      <color theme="1"/>
      <name val="Symbol"/>
      <family val="1"/>
      <charset val="2"/>
    </font>
    <font>
      <sz val="11"/>
      <color theme="1"/>
      <name val="Aptos"/>
      <family val="2"/>
    </font>
    <font>
      <u/>
      <sz val="8.8000000000000007"/>
      <color theme="10"/>
      <name val="Calibri"/>
      <family val="2"/>
    </font>
    <font>
      <sz val="12"/>
      <color indexed="8"/>
      <name val="Aptos Narrow"/>
      <family val="2"/>
      <scheme val="minor"/>
    </font>
    <font>
      <b/>
      <sz val="14"/>
      <color rgb="FF0000FF"/>
      <name val="Aptos Narrow"/>
      <family val="2"/>
      <scheme val="minor"/>
    </font>
    <font>
      <b/>
      <sz val="28"/>
      <color rgb="FF0000FF"/>
      <name val="Aptos Narrow"/>
      <family val="2"/>
      <scheme val="minor"/>
    </font>
    <font>
      <sz val="11"/>
      <color indexed="8"/>
      <name val="Aptos Narrow"/>
      <family val="2"/>
      <scheme val="minor"/>
    </font>
    <font>
      <b/>
      <sz val="11"/>
      <color indexed="8"/>
      <name val="Aptos Narrow"/>
      <family val="2"/>
      <scheme val="minor"/>
    </font>
    <font>
      <sz val="11"/>
      <color rgb="FF0000FF"/>
      <name val="Aptos Narrow"/>
      <family val="2"/>
      <scheme val="minor"/>
    </font>
    <font>
      <sz val="12"/>
      <color rgb="FF0000FF"/>
      <name val="Aptos Narrow"/>
      <family val="2"/>
      <scheme val="minor"/>
    </font>
    <font>
      <i/>
      <sz val="11"/>
      <color indexed="8"/>
      <name val="Aptos Narrow"/>
      <family val="2"/>
      <scheme val="minor"/>
    </font>
    <font>
      <b/>
      <sz val="18"/>
      <color theme="1"/>
      <name val="Aptos Narrow"/>
      <family val="2"/>
      <scheme val="minor"/>
    </font>
    <font>
      <b/>
      <sz val="16"/>
      <color theme="0"/>
      <name val="Aptos Narrow"/>
      <family val="2"/>
      <scheme val="minor"/>
    </font>
    <font>
      <sz val="11"/>
      <color theme="2" tint="-0.249977111117893"/>
      <name val="Aptos Narrow"/>
      <family val="2"/>
      <scheme val="minor"/>
    </font>
    <font>
      <u/>
      <sz val="11"/>
      <color theme="10"/>
      <name val="Aptos Narrow"/>
      <family val="2"/>
      <scheme val="minor"/>
    </font>
    <font>
      <b/>
      <u/>
      <sz val="11"/>
      <color theme="1"/>
      <name val="Aptos"/>
      <family val="2"/>
    </font>
    <font>
      <sz val="11"/>
      <color theme="1"/>
      <name val="Symbol"/>
      <family val="2"/>
      <charset val="2"/>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3" tint="0.59999389629810485"/>
        <bgColor indexed="64"/>
      </patternFill>
    </fill>
    <fill>
      <patternFill patternType="solid">
        <fgColor indexed="43"/>
        <bgColor indexed="64"/>
      </patternFill>
    </fill>
    <fill>
      <patternFill patternType="solid">
        <fgColor theme="1"/>
        <bgColor indexed="64"/>
      </patternFill>
    </fill>
  </fills>
  <borders count="31">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top style="thin">
        <color indexed="64"/>
      </top>
      <bottom style="hair">
        <color indexed="22"/>
      </bottom>
      <diagonal/>
    </border>
    <border>
      <left/>
      <right/>
      <top/>
      <bottom style="hair">
        <color indexed="22"/>
      </bottom>
      <diagonal/>
    </border>
    <border>
      <left/>
      <right/>
      <top style="hair">
        <color indexed="22"/>
      </top>
      <bottom style="hair">
        <color indexed="22"/>
      </bottom>
      <diagonal/>
    </border>
    <border>
      <left style="hair">
        <color indexed="22"/>
      </left>
      <right style="hair">
        <color indexed="22"/>
      </right>
      <top style="hair">
        <color indexed="22"/>
      </top>
      <bottom style="hair">
        <color indexed="22"/>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alignment vertical="top"/>
      <protection locked="0"/>
    </xf>
    <xf numFmtId="0" fontId="30" fillId="0" borderId="0" applyNumberFormat="0" applyFill="0" applyBorder="0" applyAlignment="0" applyProtection="0"/>
  </cellStyleXfs>
  <cellXfs count="278">
    <xf numFmtId="0" fontId="0" fillId="0" borderId="0" xfId="0"/>
    <xf numFmtId="0" fontId="0" fillId="0" borderId="0" xfId="0" applyAlignment="1">
      <alignment horizontal="center"/>
    </xf>
    <xf numFmtId="0" fontId="0" fillId="0" borderId="0" xfId="0" applyAlignment="1">
      <alignment wrapText="1"/>
    </xf>
    <xf numFmtId="0" fontId="0" fillId="0" borderId="1" xfId="0" applyBorder="1" applyAlignment="1">
      <alignment wrapText="1"/>
    </xf>
    <xf numFmtId="0" fontId="0" fillId="0" borderId="0" xfId="0" applyAlignment="1">
      <alignment horizontal="left"/>
    </xf>
    <xf numFmtId="165" fontId="0" fillId="0" borderId="0" xfId="2" applyNumberFormat="1" applyFont="1"/>
    <xf numFmtId="0" fontId="0" fillId="0" borderId="1" xfId="0" applyBorder="1" applyAlignment="1">
      <alignment horizontal="center"/>
    </xf>
    <xf numFmtId="0" fontId="0" fillId="0" borderId="0" xfId="0" applyAlignment="1">
      <alignment horizontal="left" indent="1"/>
    </xf>
    <xf numFmtId="0" fontId="0" fillId="0" borderId="2" xfId="0" applyBorder="1"/>
    <xf numFmtId="0" fontId="0" fillId="0" borderId="2" xfId="0" applyBorder="1" applyAlignment="1">
      <alignment horizontal="center"/>
    </xf>
    <xf numFmtId="165" fontId="0" fillId="0" borderId="2" xfId="2" applyNumberFormat="1" applyFont="1" applyBorder="1"/>
    <xf numFmtId="0" fontId="2" fillId="0" borderId="0" xfId="0" applyFont="1" applyAlignment="1">
      <alignment horizontal="left"/>
    </xf>
    <xf numFmtId="165" fontId="0" fillId="0" borderId="0" xfId="2" applyNumberFormat="1" applyFont="1" applyAlignment="1">
      <alignment horizontal="left" indent="1"/>
    </xf>
    <xf numFmtId="165" fontId="0" fillId="0" borderId="1" xfId="2" applyNumberFormat="1" applyFont="1" applyBorder="1" applyAlignment="1">
      <alignment horizontal="left" indent="1"/>
    </xf>
    <xf numFmtId="0" fontId="0" fillId="0" borderId="0" xfId="0" applyAlignment="1">
      <alignment horizontal="center" wrapText="1"/>
    </xf>
    <xf numFmtId="0" fontId="0" fillId="0" borderId="0" xfId="0" applyAlignment="1">
      <alignment horizontal="left" wrapText="1"/>
    </xf>
    <xf numFmtId="0" fontId="6" fillId="0" borderId="0" xfId="0" applyFont="1" applyAlignment="1">
      <alignment horizontal="left"/>
    </xf>
    <xf numFmtId="0" fontId="0" fillId="0" borderId="1" xfId="0" applyBorder="1" applyAlignment="1">
      <alignment horizontal="left" indent="1"/>
    </xf>
    <xf numFmtId="165" fontId="0" fillId="0" borderId="0" xfId="2" applyNumberFormat="1" applyFont="1" applyBorder="1" applyAlignment="1">
      <alignment horizontal="right" wrapText="1"/>
    </xf>
    <xf numFmtId="0" fontId="2" fillId="0" borderId="1" xfId="0" applyFont="1" applyBorder="1" applyAlignment="1">
      <alignment horizontal="center" wrapText="1"/>
    </xf>
    <xf numFmtId="0" fontId="2" fillId="0" borderId="1" xfId="0" applyFont="1" applyBorder="1" applyAlignment="1">
      <alignment horizontal="left" wrapText="1"/>
    </xf>
    <xf numFmtId="0" fontId="2" fillId="0" borderId="1" xfId="0" applyFont="1" applyBorder="1" applyAlignment="1">
      <alignment horizontal="right" wrapText="1"/>
    </xf>
    <xf numFmtId="165" fontId="0" fillId="0" borderId="0" xfId="2" applyNumberFormat="1" applyFont="1" applyBorder="1"/>
    <xf numFmtId="0" fontId="2" fillId="0" borderId="1" xfId="0" applyFont="1" applyBorder="1" applyAlignment="1">
      <alignment wrapText="1"/>
    </xf>
    <xf numFmtId="0" fontId="2" fillId="0" borderId="1" xfId="0" applyFont="1" applyBorder="1"/>
    <xf numFmtId="165" fontId="9" fillId="0" borderId="2" xfId="2" applyNumberFormat="1" applyFont="1" applyBorder="1"/>
    <xf numFmtId="0" fontId="0" fillId="0" borderId="5" xfId="0" applyBorder="1" applyAlignment="1">
      <alignment horizontal="center"/>
    </xf>
    <xf numFmtId="165" fontId="8" fillId="0" borderId="0" xfId="2" applyNumberFormat="1" applyFont="1" applyAlignment="1">
      <alignment horizontal="right"/>
    </xf>
    <xf numFmtId="165" fontId="0" fillId="0" borderId="6" xfId="2" applyNumberFormat="1" applyFont="1" applyBorder="1" applyAlignment="1">
      <alignment horizontal="right" wrapText="1"/>
    </xf>
    <xf numFmtId="165" fontId="0" fillId="0" borderId="6" xfId="2" applyNumberFormat="1" applyFont="1" applyBorder="1"/>
    <xf numFmtId="165" fontId="0" fillId="0" borderId="7" xfId="2" applyNumberFormat="1" applyFont="1" applyBorder="1"/>
    <xf numFmtId="165" fontId="8" fillId="0" borderId="6" xfId="2" applyNumberFormat="1" applyFont="1" applyBorder="1"/>
    <xf numFmtId="165" fontId="0" fillId="0" borderId="8" xfId="2" applyNumberFormat="1" applyFont="1" applyBorder="1"/>
    <xf numFmtId="0" fontId="2" fillId="0" borderId="3" xfId="0" applyFont="1" applyBorder="1" applyAlignment="1">
      <alignment horizontal="left" indent="1"/>
    </xf>
    <xf numFmtId="165" fontId="2" fillId="0" borderId="4" xfId="2" applyNumberFormat="1" applyFont="1" applyBorder="1"/>
    <xf numFmtId="165" fontId="2" fillId="0" borderId="3" xfId="2" applyNumberFormat="1" applyFont="1" applyBorder="1"/>
    <xf numFmtId="0" fontId="11" fillId="0" borderId="0" xfId="0" applyFont="1" applyAlignment="1">
      <alignment horizontal="right"/>
    </xf>
    <xf numFmtId="0" fontId="8" fillId="0" borderId="0" xfId="0" applyFont="1" applyAlignment="1">
      <alignment horizontal="right" wrapText="1"/>
    </xf>
    <xf numFmtId="0" fontId="11" fillId="0" borderId="0" xfId="0" applyFont="1" applyAlignment="1">
      <alignment horizontal="left" indent="1"/>
    </xf>
    <xf numFmtId="0" fontId="10" fillId="0" borderId="0" xfId="0" applyFont="1" applyAlignment="1">
      <alignment horizontal="center"/>
    </xf>
    <xf numFmtId="0" fontId="11" fillId="0" borderId="0" xfId="0" applyFont="1" applyAlignment="1">
      <alignment horizontal="right" indent="2"/>
    </xf>
    <xf numFmtId="0" fontId="0" fillId="0" borderId="10" xfId="0" applyBorder="1" applyAlignment="1">
      <alignment horizontal="center"/>
    </xf>
    <xf numFmtId="0" fontId="0" fillId="0" borderId="11" xfId="0" applyBorder="1"/>
    <xf numFmtId="0" fontId="0" fillId="0" borderId="9" xfId="0" applyBorder="1" applyAlignment="1">
      <alignment horizontal="center" wrapText="1"/>
    </xf>
    <xf numFmtId="0" fontId="0" fillId="0" borderId="13" xfId="0" applyBorder="1" applyAlignment="1">
      <alignment horizontal="left" wrapText="1"/>
    </xf>
    <xf numFmtId="0" fontId="0" fillId="0" borderId="14" xfId="0" applyBorder="1" applyAlignment="1">
      <alignment horizontal="center"/>
    </xf>
    <xf numFmtId="0" fontId="0" fillId="0" borderId="15" xfId="0" applyBorder="1"/>
    <xf numFmtId="0" fontId="0" fillId="0" borderId="9" xfId="0" applyBorder="1" applyAlignment="1">
      <alignment horizontal="center"/>
    </xf>
    <xf numFmtId="0" fontId="0" fillId="0" borderId="13" xfId="0" applyBorder="1"/>
    <xf numFmtId="0" fontId="2" fillId="0" borderId="9" xfId="0" applyFont="1" applyBorder="1" applyAlignment="1">
      <alignment horizontal="center" wrapText="1"/>
    </xf>
    <xf numFmtId="0" fontId="2" fillId="0" borderId="13" xfId="0" applyFont="1" applyBorder="1" applyAlignment="1">
      <alignment horizontal="left" wrapText="1"/>
    </xf>
    <xf numFmtId="0" fontId="0" fillId="0" borderId="14" xfId="0" applyBorder="1" applyAlignment="1">
      <alignment horizontal="center" wrapText="1"/>
    </xf>
    <xf numFmtId="165" fontId="0" fillId="0" borderId="0" xfId="2" applyNumberFormat="1" applyFont="1" applyBorder="1" applyAlignment="1">
      <alignment horizontal="left" indent="1"/>
    </xf>
    <xf numFmtId="0" fontId="0" fillId="0" borderId="16" xfId="0" applyBorder="1" applyAlignment="1">
      <alignment horizontal="center"/>
    </xf>
    <xf numFmtId="0" fontId="5" fillId="0" borderId="11" xfId="0" applyFont="1" applyBorder="1"/>
    <xf numFmtId="0" fontId="11" fillId="0" borderId="17" xfId="0" applyFont="1" applyBorder="1" applyAlignment="1">
      <alignment horizontal="right"/>
    </xf>
    <xf numFmtId="0" fontId="0" fillId="5" borderId="6" xfId="0" applyFill="1" applyBorder="1"/>
    <xf numFmtId="0" fontId="0" fillId="0" borderId="6" xfId="0" applyBorder="1"/>
    <xf numFmtId="0" fontId="5" fillId="0" borderId="18" xfId="0" applyFont="1" applyBorder="1"/>
    <xf numFmtId="0" fontId="0" fillId="0" borderId="7" xfId="0" applyBorder="1" applyAlignment="1">
      <alignment horizontal="right" wrapText="1"/>
    </xf>
    <xf numFmtId="0" fontId="2" fillId="0" borderId="7" xfId="0" applyFont="1" applyBorder="1" applyAlignment="1">
      <alignment horizontal="right" wrapText="1"/>
    </xf>
    <xf numFmtId="165" fontId="0" fillId="5" borderId="6" xfId="2" applyNumberFormat="1" applyFont="1" applyFill="1" applyBorder="1"/>
    <xf numFmtId="165" fontId="0" fillId="5" borderId="7" xfId="2" applyNumberFormat="1" applyFont="1" applyFill="1" applyBorder="1"/>
    <xf numFmtId="0" fontId="0" fillId="0" borderId="11" xfId="0" applyBorder="1" applyAlignment="1">
      <alignment horizontal="center"/>
    </xf>
    <xf numFmtId="0" fontId="5" fillId="0" borderId="10" xfId="0" applyFont="1" applyBorder="1" applyAlignment="1">
      <alignment horizontal="left" indent="1"/>
    </xf>
    <xf numFmtId="0" fontId="5" fillId="0" borderId="0" xfId="0" applyFont="1" applyAlignment="1">
      <alignment horizontal="right" indent="2"/>
    </xf>
    <xf numFmtId="0" fontId="5" fillId="0" borderId="17" xfId="0" applyFont="1" applyBorder="1" applyAlignment="1">
      <alignment horizontal="right"/>
    </xf>
    <xf numFmtId="0" fontId="5" fillId="0" borderId="0" xfId="0" applyFont="1"/>
    <xf numFmtId="0" fontId="11" fillId="0" borderId="6" xfId="0" applyFont="1" applyBorder="1"/>
    <xf numFmtId="0" fontId="0" fillId="3" borderId="6" xfId="0" applyFill="1" applyBorder="1"/>
    <xf numFmtId="0" fontId="0" fillId="3" borderId="8" xfId="0" applyFill="1" applyBorder="1"/>
    <xf numFmtId="0" fontId="0" fillId="3" borderId="7" xfId="0" applyFill="1" applyBorder="1"/>
    <xf numFmtId="166" fontId="0" fillId="0" borderId="6" xfId="1" applyNumberFormat="1" applyFont="1" applyBorder="1"/>
    <xf numFmtId="164" fontId="8" fillId="0" borderId="6" xfId="3" applyNumberFormat="1" applyFont="1" applyBorder="1"/>
    <xf numFmtId="166" fontId="2" fillId="0" borderId="7" xfId="1" applyNumberFormat="1" applyFont="1" applyBorder="1" applyAlignment="1">
      <alignment horizontal="right" wrapText="1"/>
    </xf>
    <xf numFmtId="164" fontId="0" fillId="0" borderId="7" xfId="3" applyNumberFormat="1" applyFont="1" applyBorder="1"/>
    <xf numFmtId="165" fontId="0" fillId="0" borderId="6" xfId="2" applyNumberFormat="1" applyFont="1" applyFill="1" applyBorder="1"/>
    <xf numFmtId="165" fontId="0" fillId="0" borderId="0" xfId="2" applyNumberFormat="1" applyFont="1" applyBorder="1" applyAlignment="1">
      <alignment horizontal="right" indent="1"/>
    </xf>
    <xf numFmtId="165" fontId="8" fillId="0" borderId="0" xfId="2" applyNumberFormat="1" applyFont="1" applyBorder="1" applyAlignment="1">
      <alignment horizontal="right" indent="1"/>
    </xf>
    <xf numFmtId="0" fontId="0" fillId="5" borderId="6" xfId="2" applyNumberFormat="1" applyFont="1" applyFill="1" applyBorder="1"/>
    <xf numFmtId="0" fontId="0" fillId="6" borderId="6" xfId="0" applyFill="1" applyBorder="1"/>
    <xf numFmtId="164" fontId="8" fillId="6" borderId="6" xfId="3" applyNumberFormat="1" applyFont="1" applyFill="1" applyBorder="1"/>
    <xf numFmtId="0" fontId="11" fillId="0" borderId="0" xfId="0" applyFont="1" applyAlignment="1">
      <alignment horizontal="right" indent="1"/>
    </xf>
    <xf numFmtId="0" fontId="2" fillId="0" borderId="0" xfId="0" applyFont="1" applyAlignment="1">
      <alignment horizontal="center" wrapText="1"/>
    </xf>
    <xf numFmtId="0" fontId="2" fillId="0" borderId="0" xfId="0" applyFont="1" applyAlignment="1">
      <alignment horizontal="right" indent="2"/>
    </xf>
    <xf numFmtId="0" fontId="5" fillId="0" borderId="10" xfId="0" applyFont="1" applyBorder="1"/>
    <xf numFmtId="0" fontId="0" fillId="0" borderId="12" xfId="0" applyBorder="1" applyAlignment="1">
      <alignment wrapText="1"/>
    </xf>
    <xf numFmtId="0" fontId="7" fillId="0" borderId="14" xfId="0" applyFont="1" applyBorder="1"/>
    <xf numFmtId="0" fontId="7" fillId="0" borderId="9" xfId="0" applyFont="1" applyBorder="1" applyAlignment="1">
      <alignment wrapText="1"/>
    </xf>
    <xf numFmtId="0" fontId="0" fillId="0" borderId="0" xfId="0" applyAlignment="1">
      <alignment horizontal="left" wrapText="1" indent="1"/>
    </xf>
    <xf numFmtId="0" fontId="0" fillId="0" borderId="12" xfId="0" applyBorder="1" applyAlignment="1">
      <alignment horizontal="left" wrapText="1" indent="1"/>
    </xf>
    <xf numFmtId="0" fontId="2" fillId="0" borderId="9" xfId="0" applyFont="1" applyBorder="1" applyAlignment="1">
      <alignment wrapText="1"/>
    </xf>
    <xf numFmtId="0" fontId="2" fillId="0" borderId="13" xfId="0" applyFont="1" applyBorder="1" applyAlignment="1">
      <alignment horizontal="left" wrapText="1" indent="1"/>
    </xf>
    <xf numFmtId="0" fontId="6" fillId="0" borderId="14" xfId="0" applyFont="1" applyBorder="1" applyAlignment="1">
      <alignment horizontal="left" indent="1"/>
    </xf>
    <xf numFmtId="0" fontId="0" fillId="0" borderId="14" xfId="0" applyBorder="1" applyAlignment="1">
      <alignment horizontal="left" indent="2"/>
    </xf>
    <xf numFmtId="0" fontId="2" fillId="0" borderId="9" xfId="0" applyFont="1" applyBorder="1"/>
    <xf numFmtId="0" fontId="2" fillId="0" borderId="1" xfId="0" applyFont="1" applyBorder="1" applyAlignment="1">
      <alignment horizontal="center"/>
    </xf>
    <xf numFmtId="0" fontId="6" fillId="0" borderId="10" xfId="0" applyFont="1" applyBorder="1" applyAlignment="1">
      <alignment horizontal="left" indent="1"/>
    </xf>
    <xf numFmtId="0" fontId="0" fillId="0" borderId="9" xfId="0" applyBorder="1" applyAlignment="1">
      <alignment horizontal="left" wrapText="1" indent="2"/>
    </xf>
    <xf numFmtId="0" fontId="2" fillId="0" borderId="9" xfId="0" applyFont="1" applyBorder="1" applyAlignment="1">
      <alignment horizontal="left" indent="2"/>
    </xf>
    <xf numFmtId="10" fontId="7" fillId="0" borderId="6" xfId="3" applyNumberFormat="1" applyFont="1" applyBorder="1"/>
    <xf numFmtId="0" fontId="2" fillId="0" borderId="6" xfId="0" applyFont="1" applyBorder="1" applyAlignment="1">
      <alignment horizontal="right" wrapText="1"/>
    </xf>
    <xf numFmtId="165" fontId="2" fillId="0" borderId="7" xfId="2" applyNumberFormat="1" applyFont="1" applyBorder="1"/>
    <xf numFmtId="165" fontId="0" fillId="0" borderId="18" xfId="2" applyNumberFormat="1" applyFont="1" applyBorder="1"/>
    <xf numFmtId="165" fontId="4" fillId="0" borderId="6" xfId="0" applyNumberFormat="1" applyFont="1" applyBorder="1" applyAlignment="1">
      <alignment horizontal="right"/>
    </xf>
    <xf numFmtId="165" fontId="4" fillId="0" borderId="7" xfId="0" applyNumberFormat="1" applyFont="1" applyBorder="1" applyAlignment="1">
      <alignment horizontal="right"/>
    </xf>
    <xf numFmtId="164" fontId="7" fillId="0" borderId="6" xfId="3" applyNumberFormat="1" applyFont="1" applyBorder="1"/>
    <xf numFmtId="165" fontId="0" fillId="6" borderId="7" xfId="2" applyNumberFormat="1" applyFont="1" applyFill="1" applyBorder="1"/>
    <xf numFmtId="0" fontId="12" fillId="0" borderId="9" xfId="0" applyFont="1" applyBorder="1"/>
    <xf numFmtId="0" fontId="12" fillId="0" borderId="7" xfId="0" applyFont="1" applyBorder="1" applyAlignment="1">
      <alignment horizontal="right" wrapText="1"/>
    </xf>
    <xf numFmtId="0" fontId="12" fillId="0" borderId="13" xfId="0" applyFont="1" applyBorder="1" applyAlignment="1">
      <alignment horizontal="left" wrapText="1" indent="1"/>
    </xf>
    <xf numFmtId="0" fontId="8" fillId="0" borderId="15" xfId="0" applyFont="1" applyBorder="1" applyAlignment="1">
      <alignment horizontal="left" wrapText="1" indent="1"/>
    </xf>
    <xf numFmtId="0" fontId="8" fillId="0" borderId="13" xfId="0" applyFont="1" applyBorder="1" applyAlignment="1">
      <alignment horizontal="left" wrapText="1" indent="1"/>
    </xf>
    <xf numFmtId="0" fontId="13" fillId="0" borderId="15" xfId="0" applyFont="1" applyBorder="1" applyAlignment="1">
      <alignment horizontal="left" wrapText="1" indent="1"/>
    </xf>
    <xf numFmtId="0" fontId="8" fillId="0" borderId="0" xfId="0" applyFont="1" applyAlignment="1">
      <alignment horizontal="left" wrapText="1" indent="1"/>
    </xf>
    <xf numFmtId="0" fontId="8" fillId="0" borderId="12" xfId="0" applyFont="1" applyBorder="1" applyAlignment="1">
      <alignment horizontal="left" wrapText="1" indent="1"/>
    </xf>
    <xf numFmtId="0" fontId="8" fillId="0" borderId="2" xfId="0" applyFont="1" applyBorder="1" applyAlignment="1">
      <alignment horizontal="left" wrapText="1" indent="1"/>
    </xf>
    <xf numFmtId="0" fontId="6" fillId="0" borderId="0" xfId="0" applyFont="1" applyAlignment="1">
      <alignment wrapText="1"/>
    </xf>
    <xf numFmtId="0" fontId="7" fillId="0" borderId="0" xfId="0" applyFont="1" applyAlignment="1">
      <alignment horizontal="right" indent="2"/>
    </xf>
    <xf numFmtId="165" fontId="0" fillId="6" borderId="6" xfId="2" applyNumberFormat="1" applyFont="1" applyFill="1" applyBorder="1"/>
    <xf numFmtId="165" fontId="7" fillId="0" borderId="6" xfId="2" applyNumberFormat="1" applyFont="1" applyFill="1" applyBorder="1"/>
    <xf numFmtId="43" fontId="7" fillId="0" borderId="7" xfId="1" applyFont="1" applyBorder="1"/>
    <xf numFmtId="0" fontId="6" fillId="0" borderId="2" xfId="0" applyFont="1" applyBorder="1" applyAlignment="1">
      <alignment wrapText="1"/>
    </xf>
    <xf numFmtId="165" fontId="0" fillId="0" borderId="6" xfId="0" applyNumberFormat="1" applyBorder="1"/>
    <xf numFmtId="0" fontId="7" fillId="6" borderId="6" xfId="0" applyFont="1" applyFill="1" applyBorder="1"/>
    <xf numFmtId="0" fontId="7" fillId="6" borderId="8" xfId="0" applyFont="1" applyFill="1" applyBorder="1"/>
    <xf numFmtId="0" fontId="7" fillId="6" borderId="7" xfId="0" applyFont="1" applyFill="1" applyBorder="1"/>
    <xf numFmtId="0" fontId="5" fillId="0" borderId="6" xfId="0" applyFont="1" applyBorder="1"/>
    <xf numFmtId="44" fontId="7" fillId="0" borderId="6" xfId="0" applyNumberFormat="1" applyFont="1" applyBorder="1"/>
    <xf numFmtId="44" fontId="7" fillId="0" borderId="8" xfId="0" applyNumberFormat="1" applyFont="1" applyBorder="1"/>
    <xf numFmtId="44" fontId="7" fillId="0" borderId="7" xfId="0" applyNumberFormat="1" applyFont="1" applyBorder="1"/>
    <xf numFmtId="0" fontId="8" fillId="6" borderId="6" xfId="0" applyFont="1" applyFill="1" applyBorder="1"/>
    <xf numFmtId="0" fontId="2" fillId="0" borderId="10" xfId="0" applyFont="1" applyBorder="1" applyAlignment="1">
      <alignment horizontal="center" wrapText="1"/>
    </xf>
    <xf numFmtId="0" fontId="6" fillId="0" borderId="11" xfId="0" applyFont="1" applyBorder="1" applyAlignment="1">
      <alignment wrapText="1"/>
    </xf>
    <xf numFmtId="0" fontId="2" fillId="0" borderId="11" xfId="0" applyFont="1" applyBorder="1" applyAlignment="1">
      <alignment wrapText="1"/>
    </xf>
    <xf numFmtId="0" fontId="2" fillId="0" borderId="18" xfId="0" applyFont="1" applyBorder="1" applyAlignment="1">
      <alignment horizontal="right" wrapText="1"/>
    </xf>
    <xf numFmtId="0" fontId="2" fillId="0" borderId="12" xfId="0" applyFont="1" applyBorder="1" applyAlignment="1">
      <alignment horizontal="left" wrapText="1"/>
    </xf>
    <xf numFmtId="0" fontId="7" fillId="0" borderId="0" xfId="0" applyFont="1" applyAlignment="1">
      <alignment horizontal="right" wrapText="1" indent="1"/>
    </xf>
    <xf numFmtId="0" fontId="7" fillId="0" borderId="15" xfId="0" applyFont="1" applyBorder="1" applyAlignment="1">
      <alignment wrapText="1"/>
    </xf>
    <xf numFmtId="0" fontId="7" fillId="0" borderId="0" xfId="0" applyFont="1" applyAlignment="1">
      <alignment horizontal="left" wrapText="1" indent="1"/>
    </xf>
    <xf numFmtId="0" fontId="7" fillId="0" borderId="19" xfId="0" applyFont="1" applyBorder="1" applyAlignment="1">
      <alignment wrapText="1"/>
    </xf>
    <xf numFmtId="0" fontId="2" fillId="0" borderId="14" xfId="0" applyFont="1" applyBorder="1" applyAlignment="1">
      <alignment horizontal="center"/>
    </xf>
    <xf numFmtId="0" fontId="2" fillId="0" borderId="0" xfId="0" applyFont="1"/>
    <xf numFmtId="0" fontId="7" fillId="0" borderId="1" xfId="0" applyFont="1" applyBorder="1" applyAlignment="1">
      <alignment horizontal="right" wrapText="1" indent="1"/>
    </xf>
    <xf numFmtId="0" fontId="6" fillId="0" borderId="0" xfId="0" applyFont="1"/>
    <xf numFmtId="0" fontId="6" fillId="0" borderId="11" xfId="0" applyFont="1" applyBorder="1"/>
    <xf numFmtId="0" fontId="7" fillId="0" borderId="19" xfId="0" applyFont="1" applyBorder="1" applyAlignment="1">
      <alignment horizontal="right" wrapText="1" indent="1"/>
    </xf>
    <xf numFmtId="0" fontId="0" fillId="0" borderId="10" xfId="0" applyBorder="1" applyAlignment="1">
      <alignment horizontal="center" wrapText="1"/>
    </xf>
    <xf numFmtId="0" fontId="14" fillId="0" borderId="0" xfId="0" applyFont="1" applyAlignment="1">
      <alignment horizontal="left"/>
    </xf>
    <xf numFmtId="165" fontId="8" fillId="0" borderId="0" xfId="2" applyNumberFormat="1" applyFont="1" applyBorder="1" applyAlignment="1">
      <alignment horizontal="right"/>
    </xf>
    <xf numFmtId="165" fontId="8" fillId="0" borderId="11" xfId="2" applyNumberFormat="1" applyFont="1" applyBorder="1" applyAlignment="1">
      <alignment horizontal="right"/>
    </xf>
    <xf numFmtId="165" fontId="8" fillId="0" borderId="1" xfId="2" applyNumberFormat="1" applyFont="1" applyBorder="1" applyAlignment="1">
      <alignment horizontal="right" indent="1"/>
    </xf>
    <xf numFmtId="0" fontId="0" fillId="0" borderId="7" xfId="2" applyNumberFormat="1" applyFont="1" applyFill="1" applyBorder="1"/>
    <xf numFmtId="165" fontId="8" fillId="0" borderId="7" xfId="2" applyNumberFormat="1" applyFont="1" applyBorder="1"/>
    <xf numFmtId="165" fontId="0" fillId="0" borderId="21" xfId="2" applyNumberFormat="1" applyFont="1" applyBorder="1"/>
    <xf numFmtId="165" fontId="1" fillId="0" borderId="7" xfId="2" applyNumberFormat="1" applyFont="1" applyBorder="1"/>
    <xf numFmtId="165" fontId="8" fillId="0" borderId="18" xfId="2" applyNumberFormat="1" applyFont="1" applyBorder="1"/>
    <xf numFmtId="165" fontId="0" fillId="0" borderId="4" xfId="2" applyNumberFormat="1" applyFont="1" applyBorder="1" applyAlignment="1">
      <alignment horizontal="right" wrapText="1"/>
    </xf>
    <xf numFmtId="0" fontId="2" fillId="0" borderId="5" xfId="0" applyFont="1" applyBorder="1" applyAlignment="1">
      <alignment horizontal="center"/>
    </xf>
    <xf numFmtId="0" fontId="5" fillId="0" borderId="0" xfId="0" applyFont="1" applyAlignment="1">
      <alignment horizontal="right" indent="1"/>
    </xf>
    <xf numFmtId="165" fontId="5" fillId="0" borderId="6" xfId="2" applyNumberFormat="1" applyFont="1" applyBorder="1"/>
    <xf numFmtId="165" fontId="0" fillId="0" borderId="20" xfId="2" applyNumberFormat="1" applyFont="1" applyBorder="1" applyAlignment="1">
      <alignment horizontal="right" indent="1"/>
    </xf>
    <xf numFmtId="165" fontId="8" fillId="0" borderId="4" xfId="2" applyNumberFormat="1" applyFont="1" applyBorder="1"/>
    <xf numFmtId="165" fontId="8" fillId="5" borderId="4" xfId="2" applyNumberFormat="1" applyFont="1" applyFill="1" applyBorder="1"/>
    <xf numFmtId="0" fontId="2" fillId="0" borderId="1" xfId="0" applyFont="1" applyBorder="1" applyAlignment="1">
      <alignment horizontal="right" indent="1"/>
    </xf>
    <xf numFmtId="165" fontId="0" fillId="0" borderId="4" xfId="2" applyNumberFormat="1" applyFont="1" applyFill="1" applyBorder="1" applyAlignment="1">
      <alignment horizontal="right" wrapText="1"/>
    </xf>
    <xf numFmtId="0" fontId="5" fillId="0" borderId="3" xfId="0" applyFont="1" applyBorder="1" applyAlignment="1">
      <alignment horizontal="left" wrapText="1"/>
    </xf>
    <xf numFmtId="0" fontId="10" fillId="0" borderId="0" xfId="0" applyFont="1"/>
    <xf numFmtId="0" fontId="2" fillId="0" borderId="18" xfId="0" applyFont="1" applyBorder="1" applyAlignment="1">
      <alignment horizontal="center"/>
    </xf>
    <xf numFmtId="0" fontId="2" fillId="0" borderId="9" xfId="0" applyFont="1" applyBorder="1" applyAlignment="1">
      <alignment horizontal="right" wrapText="1"/>
    </xf>
    <xf numFmtId="0" fontId="2" fillId="0" borderId="13" xfId="0" applyFont="1" applyBorder="1" applyAlignment="1">
      <alignment horizontal="right" wrapText="1"/>
    </xf>
    <xf numFmtId="165" fontId="0" fillId="0" borderId="14" xfId="2" applyNumberFormat="1" applyFont="1" applyBorder="1" applyAlignment="1">
      <alignment horizontal="right" wrapText="1"/>
    </xf>
    <xf numFmtId="165" fontId="0" fillId="0" borderId="14" xfId="2" applyNumberFormat="1" applyFont="1" applyBorder="1"/>
    <xf numFmtId="165" fontId="0" fillId="0" borderId="16" xfId="2" applyNumberFormat="1" applyFont="1" applyBorder="1"/>
    <xf numFmtId="165" fontId="2" fillId="0" borderId="5" xfId="2" applyNumberFormat="1" applyFont="1" applyBorder="1"/>
    <xf numFmtId="0" fontId="0" fillId="0" borderId="13" xfId="0" applyBorder="1" applyAlignment="1">
      <alignment horizontal="left" indent="1"/>
    </xf>
    <xf numFmtId="165" fontId="0" fillId="6" borderId="18" xfId="2" applyNumberFormat="1" applyFont="1" applyFill="1" applyBorder="1" applyAlignment="1">
      <alignment horizontal="right" wrapText="1"/>
    </xf>
    <xf numFmtId="165" fontId="0" fillId="0" borderId="7" xfId="2" applyNumberFormat="1" applyFont="1" applyFill="1" applyBorder="1"/>
    <xf numFmtId="165" fontId="2" fillId="6" borderId="7" xfId="2" applyNumberFormat="1" applyFont="1" applyFill="1" applyBorder="1"/>
    <xf numFmtId="0" fontId="2" fillId="0" borderId="10" xfId="0" applyFont="1" applyBorder="1" applyAlignment="1">
      <alignment horizontal="left" indent="1"/>
    </xf>
    <xf numFmtId="0" fontId="2" fillId="0" borderId="11" xfId="0" applyFont="1" applyBorder="1"/>
    <xf numFmtId="0" fontId="2" fillId="0" borderId="12" xfId="0" applyFont="1" applyBorder="1"/>
    <xf numFmtId="165" fontId="0" fillId="0" borderId="1" xfId="2" applyNumberFormat="1" applyFont="1" applyBorder="1" applyAlignment="1">
      <alignment horizontal="right"/>
    </xf>
    <xf numFmtId="0" fontId="5" fillId="0" borderId="1" xfId="0" applyFont="1" applyBorder="1" applyAlignment="1">
      <alignment horizontal="left"/>
    </xf>
    <xf numFmtId="165" fontId="0" fillId="0" borderId="22" xfId="2" applyNumberFormat="1" applyFont="1" applyBorder="1" applyAlignment="1">
      <alignment horizontal="right" indent="1"/>
    </xf>
    <xf numFmtId="0" fontId="0" fillId="0" borderId="0" xfId="0" applyAlignment="1">
      <alignment vertical="top" wrapText="1"/>
    </xf>
    <xf numFmtId="0" fontId="15" fillId="7" borderId="23" xfId="0" applyFont="1" applyFill="1" applyBorder="1" applyAlignment="1">
      <alignment horizontal="center" vertical="top" wrapText="1"/>
    </xf>
    <xf numFmtId="0" fontId="0" fillId="0" borderId="0" xfId="0" applyAlignment="1">
      <alignment horizontal="left" vertical="top" wrapText="1"/>
    </xf>
    <xf numFmtId="0" fontId="2" fillId="8" borderId="25" xfId="0" applyFont="1" applyFill="1" applyBorder="1" applyAlignment="1">
      <alignment horizontal="left" vertical="top" wrapText="1"/>
    </xf>
    <xf numFmtId="0" fontId="21" fillId="0" borderId="0" xfId="0" applyFont="1" applyProtection="1">
      <protection locked="0"/>
    </xf>
    <xf numFmtId="167" fontId="23" fillId="0" borderId="0" xfId="0" applyNumberFormat="1" applyFont="1" applyAlignment="1">
      <alignment horizontal="center"/>
    </xf>
    <xf numFmtId="0" fontId="23" fillId="0" borderId="1" xfId="0" applyFont="1" applyBorder="1"/>
    <xf numFmtId="0" fontId="23" fillId="0" borderId="1" xfId="0" applyFont="1" applyBorder="1" applyAlignment="1">
      <alignment horizontal="center"/>
    </xf>
    <xf numFmtId="168" fontId="24" fillId="9" borderId="28" xfId="4" applyNumberFormat="1" applyFont="1" applyFill="1" applyBorder="1" applyAlignment="1" applyProtection="1">
      <alignment horizontal="center" wrapText="1"/>
      <protection locked="0"/>
    </xf>
    <xf numFmtId="0" fontId="26" fillId="0" borderId="0" xfId="0" applyFont="1"/>
    <xf numFmtId="0" fontId="23" fillId="0" borderId="0" xfId="0" applyFont="1"/>
    <xf numFmtId="0" fontId="24" fillId="9" borderId="30" xfId="0" applyFont="1" applyFill="1" applyBorder="1" applyAlignment="1" applyProtection="1">
      <alignment horizontal="center"/>
      <protection locked="0"/>
    </xf>
    <xf numFmtId="0" fontId="22" fillId="0" borderId="0" xfId="0" applyFont="1" applyAlignment="1">
      <alignment horizontal="left"/>
    </xf>
    <xf numFmtId="0" fontId="22" fillId="0" borderId="0" xfId="0" applyFont="1" applyAlignment="1">
      <alignment horizontal="center"/>
    </xf>
    <xf numFmtId="0" fontId="22" fillId="0" borderId="0" xfId="0" applyFont="1"/>
    <xf numFmtId="0" fontId="19" fillId="0" borderId="4" xfId="0" applyFont="1" applyBorder="1"/>
    <xf numFmtId="0" fontId="27" fillId="0" borderId="0" xfId="0" applyFont="1"/>
    <xf numFmtId="0" fontId="0" fillId="4" borderId="4" xfId="0" applyFill="1" applyBorder="1" applyAlignment="1" applyProtection="1">
      <alignment horizontal="center"/>
      <protection locked="0"/>
    </xf>
    <xf numFmtId="0" fontId="2" fillId="0" borderId="4" xfId="0" applyFont="1" applyBorder="1" applyAlignment="1">
      <alignment horizontal="center" wrapText="1"/>
    </xf>
    <xf numFmtId="0" fontId="0" fillId="0" borderId="2" xfId="0" applyBorder="1" applyAlignment="1">
      <alignment horizontal="left" wrapText="1"/>
    </xf>
    <xf numFmtId="0" fontId="17" fillId="0" borderId="25" xfId="0" applyFont="1" applyBorder="1" applyAlignment="1">
      <alignment horizontal="left" vertical="top" wrapText="1"/>
    </xf>
    <xf numFmtId="0" fontId="2" fillId="0" borderId="4" xfId="0" applyFont="1" applyBorder="1" applyAlignment="1">
      <alignment horizontal="left" indent="1"/>
    </xf>
    <xf numFmtId="0" fontId="0" fillId="4" borderId="4" xfId="0" applyFill="1" applyBorder="1" applyAlignment="1" applyProtection="1">
      <alignment horizontal="left" indent="1"/>
      <protection locked="0"/>
    </xf>
    <xf numFmtId="0" fontId="22" fillId="9" borderId="27" xfId="4" applyFont="1" applyFill="1" applyBorder="1" applyAlignment="1" applyProtection="1">
      <alignment horizontal="left" wrapText="1"/>
      <protection locked="0"/>
    </xf>
    <xf numFmtId="0" fontId="22" fillId="9" borderId="29" xfId="4" applyFont="1" applyFill="1" applyBorder="1" applyAlignment="1" applyProtection="1">
      <alignment horizontal="left" wrapText="1"/>
      <protection locked="0"/>
    </xf>
    <xf numFmtId="0" fontId="0" fillId="4" borderId="5" xfId="0" applyFill="1" applyBorder="1" applyProtection="1">
      <protection locked="0"/>
    </xf>
    <xf numFmtId="0" fontId="0" fillId="4" borderId="26" xfId="0" applyFill="1" applyBorder="1" applyProtection="1">
      <protection locked="0"/>
    </xf>
    <xf numFmtId="165" fontId="29" fillId="2" borderId="6" xfId="2" applyNumberFormat="1" applyFont="1" applyFill="1" applyBorder="1"/>
    <xf numFmtId="165" fontId="29" fillId="2" borderId="7" xfId="2" applyNumberFormat="1" applyFont="1" applyFill="1" applyBorder="1"/>
    <xf numFmtId="165" fontId="0" fillId="0" borderId="1" xfId="2" applyNumberFormat="1" applyFont="1" applyBorder="1" applyAlignment="1">
      <alignment horizontal="left" wrapText="1" indent="1"/>
    </xf>
    <xf numFmtId="1" fontId="0" fillId="0" borderId="6" xfId="0" applyNumberFormat="1" applyBorder="1"/>
    <xf numFmtId="0" fontId="0" fillId="0" borderId="24" xfId="0" applyBorder="1" applyAlignment="1">
      <alignment horizontal="left" vertical="top" wrapText="1"/>
    </xf>
    <xf numFmtId="0" fontId="17" fillId="0" borderId="25" xfId="0" applyFont="1" applyBorder="1" applyAlignment="1">
      <alignment horizontal="left" vertical="top" wrapText="1" indent="2"/>
    </xf>
    <xf numFmtId="0" fontId="32" fillId="0" borderId="25" xfId="0" applyFont="1" applyBorder="1" applyAlignment="1">
      <alignment horizontal="left" vertical="top" wrapText="1" indent="2"/>
    </xf>
    <xf numFmtId="0" fontId="17" fillId="0" borderId="24" xfId="0" applyFont="1" applyBorder="1" applyAlignment="1">
      <alignment horizontal="left" vertical="top" wrapText="1" indent="2"/>
    </xf>
    <xf numFmtId="0" fontId="28" fillId="7" borderId="23" xfId="0" applyFont="1" applyFill="1" applyBorder="1" applyAlignment="1">
      <alignment horizontal="center" vertical="top" wrapText="1"/>
    </xf>
    <xf numFmtId="0" fontId="0" fillId="0" borderId="25" xfId="0" applyBorder="1" applyAlignment="1">
      <alignment horizontal="left" vertical="top" wrapText="1"/>
    </xf>
    <xf numFmtId="0" fontId="0" fillId="0" borderId="25" xfId="0" applyBorder="1" applyAlignment="1">
      <alignment vertical="top" wrapText="1"/>
    </xf>
    <xf numFmtId="0" fontId="0" fillId="0" borderId="25" xfId="0" applyBorder="1" applyAlignment="1">
      <alignment horizontal="left" vertical="top" wrapText="1" indent="2"/>
    </xf>
    <xf numFmtId="0" fontId="0" fillId="0" borderId="25" xfId="0" applyBorder="1" applyAlignment="1">
      <alignment horizontal="left" vertical="top" indent="2"/>
    </xf>
    <xf numFmtId="0" fontId="30" fillId="0" borderId="0" xfId="5" applyBorder="1" applyAlignment="1">
      <alignment horizontal="left" vertical="top" wrapText="1" indent="1"/>
    </xf>
    <xf numFmtId="0" fontId="30" fillId="0" borderId="0" xfId="4" applyFont="1" applyFill="1" applyBorder="1" applyAlignment="1" applyProtection="1">
      <alignment horizontal="left" vertical="top" wrapText="1" indent="1"/>
    </xf>
    <xf numFmtId="164" fontId="0" fillId="4" borderId="14" xfId="0" applyNumberFormat="1" applyFill="1" applyBorder="1" applyAlignment="1" applyProtection="1">
      <alignment horizontal="center"/>
      <protection locked="0"/>
    </xf>
    <xf numFmtId="37" fontId="0" fillId="4" borderId="6" xfId="1" applyNumberFormat="1" applyFont="1" applyFill="1" applyBorder="1" applyProtection="1">
      <protection locked="0"/>
    </xf>
    <xf numFmtId="37" fontId="0" fillId="4" borderId="8" xfId="1" applyNumberFormat="1" applyFont="1" applyFill="1" applyBorder="1" applyProtection="1">
      <protection locked="0"/>
    </xf>
    <xf numFmtId="1" fontId="0" fillId="4" borderId="6" xfId="1" applyNumberFormat="1" applyFont="1" applyFill="1" applyBorder="1" applyProtection="1">
      <protection locked="0"/>
    </xf>
    <xf numFmtId="1" fontId="0" fillId="4" borderId="6" xfId="0" applyNumberFormat="1" applyFill="1" applyBorder="1" applyProtection="1">
      <protection locked="0"/>
    </xf>
    <xf numFmtId="165" fontId="0" fillId="4" borderId="6" xfId="2" applyNumberFormat="1" applyFont="1" applyFill="1" applyBorder="1" applyProtection="1">
      <protection locked="0"/>
    </xf>
    <xf numFmtId="165" fontId="0" fillId="4" borderId="7" xfId="2" applyNumberFormat="1" applyFont="1" applyFill="1" applyBorder="1" applyProtection="1">
      <protection locked="0"/>
    </xf>
    <xf numFmtId="165" fontId="7" fillId="4" borderId="6" xfId="2" applyNumberFormat="1" applyFont="1" applyFill="1" applyBorder="1" applyProtection="1">
      <protection locked="0"/>
    </xf>
    <xf numFmtId="10" fontId="7" fillId="4" borderId="6" xfId="3" applyNumberFormat="1" applyFont="1" applyFill="1" applyBorder="1" applyProtection="1">
      <protection locked="0"/>
    </xf>
    <xf numFmtId="10" fontId="7" fillId="4" borderId="7" xfId="3" applyNumberFormat="1" applyFont="1" applyFill="1" applyBorder="1" applyProtection="1">
      <protection locked="0"/>
    </xf>
    <xf numFmtId="0" fontId="0" fillId="4" borderId="14" xfId="0" applyFill="1" applyBorder="1" applyAlignment="1" applyProtection="1">
      <alignment horizontal="left" indent="2"/>
      <protection locked="0"/>
    </xf>
    <xf numFmtId="0" fontId="0" fillId="4" borderId="0" xfId="0" applyFill="1" applyAlignment="1" applyProtection="1">
      <alignment horizontal="center"/>
      <protection locked="0"/>
    </xf>
    <xf numFmtId="0" fontId="0" fillId="4" borderId="9" xfId="0" applyFill="1" applyBorder="1" applyProtection="1">
      <protection locked="0"/>
    </xf>
    <xf numFmtId="0" fontId="0" fillId="4" borderId="1" xfId="0" applyFill="1" applyBorder="1" applyAlignment="1" applyProtection="1">
      <alignment horizontal="center"/>
      <protection locked="0"/>
    </xf>
    <xf numFmtId="0" fontId="8" fillId="0" borderId="13" xfId="0" applyFont="1" applyBorder="1" applyAlignment="1" applyProtection="1">
      <alignment horizontal="left" wrapText="1" indent="1"/>
      <protection locked="0"/>
    </xf>
    <xf numFmtId="0" fontId="7" fillId="4" borderId="0" xfId="0" applyFont="1" applyFill="1" applyAlignment="1" applyProtection="1">
      <alignment horizontal="left" wrapText="1" indent="1"/>
      <protection locked="0"/>
    </xf>
    <xf numFmtId="165" fontId="0" fillId="4" borderId="6" xfId="0" applyNumberFormat="1" applyFill="1" applyBorder="1" applyProtection="1">
      <protection locked="0"/>
    </xf>
    <xf numFmtId="0" fontId="7" fillId="4" borderId="15" xfId="0" applyFont="1" applyFill="1" applyBorder="1" applyAlignment="1" applyProtection="1">
      <alignment wrapText="1"/>
      <protection locked="0"/>
    </xf>
    <xf numFmtId="0" fontId="7" fillId="4" borderId="1" xfId="0" applyFont="1" applyFill="1" applyBorder="1" applyAlignment="1" applyProtection="1">
      <alignment horizontal="left" wrapText="1" indent="1"/>
      <protection locked="0"/>
    </xf>
    <xf numFmtId="165" fontId="0" fillId="4" borderId="7" xfId="0" applyNumberFormat="1" applyFill="1" applyBorder="1" applyProtection="1">
      <protection locked="0"/>
    </xf>
    <xf numFmtId="0" fontId="7" fillId="4" borderId="13" xfId="0" applyFont="1" applyFill="1" applyBorder="1" applyAlignment="1" applyProtection="1">
      <alignment wrapText="1"/>
      <protection locked="0"/>
    </xf>
    <xf numFmtId="165" fontId="0" fillId="4" borderId="14" xfId="2" applyNumberFormat="1" applyFont="1" applyFill="1" applyBorder="1" applyProtection="1">
      <protection locked="0"/>
    </xf>
    <xf numFmtId="165" fontId="0" fillId="4" borderId="0" xfId="2" applyNumberFormat="1" applyFont="1" applyFill="1" applyBorder="1" applyProtection="1">
      <protection locked="0"/>
    </xf>
    <xf numFmtId="165" fontId="0" fillId="4" borderId="9" xfId="2" applyNumberFormat="1" applyFont="1" applyFill="1" applyBorder="1" applyProtection="1">
      <protection locked="0"/>
    </xf>
    <xf numFmtId="165" fontId="0" fillId="4" borderId="1" xfId="2" applyNumberFormat="1" applyFont="1" applyFill="1" applyBorder="1" applyProtection="1">
      <protection locked="0"/>
    </xf>
    <xf numFmtId="0" fontId="7" fillId="4" borderId="0" xfId="0" applyFont="1" applyFill="1" applyAlignment="1" applyProtection="1">
      <alignment horizontal="left" wrapText="1"/>
      <protection locked="0"/>
    </xf>
    <xf numFmtId="0" fontId="7" fillId="4" borderId="9" xfId="0" applyFont="1" applyFill="1" applyBorder="1" applyAlignment="1" applyProtection="1">
      <alignment horizontal="left" wrapText="1"/>
      <protection locked="0"/>
    </xf>
    <xf numFmtId="0" fontId="0" fillId="0" borderId="15" xfId="0" applyBorder="1" applyAlignment="1" applyProtection="1">
      <alignment horizontal="left" wrapText="1"/>
      <protection locked="0"/>
    </xf>
    <xf numFmtId="0" fontId="0" fillId="0" borderId="15" xfId="0" applyBorder="1" applyAlignment="1" applyProtection="1">
      <alignment wrapText="1"/>
      <protection locked="0"/>
    </xf>
    <xf numFmtId="0" fontId="7" fillId="4" borderId="15" xfId="0" applyFont="1" applyFill="1" applyBorder="1" applyAlignment="1" applyProtection="1">
      <alignment horizontal="left" wrapText="1"/>
      <protection locked="0"/>
    </xf>
    <xf numFmtId="0" fontId="7" fillId="4" borderId="7" xfId="0" applyFont="1" applyFill="1" applyBorder="1" applyAlignment="1" applyProtection="1">
      <alignment horizontal="left" wrapText="1"/>
      <protection locked="0"/>
    </xf>
    <xf numFmtId="0" fontId="7" fillId="4" borderId="13" xfId="0" applyFont="1" applyFill="1" applyBorder="1" applyAlignment="1" applyProtection="1">
      <alignment horizontal="left" wrapText="1"/>
      <protection locked="0"/>
    </xf>
    <xf numFmtId="0" fontId="8" fillId="4" borderId="15" xfId="0" applyFont="1" applyFill="1" applyBorder="1" applyAlignment="1" applyProtection="1">
      <alignment horizontal="left" wrapText="1" indent="1"/>
      <protection locked="0"/>
    </xf>
    <xf numFmtId="0" fontId="8" fillId="4" borderId="13" xfId="0" applyFont="1" applyFill="1" applyBorder="1" applyAlignment="1" applyProtection="1">
      <alignment horizontal="left" wrapText="1" indent="1"/>
      <protection locked="0"/>
    </xf>
    <xf numFmtId="0" fontId="7" fillId="4" borderId="12" xfId="0" applyFont="1" applyFill="1" applyBorder="1" applyAlignment="1" applyProtection="1">
      <alignment horizontal="left" wrapText="1"/>
      <protection locked="0"/>
    </xf>
    <xf numFmtId="0" fontId="7" fillId="4" borderId="15" xfId="0" applyFont="1" applyFill="1" applyBorder="1" applyProtection="1">
      <protection locked="0"/>
    </xf>
    <xf numFmtId="0" fontId="7" fillId="4" borderId="12" xfId="0" applyFont="1" applyFill="1" applyBorder="1" applyProtection="1">
      <protection locked="0"/>
    </xf>
    <xf numFmtId="0" fontId="7" fillId="4" borderId="0" xfId="0" applyFont="1" applyFill="1" applyAlignment="1" applyProtection="1">
      <alignment wrapText="1"/>
      <protection locked="0"/>
    </xf>
    <xf numFmtId="0" fontId="7" fillId="0" borderId="0" xfId="0" applyFont="1" applyAlignment="1">
      <alignment wrapText="1"/>
    </xf>
    <xf numFmtId="0" fontId="28" fillId="10" borderId="0" xfId="0" applyFont="1" applyFill="1" applyAlignment="1">
      <alignment horizontal="center"/>
    </xf>
    <xf numFmtId="0" fontId="24" fillId="9" borderId="27" xfId="0" applyFont="1" applyFill="1" applyBorder="1" applyAlignment="1" applyProtection="1">
      <alignment horizontal="left"/>
      <protection locked="0"/>
    </xf>
    <xf numFmtId="0" fontId="20" fillId="4" borderId="4" xfId="0" applyFont="1" applyFill="1" applyBorder="1" applyAlignment="1" applyProtection="1">
      <alignment horizontal="left" wrapText="1" indent="1"/>
      <protection locked="0"/>
    </xf>
    <xf numFmtId="0" fontId="20" fillId="4" borderId="4" xfId="0" applyFont="1" applyFill="1" applyBorder="1" applyAlignment="1" applyProtection="1">
      <alignment horizontal="left" indent="1"/>
      <protection locked="0"/>
    </xf>
    <xf numFmtId="0" fontId="24" fillId="9" borderId="29" xfId="0" applyFont="1" applyFill="1" applyBorder="1" applyAlignment="1" applyProtection="1">
      <alignment horizontal="left"/>
      <protection locked="0"/>
    </xf>
    <xf numFmtId="0" fontId="23" fillId="0" borderId="1" xfId="0" applyFont="1" applyBorder="1" applyAlignment="1">
      <alignment wrapText="1"/>
    </xf>
    <xf numFmtId="0" fontId="25" fillId="9" borderId="27" xfId="0" applyFont="1" applyFill="1" applyBorder="1" applyAlignment="1" applyProtection="1">
      <alignment horizontal="left"/>
      <protection locked="0"/>
    </xf>
    <xf numFmtId="0" fontId="25" fillId="9" borderId="29" xfId="0" applyFont="1" applyFill="1" applyBorder="1" applyAlignment="1" applyProtection="1">
      <alignment horizontal="left"/>
      <protection locked="0"/>
    </xf>
    <xf numFmtId="0" fontId="5" fillId="0" borderId="4" xfId="0" applyFont="1" applyBorder="1" applyAlignment="1">
      <alignment horizontal="center"/>
    </xf>
    <xf numFmtId="0" fontId="15" fillId="10" borderId="0" xfId="0" applyFont="1" applyFill="1" applyAlignment="1">
      <alignment horizontal="center"/>
    </xf>
    <xf numFmtId="0" fontId="10" fillId="0" borderId="0" xfId="0" applyFont="1" applyAlignment="1">
      <alignment horizontal="left"/>
    </xf>
    <xf numFmtId="0" fontId="2" fillId="0" borderId="0" xfId="0" applyFont="1" applyAlignment="1">
      <alignment horizontal="center"/>
    </xf>
  </cellXfs>
  <cellStyles count="6">
    <cellStyle name="Comma" xfId="1" builtinId="3"/>
    <cellStyle name="Currency" xfId="2" builtinId="4"/>
    <cellStyle name="Hyperlink" xfId="5" builtinId="8"/>
    <cellStyle name="Hyperlink 2" xfId="4" xr:uid="{D2876414-5CCA-44B5-BBBB-9EFFA9689181}"/>
    <cellStyle name="Normal" xfId="0" builtinId="0"/>
    <cellStyle name="Percent" xfId="3" builtinId="5"/>
  </cellStyles>
  <dxfs count="3">
    <dxf>
      <font>
        <color rgb="FF9C0006"/>
      </font>
      <fill>
        <patternFill>
          <bgColor rgb="FFFFC7CE"/>
        </patternFill>
      </fill>
    </dxf>
    <dxf>
      <font>
        <color rgb="FF9C0006"/>
      </font>
      <fill>
        <patternFill>
          <bgColor rgb="FFFFC7CE"/>
        </patternFill>
      </fill>
    </dxf>
    <dxf>
      <fill>
        <patternFill>
          <bgColor indexed="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usty\AppData\Roaming\Microsoft\Excel\250513-Northern-Nevada-Wildflower-Financial-Plan-2025%20(version%201).xlsb" TargetMode="External"/><Relationship Id="rId1" Type="http://schemas.openxmlformats.org/officeDocument/2006/relationships/externalLinkPath" Target="https://nv-my.sharepoint.com/Users/dusty/AppData/Roaming/Microsoft/Excel/250513-Northern-Nevada-Wildflower-Financial-Plan-2025%20(version%2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api.box.com/wopi/files/2160096783781/WOPIServiceId_TP_BOX_2/WOPIUserId_-/Nexus%20Academy-2026-NV-Financial-Plan-draft-v6-Final-Draft-3-6-26.xlsx" TargetMode="External"/><Relationship Id="rId1" Type="http://schemas.openxmlformats.org/officeDocument/2006/relationships/externalLinkPath" Target="https://api.box.com/wopi/files/2160096783781/WOPIServiceId_TP_BOX_2/WOPIUserId_-/Nexus%20Academy-2026-NV-Financial-Plan-draft-v6-Final-Draft-3-6-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esources"/>
      <sheetName val="Cover &amp; Loc"/>
      <sheetName val="Checklist &amp; TOC"/>
      <sheetName val="Mkt Res"/>
      <sheetName val=" Enrol &amp; Rev"/>
      <sheetName val="Pre Y1 (Incubation)"/>
      <sheetName val="CF Y1 Mo"/>
      <sheetName val="Staff"/>
      <sheetName val="Facilities"/>
      <sheetName val="Gen Optg"/>
      <sheetName val="Ins"/>
      <sheetName val="FFE&amp;T"/>
      <sheetName val="Marketing"/>
      <sheetName val="EMO-CMO-BOSP"/>
      <sheetName val="Summary"/>
      <sheetName val="Statistics"/>
      <sheetName val="Info--&gt;"/>
      <sheetName val="PCFP Rates"/>
      <sheetName val="Demographics"/>
      <sheetName val="Facilities wkst"/>
      <sheetName val="Dev Notes"/>
      <sheetName val="Note FFE"/>
      <sheetName val="Eq wip"/>
      <sheetName val="Scratchpad (2)"/>
      <sheetName val="Levers"/>
      <sheetName val="Scratchpad"/>
      <sheetName val="Transp"/>
      <sheetName val="Star 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Title"/>
      <sheetName val="Summary"/>
      <sheetName val="Enrollment"/>
      <sheetName val="Revenue"/>
      <sheetName val="Staff"/>
      <sheetName val="Supplies"/>
      <sheetName val="Services"/>
      <sheetName val="Capital &amp; Debt"/>
      <sheetName val="Cash Flow"/>
      <sheetName val="Inputs"/>
    </sheetNames>
    <sheetDataSet>
      <sheetData sheetId="0"/>
      <sheetData sheetId="1"/>
      <sheetData sheetId="2"/>
      <sheetData sheetId="3">
        <row r="28">
          <cell r="D28">
            <v>30</v>
          </cell>
          <cell r="E28">
            <v>60</v>
          </cell>
          <cell r="F28">
            <v>92</v>
          </cell>
          <cell r="G28">
            <v>109</v>
          </cell>
        </row>
        <row r="33">
          <cell r="D33">
            <v>180</v>
          </cell>
          <cell r="E33">
            <v>360</v>
          </cell>
          <cell r="F33">
            <v>552</v>
          </cell>
          <cell r="G33">
            <v>654</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state.nv.us/nac/nac-387.html" TargetMode="External"/><Relationship Id="rId2" Type="http://schemas.openxmlformats.org/officeDocument/2006/relationships/hyperlink" Target="https://www.leg.state.nv.us/nrs/nrs-354.html" TargetMode="External"/><Relationship Id="rId1" Type="http://schemas.openxmlformats.org/officeDocument/2006/relationships/hyperlink" Target="https://transparentnevada.com/agencies/salaries/charter-schools/" TargetMode="External"/><Relationship Id="rId6" Type="http://schemas.openxmlformats.org/officeDocument/2006/relationships/printerSettings" Target="../printerSettings/printerSettings1.bin"/><Relationship Id="rId5" Type="http://schemas.openxmlformats.org/officeDocument/2006/relationships/hyperlink" Target="https://www.leg.state.nv.us/nac/NAC-354.html" TargetMode="External"/><Relationship Id="rId4" Type="http://schemas.openxmlformats.org/officeDocument/2006/relationships/hyperlink" Target="https://doe.nv.gov/offices/student-investment-divis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46A4D-3BF0-4120-88EB-18295D70502B}">
  <sheetPr>
    <tabColor theme="4" tint="0.39997558519241921"/>
  </sheetPr>
  <dimension ref="A1:A90"/>
  <sheetViews>
    <sheetView zoomScale="120" zoomScaleNormal="120" workbookViewId="0">
      <selection activeCell="A2" sqref="A2"/>
    </sheetView>
  </sheetViews>
  <sheetFormatPr defaultColWidth="8.6640625" defaultRowHeight="14.4" x14ac:dyDescent="0.3"/>
  <cols>
    <col min="1" max="1" width="155.33203125" style="185" customWidth="1"/>
  </cols>
  <sheetData>
    <row r="1" spans="1:1" ht="21" x14ac:dyDescent="0.3">
      <c r="A1" s="220" t="s">
        <v>0</v>
      </c>
    </row>
    <row r="2" spans="1:1" ht="72.599999999999994" thickBot="1" x14ac:dyDescent="0.35">
      <c r="A2" s="216" t="s">
        <v>1</v>
      </c>
    </row>
    <row r="3" spans="1:1" ht="15" thickBot="1" x14ac:dyDescent="0.35"/>
    <row r="4" spans="1:1" ht="18" x14ac:dyDescent="0.3">
      <c r="A4" s="186" t="s">
        <v>2</v>
      </c>
    </row>
    <row r="5" spans="1:1" ht="86.4" x14ac:dyDescent="0.3">
      <c r="A5" s="205" t="s">
        <v>3</v>
      </c>
    </row>
    <row r="6" spans="1:1" x14ac:dyDescent="0.3">
      <c r="A6" s="217" t="s">
        <v>4</v>
      </c>
    </row>
    <row r="7" spans="1:1" s="2" customFormat="1" x14ac:dyDescent="0.3">
      <c r="A7" s="217" t="s">
        <v>5</v>
      </c>
    </row>
    <row r="8" spans="1:1" s="2" customFormat="1" x14ac:dyDescent="0.3">
      <c r="A8" s="217" t="s">
        <v>6</v>
      </c>
    </row>
    <row r="9" spans="1:1" s="2" customFormat="1" x14ac:dyDescent="0.3">
      <c r="A9" s="217" t="s">
        <v>7</v>
      </c>
    </row>
    <row r="10" spans="1:1" s="2" customFormat="1" x14ac:dyDescent="0.3">
      <c r="A10" s="218" t="s">
        <v>8</v>
      </c>
    </row>
    <row r="11" spans="1:1" s="2" customFormat="1" x14ac:dyDescent="0.3">
      <c r="A11" s="217" t="s">
        <v>9</v>
      </c>
    </row>
    <row r="12" spans="1:1" s="2" customFormat="1" x14ac:dyDescent="0.3">
      <c r="A12" s="217" t="s">
        <v>10</v>
      </c>
    </row>
    <row r="13" spans="1:1" s="2" customFormat="1" x14ac:dyDescent="0.3">
      <c r="A13" s="217" t="s">
        <v>11</v>
      </c>
    </row>
    <row r="14" spans="1:1" s="2" customFormat="1" x14ac:dyDescent="0.3">
      <c r="A14" s="217" t="s">
        <v>12</v>
      </c>
    </row>
    <row r="15" spans="1:1" s="2" customFormat="1" ht="15" thickBot="1" x14ac:dyDescent="0.35">
      <c r="A15" s="219" t="s">
        <v>13</v>
      </c>
    </row>
    <row r="16" spans="1:1" ht="15" thickBot="1" x14ac:dyDescent="0.35">
      <c r="A16" s="187"/>
    </row>
    <row r="17" spans="1:1" ht="18" x14ac:dyDescent="0.3">
      <c r="A17" s="186" t="s">
        <v>14</v>
      </c>
    </row>
    <row r="18" spans="1:1" x14ac:dyDescent="0.3">
      <c r="A18" s="188" t="s">
        <v>15</v>
      </c>
    </row>
    <row r="19" spans="1:1" x14ac:dyDescent="0.3">
      <c r="A19" s="221" t="s">
        <v>16</v>
      </c>
    </row>
    <row r="20" spans="1:1" x14ac:dyDescent="0.3">
      <c r="A20" s="188" t="s">
        <v>17</v>
      </c>
    </row>
    <row r="21" spans="1:1" ht="43.2" x14ac:dyDescent="0.3">
      <c r="A21" s="221" t="s">
        <v>18</v>
      </c>
    </row>
    <row r="22" spans="1:1" x14ac:dyDescent="0.3">
      <c r="A22" s="188" t="s">
        <v>19</v>
      </c>
    </row>
    <row r="23" spans="1:1" ht="43.2" x14ac:dyDescent="0.3">
      <c r="A23" s="221" t="s">
        <v>20</v>
      </c>
    </row>
    <row r="24" spans="1:1" x14ac:dyDescent="0.3">
      <c r="A24" s="188" t="s">
        <v>21</v>
      </c>
    </row>
    <row r="25" spans="1:1" ht="34.5" customHeight="1" x14ac:dyDescent="0.3">
      <c r="A25" s="221" t="s">
        <v>22</v>
      </c>
    </row>
    <row r="26" spans="1:1" x14ac:dyDescent="0.3">
      <c r="A26" s="188" t="s">
        <v>23</v>
      </c>
    </row>
    <row r="27" spans="1:1" ht="47.25" customHeight="1" x14ac:dyDescent="0.3">
      <c r="A27" s="222" t="s">
        <v>24</v>
      </c>
    </row>
    <row r="28" spans="1:1" x14ac:dyDescent="0.3">
      <c r="A28" s="223" t="s">
        <v>25</v>
      </c>
    </row>
    <row r="29" spans="1:1" s="2" customFormat="1" x14ac:dyDescent="0.3">
      <c r="A29" s="223" t="s">
        <v>26</v>
      </c>
    </row>
    <row r="30" spans="1:1" x14ac:dyDescent="0.3">
      <c r="A30" s="188" t="s">
        <v>27</v>
      </c>
    </row>
    <row r="31" spans="1:1" ht="33" customHeight="1" x14ac:dyDescent="0.3">
      <c r="A31" s="222" t="s">
        <v>28</v>
      </c>
    </row>
    <row r="32" spans="1:1" ht="28.8" x14ac:dyDescent="0.3">
      <c r="A32" s="223" t="s">
        <v>29</v>
      </c>
    </row>
    <row r="33" spans="1:1" x14ac:dyDescent="0.3">
      <c r="A33" s="223" t="s">
        <v>30</v>
      </c>
    </row>
    <row r="34" spans="1:1" x14ac:dyDescent="0.3">
      <c r="A34" s="223" t="s">
        <v>31</v>
      </c>
    </row>
    <row r="35" spans="1:1" x14ac:dyDescent="0.3">
      <c r="A35" s="223" t="s">
        <v>32</v>
      </c>
    </row>
    <row r="36" spans="1:1" x14ac:dyDescent="0.3">
      <c r="A36" s="188" t="s">
        <v>33</v>
      </c>
    </row>
    <row r="37" spans="1:1" ht="43.2" x14ac:dyDescent="0.3">
      <c r="A37" s="221" t="s">
        <v>34</v>
      </c>
    </row>
    <row r="38" spans="1:1" x14ac:dyDescent="0.3">
      <c r="A38" s="224" t="s">
        <v>35</v>
      </c>
    </row>
    <row r="39" spans="1:1" ht="28.8" x14ac:dyDescent="0.3">
      <c r="A39" s="223" t="s">
        <v>36</v>
      </c>
    </row>
    <row r="40" spans="1:1" x14ac:dyDescent="0.3">
      <c r="A40" s="188" t="s">
        <v>37</v>
      </c>
    </row>
    <row r="41" spans="1:1" ht="43.2" x14ac:dyDescent="0.3">
      <c r="A41" s="221" t="s">
        <v>38</v>
      </c>
    </row>
    <row r="42" spans="1:1" x14ac:dyDescent="0.3">
      <c r="A42" s="224" t="s">
        <v>35</v>
      </c>
    </row>
    <row r="43" spans="1:1" ht="28.8" x14ac:dyDescent="0.3">
      <c r="A43" s="223" t="s">
        <v>39</v>
      </c>
    </row>
    <row r="44" spans="1:1" x14ac:dyDescent="0.3">
      <c r="A44" s="188" t="s">
        <v>40</v>
      </c>
    </row>
    <row r="45" spans="1:1" ht="33.75" customHeight="1" x14ac:dyDescent="0.3">
      <c r="A45" s="221" t="s">
        <v>41</v>
      </c>
    </row>
    <row r="46" spans="1:1" ht="28.8" x14ac:dyDescent="0.3">
      <c r="A46" s="223" t="s">
        <v>42</v>
      </c>
    </row>
    <row r="47" spans="1:1" ht="43.2" x14ac:dyDescent="0.3">
      <c r="A47" s="223" t="s">
        <v>43</v>
      </c>
    </row>
    <row r="48" spans="1:1" x14ac:dyDescent="0.3">
      <c r="A48" s="188" t="s">
        <v>44</v>
      </c>
    </row>
    <row r="49" spans="1:1" ht="28.8" x14ac:dyDescent="0.3">
      <c r="A49" s="222" t="s">
        <v>45</v>
      </c>
    </row>
    <row r="50" spans="1:1" x14ac:dyDescent="0.3">
      <c r="A50" s="188" t="s">
        <v>46</v>
      </c>
    </row>
    <row r="51" spans="1:1" x14ac:dyDescent="0.3">
      <c r="A51" s="225" t="s">
        <v>47</v>
      </c>
    </row>
    <row r="52" spans="1:1" x14ac:dyDescent="0.3">
      <c r="A52" s="225" t="s">
        <v>48</v>
      </c>
    </row>
    <row r="53" spans="1:1" x14ac:dyDescent="0.3">
      <c r="A53" s="225" t="s">
        <v>49</v>
      </c>
    </row>
    <row r="54" spans="1:1" x14ac:dyDescent="0.3">
      <c r="A54" s="225" t="s">
        <v>50</v>
      </c>
    </row>
    <row r="55" spans="1:1" s="7" customFormat="1" x14ac:dyDescent="0.3">
      <c r="A55" s="226" t="s">
        <v>51</v>
      </c>
    </row>
    <row r="56" spans="1:1" x14ac:dyDescent="0.3">
      <c r="A56" s="187"/>
    </row>
    <row r="57" spans="1:1" x14ac:dyDescent="0.3">
      <c r="A57" s="187"/>
    </row>
    <row r="58" spans="1:1" x14ac:dyDescent="0.3">
      <c r="A58" s="187"/>
    </row>
    <row r="59" spans="1:1" x14ac:dyDescent="0.3">
      <c r="A59" s="187"/>
    </row>
    <row r="60" spans="1:1" x14ac:dyDescent="0.3">
      <c r="A60" s="187"/>
    </row>
    <row r="61" spans="1:1" x14ac:dyDescent="0.3">
      <c r="A61" s="187"/>
    </row>
    <row r="62" spans="1:1" x14ac:dyDescent="0.3">
      <c r="A62" s="187"/>
    </row>
    <row r="63" spans="1:1" x14ac:dyDescent="0.3">
      <c r="A63" s="187"/>
    </row>
    <row r="64" spans="1:1" x14ac:dyDescent="0.3">
      <c r="A64" s="187"/>
    </row>
    <row r="65" spans="1:1" x14ac:dyDescent="0.3">
      <c r="A65" s="187"/>
    </row>
    <row r="66" spans="1:1" x14ac:dyDescent="0.3">
      <c r="A66" s="187"/>
    </row>
    <row r="67" spans="1:1" x14ac:dyDescent="0.3">
      <c r="A67" s="187"/>
    </row>
    <row r="68" spans="1:1" x14ac:dyDescent="0.3">
      <c r="A68" s="187"/>
    </row>
    <row r="69" spans="1:1" x14ac:dyDescent="0.3">
      <c r="A69" s="187"/>
    </row>
    <row r="70" spans="1:1" x14ac:dyDescent="0.3">
      <c r="A70" s="187"/>
    </row>
    <row r="71" spans="1:1" x14ac:dyDescent="0.3">
      <c r="A71" s="187"/>
    </row>
    <row r="72" spans="1:1" x14ac:dyDescent="0.3">
      <c r="A72" s="187"/>
    </row>
    <row r="73" spans="1:1" x14ac:dyDescent="0.3">
      <c r="A73" s="187"/>
    </row>
    <row r="74" spans="1:1" x14ac:dyDescent="0.3">
      <c r="A74" s="187"/>
    </row>
    <row r="75" spans="1:1" x14ac:dyDescent="0.3">
      <c r="A75" s="187"/>
    </row>
    <row r="76" spans="1:1" x14ac:dyDescent="0.3">
      <c r="A76" s="187"/>
    </row>
    <row r="77" spans="1:1" x14ac:dyDescent="0.3">
      <c r="A77" s="187"/>
    </row>
    <row r="78" spans="1:1" x14ac:dyDescent="0.3">
      <c r="A78" s="187"/>
    </row>
    <row r="79" spans="1:1" x14ac:dyDescent="0.3">
      <c r="A79" s="187"/>
    </row>
    <row r="80" spans="1:1" x14ac:dyDescent="0.3">
      <c r="A80" s="187"/>
    </row>
    <row r="81" spans="1:1" x14ac:dyDescent="0.3">
      <c r="A81" s="187"/>
    </row>
    <row r="82" spans="1:1" x14ac:dyDescent="0.3">
      <c r="A82" s="187"/>
    </row>
    <row r="83" spans="1:1" x14ac:dyDescent="0.3">
      <c r="A83" s="187"/>
    </row>
    <row r="84" spans="1:1" x14ac:dyDescent="0.3">
      <c r="A84" s="187"/>
    </row>
    <row r="85" spans="1:1" x14ac:dyDescent="0.3">
      <c r="A85" s="187"/>
    </row>
    <row r="86" spans="1:1" x14ac:dyDescent="0.3">
      <c r="A86" s="187"/>
    </row>
    <row r="87" spans="1:1" x14ac:dyDescent="0.3">
      <c r="A87" s="187"/>
    </row>
    <row r="88" spans="1:1" x14ac:dyDescent="0.3">
      <c r="A88" s="187"/>
    </row>
    <row r="89" spans="1:1" x14ac:dyDescent="0.3">
      <c r="A89" s="187"/>
    </row>
    <row r="90" spans="1:1" x14ac:dyDescent="0.3">
      <c r="A90" s="187"/>
    </row>
  </sheetData>
  <sheetProtection algorithmName="SHA-512" hashValue="F6Q2QzTzvLe2Dsz+eSfqdCACuOU29d3mhx7WpWMyo/XVjMHS17jBRJuQtRHUwDEiI6B4453bMYbJcaRNXyCsdw==" saltValue="haafLSzE50wK8PW+nq1uJw==" spinCount="100000" sheet="1" objects="1" scenarios="1"/>
  <hyperlinks>
    <hyperlink ref="A55" r:id="rId1" xr:uid="{5EEAB4AC-CDC5-4983-85B5-E56AE6BC2960}"/>
    <hyperlink ref="A51" r:id="rId2" location="NRS354Sec612" xr:uid="{721CAF80-D9BF-4A41-84C8-0601D0EB4B39}"/>
    <hyperlink ref="A52" r:id="rId3" location="NAC387Sec735" xr:uid="{184CDAA6-DA96-4DF3-81D5-29C84400F09B}"/>
    <hyperlink ref="A54" r:id="rId4" xr:uid="{BAB01390-BDD4-41C9-8615-E48DDFD128F5}"/>
    <hyperlink ref="A53" r:id="rId5" location="NAC354Sec650" xr:uid="{44B3DA8C-87F2-4ACE-82A0-B2459F43E237}"/>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CD18D-F556-4D34-BB84-1CC0A779D033}">
  <dimension ref="B1:R30"/>
  <sheetViews>
    <sheetView zoomScaleNormal="100" workbookViewId="0">
      <pane xSplit="3" ySplit="9" topLeftCell="D10" activePane="bottomRight" state="frozen"/>
      <selection pane="topRight" activeCell="D1" sqref="D1"/>
      <selection pane="bottomLeft" activeCell="A10" sqref="A10"/>
      <selection pane="bottomRight" activeCell="I13" sqref="I13"/>
    </sheetView>
  </sheetViews>
  <sheetFormatPr defaultRowHeight="14.4" x14ac:dyDescent="0.3"/>
  <cols>
    <col min="3" max="3" width="39.88671875" customWidth="1"/>
    <col min="4" max="4" width="13.109375" customWidth="1"/>
    <col min="5" max="5" width="14.109375" customWidth="1"/>
    <col min="6" max="17" width="11.88671875" customWidth="1"/>
    <col min="18" max="18" width="67.109375" customWidth="1"/>
  </cols>
  <sheetData>
    <row r="1" spans="2:18" ht="18" x14ac:dyDescent="0.35">
      <c r="B1" s="36" t="s">
        <v>78</v>
      </c>
      <c r="C1" s="38" t="str">
        <f>Summary!C1</f>
        <v>Nexus Academy</v>
      </c>
    </row>
    <row r="2" spans="2:18" ht="18" x14ac:dyDescent="0.35">
      <c r="B2" s="36" t="s">
        <v>79</v>
      </c>
      <c r="C2" s="38" t="str">
        <f>Summary!C2</f>
        <v>Las Vegas (89015, 89011, 89122, 89121)</v>
      </c>
    </row>
    <row r="3" spans="2:18" ht="18" x14ac:dyDescent="0.35">
      <c r="B3" s="36" t="s">
        <v>80</v>
      </c>
      <c r="C3" s="38">
        <f>Summary!C3</f>
        <v>2027</v>
      </c>
    </row>
    <row r="6" spans="2:18" ht="21" x14ac:dyDescent="0.4">
      <c r="B6" s="266" t="s">
        <v>424</v>
      </c>
      <c r="C6" s="266"/>
      <c r="D6" s="266"/>
      <c r="E6" s="266"/>
      <c r="F6" s="266"/>
      <c r="G6" s="266"/>
      <c r="H6" s="266"/>
      <c r="I6" s="266"/>
      <c r="J6" s="266"/>
      <c r="K6" s="266"/>
      <c r="L6" s="266"/>
      <c r="M6" s="266"/>
      <c r="N6" s="266"/>
      <c r="O6" s="266"/>
      <c r="P6" s="266"/>
      <c r="Q6" s="266"/>
    </row>
    <row r="7" spans="2:18" ht="21" x14ac:dyDescent="0.4">
      <c r="C7" s="167"/>
      <c r="D7" s="167"/>
      <c r="E7" s="167"/>
      <c r="F7" s="167"/>
      <c r="G7" s="167"/>
      <c r="H7" s="167"/>
      <c r="I7" s="167"/>
      <c r="J7" s="167"/>
      <c r="K7" s="167"/>
      <c r="L7" s="167"/>
      <c r="M7" s="167"/>
      <c r="N7" s="167"/>
      <c r="O7" s="167"/>
      <c r="P7" s="167"/>
      <c r="Q7" s="39"/>
    </row>
    <row r="8" spans="2:18" x14ac:dyDescent="0.3">
      <c r="B8" s="1"/>
      <c r="D8" s="168" t="str">
        <f>Summary!D7</f>
        <v>2026-2027</v>
      </c>
      <c r="E8" s="179" t="str">
        <f>Summary!E7&amp;" Year 1 ---&gt;"</f>
        <v>2027-2028 Year 1 ---&gt;</v>
      </c>
      <c r="F8" s="180"/>
      <c r="G8" s="180"/>
      <c r="H8" s="180"/>
      <c r="I8" s="180"/>
      <c r="J8" s="180"/>
      <c r="K8" s="180"/>
      <c r="L8" s="180"/>
      <c r="M8" s="180"/>
      <c r="N8" s="180"/>
      <c r="O8" s="180"/>
      <c r="P8" s="180"/>
      <c r="Q8" s="181"/>
    </row>
    <row r="9" spans="2:18" x14ac:dyDescent="0.3">
      <c r="B9" s="19" t="s">
        <v>85</v>
      </c>
      <c r="C9" s="20" t="s">
        <v>86</v>
      </c>
      <c r="D9" s="60" t="s">
        <v>425</v>
      </c>
      <c r="E9" s="169" t="s">
        <v>426</v>
      </c>
      <c r="F9" s="21" t="s">
        <v>427</v>
      </c>
      <c r="G9" s="21" t="s">
        <v>428</v>
      </c>
      <c r="H9" s="21" t="s">
        <v>429</v>
      </c>
      <c r="I9" s="21" t="s">
        <v>430</v>
      </c>
      <c r="J9" s="21" t="s">
        <v>431</v>
      </c>
      <c r="K9" s="21" t="s">
        <v>432</v>
      </c>
      <c r="L9" s="21" t="s">
        <v>433</v>
      </c>
      <c r="M9" s="21" t="s">
        <v>434</v>
      </c>
      <c r="N9" s="21" t="s">
        <v>435</v>
      </c>
      <c r="O9" s="21" t="s">
        <v>436</v>
      </c>
      <c r="P9" s="21" t="s">
        <v>437</v>
      </c>
      <c r="Q9" s="170" t="s">
        <v>438</v>
      </c>
      <c r="R9" s="20" t="s">
        <v>93</v>
      </c>
    </row>
    <row r="10" spans="2:18" x14ac:dyDescent="0.3">
      <c r="B10" s="14"/>
      <c r="C10" s="15" t="s">
        <v>439</v>
      </c>
      <c r="D10" s="28">
        <v>0</v>
      </c>
      <c r="E10" s="171">
        <f>D29</f>
        <v>56161</v>
      </c>
      <c r="F10" s="18">
        <f t="shared" ref="F10:P10" si="0">E29</f>
        <v>106406.08333333331</v>
      </c>
      <c r="G10" s="18">
        <f t="shared" si="0"/>
        <v>95126.416666666628</v>
      </c>
      <c r="H10" s="18">
        <f t="shared" si="0"/>
        <v>62652.849999999948</v>
      </c>
      <c r="I10" s="18">
        <f t="shared" si="0"/>
        <v>60179.283333333267</v>
      </c>
      <c r="J10" s="18">
        <f t="shared" si="0"/>
        <v>32705.716666666587</v>
      </c>
      <c r="K10" s="18">
        <f t="shared" si="0"/>
        <v>5232.1499999999069</v>
      </c>
      <c r="L10" s="18">
        <f t="shared" si="0"/>
        <v>-10241.416666666773</v>
      </c>
      <c r="M10" s="18">
        <f t="shared" si="0"/>
        <v>-41964.983333333454</v>
      </c>
      <c r="N10" s="18">
        <f t="shared" si="0"/>
        <v>-73688.550000000134</v>
      </c>
      <c r="O10" s="18">
        <f t="shared" si="0"/>
        <v>-105412.11666666681</v>
      </c>
      <c r="P10" s="18">
        <f t="shared" si="0"/>
        <v>-137385.68333333349</v>
      </c>
      <c r="Q10" s="176"/>
      <c r="R10" s="4" t="s">
        <v>440</v>
      </c>
    </row>
    <row r="11" spans="2:18" ht="22.95" customHeight="1" x14ac:dyDescent="0.3">
      <c r="B11" s="1"/>
      <c r="C11" s="16" t="s">
        <v>441</v>
      </c>
      <c r="D11" s="29"/>
      <c r="E11" s="172"/>
      <c r="F11" s="22"/>
      <c r="G11" s="22"/>
      <c r="H11" s="22"/>
      <c r="I11" s="22"/>
      <c r="J11" s="22"/>
      <c r="K11" s="22"/>
      <c r="L11" s="22"/>
      <c r="M11" s="22"/>
      <c r="N11" s="22"/>
      <c r="O11" s="22"/>
      <c r="P11" s="22"/>
      <c r="Q11" s="29"/>
    </row>
    <row r="12" spans="2:18" x14ac:dyDescent="0.3">
      <c r="B12" s="1">
        <v>1000</v>
      </c>
      <c r="C12" s="12" t="s">
        <v>96</v>
      </c>
      <c r="D12" s="232">
        <f>Revenue!D$33</f>
        <v>0</v>
      </c>
      <c r="E12" s="248">
        <f>Revenue!E33/12</f>
        <v>466.66666666666669</v>
      </c>
      <c r="F12" s="249">
        <f>E12</f>
        <v>466.66666666666669</v>
      </c>
      <c r="G12" s="249">
        <f t="shared" ref="G12:P12" si="1">F12</f>
        <v>466.66666666666669</v>
      </c>
      <c r="H12" s="249">
        <f t="shared" si="1"/>
        <v>466.66666666666669</v>
      </c>
      <c r="I12" s="249">
        <f t="shared" si="1"/>
        <v>466.66666666666669</v>
      </c>
      <c r="J12" s="249">
        <f t="shared" si="1"/>
        <v>466.66666666666669</v>
      </c>
      <c r="K12" s="249">
        <f t="shared" si="1"/>
        <v>466.66666666666669</v>
      </c>
      <c r="L12" s="249">
        <f t="shared" si="1"/>
        <v>466.66666666666669</v>
      </c>
      <c r="M12" s="249">
        <f t="shared" si="1"/>
        <v>466.66666666666669</v>
      </c>
      <c r="N12" s="249">
        <f t="shared" si="1"/>
        <v>466.66666666666669</v>
      </c>
      <c r="O12" s="249">
        <f t="shared" si="1"/>
        <v>466.66666666666669</v>
      </c>
      <c r="P12" s="249">
        <f t="shared" si="1"/>
        <v>466.66666666666669</v>
      </c>
      <c r="Q12" s="76">
        <f>SUM(E12:P12)</f>
        <v>5600.0000000000009</v>
      </c>
      <c r="R12" s="264"/>
    </row>
    <row r="13" spans="2:18" x14ac:dyDescent="0.3">
      <c r="B13" s="1">
        <v>3000</v>
      </c>
      <c r="C13" s="12" t="s">
        <v>98</v>
      </c>
      <c r="D13" s="232">
        <f>Revenue!D42</f>
        <v>0</v>
      </c>
      <c r="E13" s="248">
        <f>Revenue!E42/12</f>
        <v>133106.66666666666</v>
      </c>
      <c r="F13" s="249">
        <f t="shared" ref="F13:P13" si="2">E13</f>
        <v>133106.66666666666</v>
      </c>
      <c r="G13" s="249">
        <f t="shared" si="2"/>
        <v>133106.66666666666</v>
      </c>
      <c r="H13" s="249">
        <f t="shared" si="2"/>
        <v>133106.66666666666</v>
      </c>
      <c r="I13" s="249">
        <f t="shared" si="2"/>
        <v>133106.66666666666</v>
      </c>
      <c r="J13" s="249">
        <f t="shared" si="2"/>
        <v>133106.66666666666</v>
      </c>
      <c r="K13" s="249">
        <f t="shared" si="2"/>
        <v>133106.66666666666</v>
      </c>
      <c r="L13" s="249">
        <f t="shared" si="2"/>
        <v>133106.66666666666</v>
      </c>
      <c r="M13" s="249">
        <f t="shared" si="2"/>
        <v>133106.66666666666</v>
      </c>
      <c r="N13" s="249">
        <f t="shared" si="2"/>
        <v>133106.66666666666</v>
      </c>
      <c r="O13" s="249">
        <f t="shared" si="2"/>
        <v>133106.66666666666</v>
      </c>
      <c r="P13" s="249">
        <f t="shared" si="2"/>
        <v>133106.66666666666</v>
      </c>
      <c r="Q13" s="76">
        <f t="shared" ref="Q13:Q15" si="3">SUM(E13:P13)</f>
        <v>1597280.0000000002</v>
      </c>
      <c r="R13" s="264"/>
    </row>
    <row r="14" spans="2:18" x14ac:dyDescent="0.3">
      <c r="B14" s="1">
        <v>4000</v>
      </c>
      <c r="C14" s="12" t="s">
        <v>100</v>
      </c>
      <c r="D14" s="232">
        <v>600000</v>
      </c>
      <c r="E14" s="248">
        <v>95000</v>
      </c>
      <c r="F14" s="249">
        <v>95000</v>
      </c>
      <c r="G14" s="249">
        <v>95000</v>
      </c>
      <c r="H14" s="249">
        <f>G14</f>
        <v>95000</v>
      </c>
      <c r="I14" s="249">
        <v>70000</v>
      </c>
      <c r="J14" s="249">
        <v>70000</v>
      </c>
      <c r="K14" s="249">
        <v>70000</v>
      </c>
      <c r="L14" s="249">
        <v>53250</v>
      </c>
      <c r="M14" s="249">
        <v>53250</v>
      </c>
      <c r="N14" s="249">
        <v>53250</v>
      </c>
      <c r="O14" s="249">
        <v>53250</v>
      </c>
      <c r="P14" s="249">
        <v>52990</v>
      </c>
      <c r="Q14" s="76">
        <f t="shared" si="3"/>
        <v>855990</v>
      </c>
      <c r="R14" s="264" t="s">
        <v>529</v>
      </c>
    </row>
    <row r="15" spans="2:18" ht="28.8" x14ac:dyDescent="0.3">
      <c r="B15" s="6">
        <v>5000</v>
      </c>
      <c r="C15" s="214" t="s">
        <v>442</v>
      </c>
      <c r="D15" s="233">
        <f>Revenue!D65</f>
        <v>0</v>
      </c>
      <c r="E15" s="250"/>
      <c r="F15" s="251"/>
      <c r="G15" s="251"/>
      <c r="H15" s="251"/>
      <c r="I15" s="251"/>
      <c r="J15" s="251"/>
      <c r="K15" s="251"/>
      <c r="L15" s="251"/>
      <c r="M15" s="251"/>
      <c r="N15" s="251"/>
      <c r="O15" s="251"/>
      <c r="P15" s="251"/>
      <c r="Q15" s="177">
        <f t="shared" si="3"/>
        <v>0</v>
      </c>
      <c r="R15" s="264"/>
    </row>
    <row r="16" spans="2:18" x14ac:dyDescent="0.3">
      <c r="B16" s="1"/>
      <c r="C16" s="12" t="s">
        <v>443</v>
      </c>
      <c r="D16" s="29">
        <f>SUM(D12:D15)</f>
        <v>600000</v>
      </c>
      <c r="E16" s="172">
        <f t="shared" ref="E16:L16" si="4">SUM(E12:E15)</f>
        <v>228573.33333333331</v>
      </c>
      <c r="F16" s="22">
        <f t="shared" ref="F16" si="5">SUM(F12:F15)</f>
        <v>228573.33333333331</v>
      </c>
      <c r="G16" s="22">
        <f t="shared" ref="G16" si="6">SUM(G12:G15)</f>
        <v>228573.33333333331</v>
      </c>
      <c r="H16" s="22">
        <f t="shared" ref="H16" si="7">SUM(H12:H15)</f>
        <v>228573.33333333331</v>
      </c>
      <c r="I16" s="22">
        <f t="shared" ref="I16" si="8">SUM(I12:I15)</f>
        <v>203573.33333333331</v>
      </c>
      <c r="J16" s="22">
        <f t="shared" si="4"/>
        <v>203573.33333333331</v>
      </c>
      <c r="K16" s="22">
        <f t="shared" si="4"/>
        <v>203573.33333333331</v>
      </c>
      <c r="L16" s="22">
        <f t="shared" si="4"/>
        <v>186823.33333333331</v>
      </c>
      <c r="M16" s="22">
        <f t="shared" ref="M16" si="9">SUM(M12:M15)</f>
        <v>186823.33333333331</v>
      </c>
      <c r="N16" s="22">
        <f t="shared" ref="N16" si="10">SUM(N12:N15)</f>
        <v>186823.33333333331</v>
      </c>
      <c r="O16" s="22">
        <f t="shared" ref="O16" si="11">SUM(O12:O15)</f>
        <v>186823.33333333331</v>
      </c>
      <c r="P16" s="22">
        <f t="shared" ref="P16:Q16" si="12">SUM(P12:P15)</f>
        <v>186563.33333333331</v>
      </c>
      <c r="Q16" s="29">
        <f t="shared" si="12"/>
        <v>2458870</v>
      </c>
      <c r="R16" s="265"/>
    </row>
    <row r="17" spans="2:18" x14ac:dyDescent="0.3">
      <c r="B17" s="1"/>
      <c r="C17" s="5"/>
      <c r="D17" s="29"/>
      <c r="E17" s="172"/>
      <c r="F17" s="22"/>
      <c r="G17" s="22"/>
      <c r="H17" s="22"/>
      <c r="I17" s="22"/>
      <c r="J17" s="22"/>
      <c r="K17" s="22"/>
      <c r="L17" s="22"/>
      <c r="M17" s="22"/>
      <c r="N17" s="22"/>
      <c r="O17" s="22"/>
      <c r="P17" s="22"/>
      <c r="Q17" s="29"/>
      <c r="R17" s="265"/>
    </row>
    <row r="18" spans="2:18" x14ac:dyDescent="0.3">
      <c r="B18" s="1"/>
      <c r="C18" s="16" t="s">
        <v>444</v>
      </c>
      <c r="D18" s="29"/>
      <c r="E18" s="172"/>
      <c r="F18" s="22"/>
      <c r="G18" s="22"/>
      <c r="H18" s="22"/>
      <c r="I18" s="22"/>
      <c r="J18" s="22"/>
      <c r="K18" s="22"/>
      <c r="L18" s="22"/>
      <c r="M18" s="22"/>
      <c r="N18" s="22"/>
      <c r="O18" s="22"/>
      <c r="P18" s="22"/>
      <c r="Q18" s="29"/>
      <c r="R18" s="265"/>
    </row>
    <row r="19" spans="2:18" x14ac:dyDescent="0.3">
      <c r="B19" s="1">
        <v>100</v>
      </c>
      <c r="C19" s="7" t="s">
        <v>107</v>
      </c>
      <c r="D19" s="232">
        <f>Staff!D120</f>
        <v>145000</v>
      </c>
      <c r="E19" s="248">
        <f>981900-940475</f>
        <v>41425</v>
      </c>
      <c r="F19" s="249">
        <v>81825</v>
      </c>
      <c r="G19" s="249">
        <f t="shared" ref="G19" si="13">F19</f>
        <v>81825</v>
      </c>
      <c r="H19" s="249">
        <f t="shared" ref="H19:O19" si="14">G19</f>
        <v>81825</v>
      </c>
      <c r="I19" s="249">
        <f t="shared" si="14"/>
        <v>81825</v>
      </c>
      <c r="J19" s="249">
        <f t="shared" si="14"/>
        <v>81825</v>
      </c>
      <c r="K19" s="249">
        <f t="shared" si="14"/>
        <v>81825</v>
      </c>
      <c r="L19" s="249">
        <f t="shared" si="14"/>
        <v>81825</v>
      </c>
      <c r="M19" s="249">
        <f t="shared" si="14"/>
        <v>81825</v>
      </c>
      <c r="N19" s="249">
        <f t="shared" si="14"/>
        <v>81825</v>
      </c>
      <c r="O19" s="249">
        <f t="shared" si="14"/>
        <v>81825</v>
      </c>
      <c r="P19" s="249">
        <f>O19+40400</f>
        <v>122225</v>
      </c>
      <c r="Q19" s="76">
        <f t="shared" ref="Q19:Q21" si="15">SUM(E19:P19)</f>
        <v>981900</v>
      </c>
      <c r="R19" s="264" t="s">
        <v>445</v>
      </c>
    </row>
    <row r="20" spans="2:18" x14ac:dyDescent="0.3">
      <c r="B20" s="1">
        <v>200</v>
      </c>
      <c r="C20" s="7" t="s">
        <v>108</v>
      </c>
      <c r="D20" s="232">
        <f>Staff!D130</f>
        <v>82839</v>
      </c>
      <c r="E20" s="248">
        <f>D20/12</f>
        <v>6903.25</v>
      </c>
      <c r="F20" s="249">
        <v>28028</v>
      </c>
      <c r="G20" s="249">
        <f>(456331-F20)/10</f>
        <v>42830.3</v>
      </c>
      <c r="H20" s="249">
        <f t="shared" ref="H20:P21" si="16">G20</f>
        <v>42830.3</v>
      </c>
      <c r="I20" s="249">
        <f t="shared" si="16"/>
        <v>42830.3</v>
      </c>
      <c r="J20" s="249">
        <f t="shared" si="16"/>
        <v>42830.3</v>
      </c>
      <c r="K20" s="249">
        <f t="shared" si="16"/>
        <v>42830.3</v>
      </c>
      <c r="L20" s="249">
        <f t="shared" si="16"/>
        <v>42830.3</v>
      </c>
      <c r="M20" s="249">
        <f t="shared" si="16"/>
        <v>42830.3</v>
      </c>
      <c r="N20" s="249">
        <f t="shared" si="16"/>
        <v>42830.3</v>
      </c>
      <c r="O20" s="249">
        <f t="shared" si="16"/>
        <v>42830.3</v>
      </c>
      <c r="P20" s="249">
        <f t="shared" si="16"/>
        <v>42830.3</v>
      </c>
      <c r="Q20" s="76">
        <f t="shared" si="15"/>
        <v>463234.24999999994</v>
      </c>
      <c r="R20" s="264"/>
    </row>
    <row r="21" spans="2:18" x14ac:dyDescent="0.3">
      <c r="B21" s="1">
        <v>300</v>
      </c>
      <c r="C21" s="7" t="s">
        <v>109</v>
      </c>
      <c r="D21" s="232">
        <f>Services!E100</f>
        <v>121500</v>
      </c>
      <c r="E21" s="248">
        <v>35000</v>
      </c>
      <c r="F21" s="249">
        <v>35000</v>
      </c>
      <c r="G21" s="249">
        <f>463916/10</f>
        <v>46391.6</v>
      </c>
      <c r="H21" s="249">
        <f>G21</f>
        <v>46391.6</v>
      </c>
      <c r="I21" s="249">
        <f t="shared" si="16"/>
        <v>46391.6</v>
      </c>
      <c r="J21" s="249">
        <f t="shared" si="16"/>
        <v>46391.6</v>
      </c>
      <c r="K21" s="249">
        <f t="shared" si="16"/>
        <v>46391.6</v>
      </c>
      <c r="L21" s="249">
        <f t="shared" si="16"/>
        <v>46391.6</v>
      </c>
      <c r="M21" s="249">
        <f t="shared" si="16"/>
        <v>46391.6</v>
      </c>
      <c r="N21" s="249">
        <f t="shared" si="16"/>
        <v>46391.6</v>
      </c>
      <c r="O21" s="249">
        <f t="shared" si="16"/>
        <v>46391.6</v>
      </c>
      <c r="P21" s="249"/>
      <c r="Q21" s="76">
        <f t="shared" si="15"/>
        <v>487524.39999999991</v>
      </c>
      <c r="R21" s="264"/>
    </row>
    <row r="22" spans="2:18" x14ac:dyDescent="0.3">
      <c r="B22" s="1">
        <v>600</v>
      </c>
      <c r="C22" s="7" t="s">
        <v>110</v>
      </c>
      <c r="D22" s="232">
        <f>Supplies!E80</f>
        <v>64500</v>
      </c>
      <c r="E22" s="248">
        <v>50000</v>
      </c>
      <c r="F22" s="249">
        <v>50000</v>
      </c>
      <c r="G22" s="249">
        <v>45000</v>
      </c>
      <c r="H22" s="249">
        <v>15000</v>
      </c>
      <c r="I22" s="249">
        <v>15000</v>
      </c>
      <c r="J22" s="249">
        <v>15000</v>
      </c>
      <c r="K22" s="249">
        <v>3000</v>
      </c>
      <c r="L22" s="249">
        <v>2500</v>
      </c>
      <c r="M22" s="249">
        <v>2500</v>
      </c>
      <c r="N22" s="249">
        <v>2500</v>
      </c>
      <c r="O22" s="249">
        <v>2750</v>
      </c>
      <c r="P22" s="249">
        <v>2750</v>
      </c>
      <c r="Q22" s="76">
        <f t="shared" ref="Q22:Q24" si="17">SUM(E22:P22)</f>
        <v>206000</v>
      </c>
      <c r="R22" s="264"/>
    </row>
    <row r="23" spans="2:18" x14ac:dyDescent="0.3">
      <c r="B23" s="1">
        <v>700</v>
      </c>
      <c r="C23" s="7" t="s">
        <v>112</v>
      </c>
      <c r="D23" s="232">
        <f>'Capital &amp; Debt'!E25</f>
        <v>40000</v>
      </c>
      <c r="E23" s="248">
        <f>'Capital &amp; Debt'!F25/12</f>
        <v>0</v>
      </c>
      <c r="F23" s="249">
        <f>E23</f>
        <v>0</v>
      </c>
      <c r="G23" s="249">
        <f t="shared" ref="G23:P23" si="18">F23</f>
        <v>0</v>
      </c>
      <c r="H23" s="249">
        <f t="shared" si="18"/>
        <v>0</v>
      </c>
      <c r="I23" s="249">
        <f t="shared" si="18"/>
        <v>0</v>
      </c>
      <c r="J23" s="249">
        <f t="shared" si="18"/>
        <v>0</v>
      </c>
      <c r="K23" s="249">
        <f t="shared" si="18"/>
        <v>0</v>
      </c>
      <c r="L23" s="249">
        <f t="shared" si="18"/>
        <v>0</v>
      </c>
      <c r="M23" s="249">
        <f t="shared" si="18"/>
        <v>0</v>
      </c>
      <c r="N23" s="249">
        <f t="shared" si="18"/>
        <v>0</v>
      </c>
      <c r="O23" s="249">
        <f t="shared" si="18"/>
        <v>0</v>
      </c>
      <c r="P23" s="249">
        <f t="shared" si="18"/>
        <v>0</v>
      </c>
      <c r="Q23" s="76">
        <f t="shared" si="17"/>
        <v>0</v>
      </c>
      <c r="R23" s="264"/>
    </row>
    <row r="24" spans="2:18" ht="27.6" x14ac:dyDescent="0.3">
      <c r="B24" s="6">
        <v>800</v>
      </c>
      <c r="C24" s="175" t="s">
        <v>116</v>
      </c>
      <c r="D24" s="233">
        <f>'Capital &amp; Debt'!E38</f>
        <v>90000</v>
      </c>
      <c r="E24" s="250">
        <f>'Capital &amp; Debt'!F38/12</f>
        <v>45000</v>
      </c>
      <c r="F24" s="251">
        <f>E24</f>
        <v>45000</v>
      </c>
      <c r="G24" s="251">
        <f t="shared" ref="G24:P24" si="19">F24</f>
        <v>45000</v>
      </c>
      <c r="H24" s="251">
        <f t="shared" si="19"/>
        <v>45000</v>
      </c>
      <c r="I24" s="251">
        <f t="shared" si="19"/>
        <v>45000</v>
      </c>
      <c r="J24" s="251">
        <f t="shared" si="19"/>
        <v>45000</v>
      </c>
      <c r="K24" s="251">
        <f t="shared" si="19"/>
        <v>45000</v>
      </c>
      <c r="L24" s="251">
        <f t="shared" si="19"/>
        <v>45000</v>
      </c>
      <c r="M24" s="251">
        <f t="shared" si="19"/>
        <v>45000</v>
      </c>
      <c r="N24" s="251">
        <f t="shared" si="19"/>
        <v>45000</v>
      </c>
      <c r="O24" s="251">
        <f t="shared" si="19"/>
        <v>45000</v>
      </c>
      <c r="P24" s="251">
        <f t="shared" si="19"/>
        <v>45000</v>
      </c>
      <c r="Q24" s="177">
        <f t="shared" si="17"/>
        <v>540000</v>
      </c>
      <c r="R24" s="264" t="s">
        <v>530</v>
      </c>
    </row>
    <row r="25" spans="2:18" x14ac:dyDescent="0.3">
      <c r="B25" s="1"/>
      <c r="C25" s="12" t="s">
        <v>446</v>
      </c>
      <c r="D25" s="29">
        <f>SUM(D19:D24)</f>
        <v>543839</v>
      </c>
      <c r="E25" s="172">
        <f t="shared" ref="E25" si="20">SUM(E19:E24)</f>
        <v>178328.25</v>
      </c>
      <c r="F25" s="22">
        <f t="shared" ref="F25" si="21">SUM(F19:F24)</f>
        <v>239853</v>
      </c>
      <c r="G25" s="22">
        <f t="shared" ref="G25" si="22">SUM(G19:G24)</f>
        <v>261046.9</v>
      </c>
      <c r="H25" s="22">
        <f t="shared" ref="H25" si="23">SUM(H19:H24)</f>
        <v>231046.9</v>
      </c>
      <c r="I25" s="22">
        <f t="shared" ref="I25" si="24">SUM(I19:I24)</f>
        <v>231046.9</v>
      </c>
      <c r="J25" s="22">
        <f t="shared" ref="J25" si="25">SUM(J19:J24)</f>
        <v>231046.9</v>
      </c>
      <c r="K25" s="22">
        <f t="shared" ref="K25" si="26">SUM(K19:K24)</f>
        <v>219046.9</v>
      </c>
      <c r="L25" s="22">
        <f t="shared" ref="L25" si="27">SUM(L19:L24)</f>
        <v>218546.9</v>
      </c>
      <c r="M25" s="22">
        <f t="shared" ref="M25" si="28">SUM(M19:M24)</f>
        <v>218546.9</v>
      </c>
      <c r="N25" s="22">
        <f t="shared" ref="N25" si="29">SUM(N19:N24)</f>
        <v>218546.9</v>
      </c>
      <c r="O25" s="22">
        <f t="shared" ref="O25" si="30">SUM(O19:O24)</f>
        <v>218796.9</v>
      </c>
      <c r="P25" s="22">
        <f t="shared" ref="P25" si="31">SUM(P19:P24)</f>
        <v>212805.3</v>
      </c>
      <c r="Q25" s="29">
        <f>SUM(Q19:Q24)</f>
        <v>2678658.65</v>
      </c>
      <c r="R25" s="265"/>
    </row>
    <row r="26" spans="2:18" ht="16.8" thickBot="1" x14ac:dyDescent="0.5">
      <c r="B26" s="9"/>
      <c r="C26" s="25"/>
      <c r="D26" s="32"/>
      <c r="E26" s="173"/>
      <c r="F26" s="10"/>
      <c r="G26" s="10"/>
      <c r="H26" s="10"/>
      <c r="I26" s="10"/>
      <c r="J26" s="10"/>
      <c r="K26" s="10"/>
      <c r="L26" s="10"/>
      <c r="M26" s="10"/>
      <c r="N26" s="10"/>
      <c r="O26" s="10"/>
      <c r="P26" s="10"/>
      <c r="Q26" s="32"/>
      <c r="R26" s="265"/>
    </row>
    <row r="27" spans="2:18" ht="15" thickTop="1" x14ac:dyDescent="0.3">
      <c r="B27" s="1"/>
      <c r="C27" s="7" t="s">
        <v>447</v>
      </c>
      <c r="D27" s="29">
        <f t="shared" ref="D27:Q27" si="32">D16-D25</f>
        <v>56161</v>
      </c>
      <c r="E27" s="172">
        <f t="shared" si="32"/>
        <v>50245.083333333314</v>
      </c>
      <c r="F27" s="22">
        <f t="shared" si="32"/>
        <v>-11279.666666666686</v>
      </c>
      <c r="G27" s="22">
        <f t="shared" si="32"/>
        <v>-32473.56666666668</v>
      </c>
      <c r="H27" s="22">
        <f t="shared" si="32"/>
        <v>-2473.5666666666802</v>
      </c>
      <c r="I27" s="22">
        <f t="shared" si="32"/>
        <v>-27473.56666666668</v>
      </c>
      <c r="J27" s="22">
        <f t="shared" si="32"/>
        <v>-27473.56666666668</v>
      </c>
      <c r="K27" s="22">
        <f t="shared" si="32"/>
        <v>-15473.56666666668</v>
      </c>
      <c r="L27" s="22">
        <f t="shared" si="32"/>
        <v>-31723.56666666668</v>
      </c>
      <c r="M27" s="22">
        <f t="shared" si="32"/>
        <v>-31723.56666666668</v>
      </c>
      <c r="N27" s="22">
        <f t="shared" si="32"/>
        <v>-31723.56666666668</v>
      </c>
      <c r="O27" s="22">
        <f t="shared" si="32"/>
        <v>-31973.56666666668</v>
      </c>
      <c r="P27" s="22">
        <f t="shared" si="32"/>
        <v>-26241.966666666674</v>
      </c>
      <c r="Q27" s="29">
        <f t="shared" si="32"/>
        <v>-219788.64999999991</v>
      </c>
      <c r="R27" s="265"/>
    </row>
    <row r="28" spans="2:18" x14ac:dyDescent="0.3">
      <c r="B28" s="1"/>
      <c r="C28" s="7"/>
      <c r="D28" s="29"/>
      <c r="E28" s="172"/>
      <c r="F28" s="22"/>
      <c r="G28" s="22"/>
      <c r="H28" s="22"/>
      <c r="I28" s="22"/>
      <c r="J28" s="22"/>
      <c r="K28" s="22"/>
      <c r="L28" s="22"/>
      <c r="M28" s="22"/>
      <c r="N28" s="22"/>
      <c r="O28" s="22"/>
      <c r="P28" s="22"/>
      <c r="Q28" s="29"/>
      <c r="R28" s="265"/>
    </row>
    <row r="29" spans="2:18" x14ac:dyDescent="0.3">
      <c r="B29" s="26"/>
      <c r="C29" s="33" t="s">
        <v>448</v>
      </c>
      <c r="D29" s="34">
        <f t="shared" ref="D29:P29" si="33">D10+D27</f>
        <v>56161</v>
      </c>
      <c r="E29" s="174">
        <f t="shared" si="33"/>
        <v>106406.08333333331</v>
      </c>
      <c r="F29" s="35">
        <f t="shared" si="33"/>
        <v>95126.416666666628</v>
      </c>
      <c r="G29" s="35">
        <f t="shared" si="33"/>
        <v>62652.849999999948</v>
      </c>
      <c r="H29" s="35">
        <f t="shared" si="33"/>
        <v>60179.283333333267</v>
      </c>
      <c r="I29" s="35">
        <f t="shared" si="33"/>
        <v>32705.716666666587</v>
      </c>
      <c r="J29" s="35">
        <f t="shared" si="33"/>
        <v>5232.1499999999069</v>
      </c>
      <c r="K29" s="35">
        <f t="shared" si="33"/>
        <v>-10241.416666666773</v>
      </c>
      <c r="L29" s="35">
        <f t="shared" si="33"/>
        <v>-41964.983333333454</v>
      </c>
      <c r="M29" s="35">
        <f t="shared" si="33"/>
        <v>-73688.550000000134</v>
      </c>
      <c r="N29" s="35">
        <f t="shared" si="33"/>
        <v>-105412.11666666681</v>
      </c>
      <c r="O29" s="35">
        <f t="shared" si="33"/>
        <v>-137385.68333333349</v>
      </c>
      <c r="P29" s="35">
        <f t="shared" si="33"/>
        <v>-163627.65000000017</v>
      </c>
      <c r="Q29" s="178"/>
      <c r="R29" s="265" t="s">
        <v>449</v>
      </c>
    </row>
    <row r="30" spans="2:18" x14ac:dyDescent="0.3">
      <c r="B30" s="1"/>
    </row>
  </sheetData>
  <sheetProtection algorithmName="SHA-512" hashValue="diFX4LOTzkHe5s3PLOXHxfkdsuacaDaPe4sBT88gnhNsmmo5hgyjvsmRD2WHaiMNKLdyT0yxcAuGpooKeTS0vg==" saltValue="5sI4xXbKC77nRwLY4bV+Tg==" spinCount="100000" sheet="1" objects="1" scenarios="1"/>
  <mergeCells count="1">
    <mergeCell ref="B6:Q6"/>
  </mergeCells>
  <phoneticPr fontId="3" type="noConversion"/>
  <conditionalFormatting sqref="D27:Q29">
    <cfRule type="cellIs" dxfId="0" priority="1" operator="less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BBB60-6C22-49D7-B29E-7F02FD15445C}">
  <dimension ref="A1:P35"/>
  <sheetViews>
    <sheetView topLeftCell="G1" workbookViewId="0">
      <selection activeCell="O20" sqref="O20"/>
    </sheetView>
  </sheetViews>
  <sheetFormatPr defaultRowHeight="14.4" x14ac:dyDescent="0.3"/>
  <cols>
    <col min="1" max="1" width="22.5546875" customWidth="1"/>
    <col min="2" max="2" width="3.88671875" customWidth="1"/>
    <col min="3" max="3" width="54.5546875" bestFit="1" customWidth="1"/>
    <col min="4" max="4" width="13.6640625" customWidth="1"/>
    <col min="5" max="5" width="3.5546875" customWidth="1"/>
    <col min="6" max="6" width="51.6640625" bestFit="1" customWidth="1"/>
    <col min="7" max="7" width="12.109375" bestFit="1" customWidth="1"/>
    <col min="9" max="9" width="74.88671875" bestFit="1" customWidth="1"/>
    <col min="11" max="11" width="3.33203125" customWidth="1"/>
    <col min="12" max="12" width="39.44140625" customWidth="1"/>
    <col min="15" max="15" width="32" bestFit="1" customWidth="1"/>
    <col min="16" max="16" width="11.33203125" bestFit="1" customWidth="1"/>
  </cols>
  <sheetData>
    <row r="1" spans="1:16" ht="21" x14ac:dyDescent="0.4">
      <c r="A1" s="276" t="s">
        <v>450</v>
      </c>
      <c r="B1" s="276"/>
      <c r="C1" s="276"/>
    </row>
    <row r="2" spans="1:16" x14ac:dyDescent="0.3">
      <c r="O2" s="277" t="s">
        <v>451</v>
      </c>
      <c r="P2" s="277"/>
    </row>
    <row r="3" spans="1:16" ht="43.2" x14ac:dyDescent="0.3">
      <c r="A3" s="24" t="s">
        <v>452</v>
      </c>
      <c r="C3" s="24" t="s">
        <v>453</v>
      </c>
      <c r="D3" s="96" t="s">
        <v>454</v>
      </c>
      <c r="F3" s="24" t="s">
        <v>455</v>
      </c>
      <c r="G3" s="96" t="s">
        <v>454</v>
      </c>
      <c r="I3" s="24" t="s">
        <v>456</v>
      </c>
      <c r="J3" s="96" t="s">
        <v>454</v>
      </c>
      <c r="L3" s="24" t="s">
        <v>457</v>
      </c>
      <c r="M3" s="96" t="s">
        <v>454</v>
      </c>
      <c r="O3" s="24" t="s">
        <v>458</v>
      </c>
      <c r="P3" s="21" t="s">
        <v>459</v>
      </c>
    </row>
    <row r="4" spans="1:16" x14ac:dyDescent="0.3">
      <c r="A4" t="s">
        <v>232</v>
      </c>
      <c r="C4" t="s">
        <v>313</v>
      </c>
      <c r="D4" s="1">
        <v>610</v>
      </c>
      <c r="F4" t="s">
        <v>355</v>
      </c>
      <c r="G4" s="1">
        <v>320</v>
      </c>
      <c r="I4" t="s">
        <v>460</v>
      </c>
      <c r="J4">
        <v>450</v>
      </c>
      <c r="L4" t="s">
        <v>461</v>
      </c>
      <c r="M4">
        <v>831</v>
      </c>
      <c r="O4" t="s">
        <v>462</v>
      </c>
      <c r="P4" s="5">
        <v>9502</v>
      </c>
    </row>
    <row r="5" spans="1:16" x14ac:dyDescent="0.3">
      <c r="A5" t="s">
        <v>272</v>
      </c>
      <c r="C5" t="s">
        <v>316</v>
      </c>
      <c r="D5" s="1">
        <v>612</v>
      </c>
      <c r="F5" t="s">
        <v>357</v>
      </c>
      <c r="G5" s="1">
        <v>331</v>
      </c>
      <c r="I5" t="s">
        <v>463</v>
      </c>
      <c r="J5">
        <v>710</v>
      </c>
      <c r="L5" t="s">
        <v>464</v>
      </c>
      <c r="M5">
        <v>832</v>
      </c>
      <c r="O5" t="s">
        <v>465</v>
      </c>
      <c r="P5" s="5">
        <v>10202</v>
      </c>
    </row>
    <row r="6" spans="1:16" x14ac:dyDescent="0.3">
      <c r="C6" t="s">
        <v>466</v>
      </c>
      <c r="D6" s="1">
        <v>621</v>
      </c>
      <c r="F6" t="s">
        <v>360</v>
      </c>
      <c r="G6" s="1">
        <v>332</v>
      </c>
      <c r="I6" t="s">
        <v>467</v>
      </c>
      <c r="J6">
        <v>720</v>
      </c>
      <c r="L6" t="s">
        <v>468</v>
      </c>
      <c r="M6">
        <v>833</v>
      </c>
      <c r="O6" t="s">
        <v>469</v>
      </c>
      <c r="P6" s="5">
        <v>10864</v>
      </c>
    </row>
    <row r="7" spans="1:16" x14ac:dyDescent="0.3">
      <c r="C7" t="s">
        <v>470</v>
      </c>
      <c r="D7" s="1">
        <v>622</v>
      </c>
      <c r="F7" t="s">
        <v>362</v>
      </c>
      <c r="G7" s="1">
        <v>334</v>
      </c>
      <c r="I7" t="s">
        <v>471</v>
      </c>
      <c r="J7">
        <v>731</v>
      </c>
      <c r="L7" t="s">
        <v>472</v>
      </c>
      <c r="M7">
        <v>836</v>
      </c>
      <c r="O7" t="s">
        <v>58</v>
      </c>
      <c r="P7" s="5">
        <v>9502</v>
      </c>
    </row>
    <row r="8" spans="1:16" x14ac:dyDescent="0.3">
      <c r="C8" t="s">
        <v>343</v>
      </c>
      <c r="D8" s="1">
        <v>630</v>
      </c>
      <c r="F8" t="s">
        <v>473</v>
      </c>
      <c r="G8" s="1">
        <v>335</v>
      </c>
      <c r="I8" t="s">
        <v>474</v>
      </c>
      <c r="J8">
        <v>732</v>
      </c>
      <c r="O8" t="s">
        <v>475</v>
      </c>
      <c r="P8" s="5">
        <v>10253</v>
      </c>
    </row>
    <row r="9" spans="1:16" x14ac:dyDescent="0.3">
      <c r="C9" t="s">
        <v>319</v>
      </c>
      <c r="D9" s="1">
        <v>641</v>
      </c>
      <c r="F9" t="s">
        <v>476</v>
      </c>
      <c r="G9" s="1">
        <v>336</v>
      </c>
      <c r="I9" t="s">
        <v>418</v>
      </c>
      <c r="J9">
        <v>733</v>
      </c>
      <c r="O9" t="s">
        <v>477</v>
      </c>
      <c r="P9" s="5">
        <v>10255</v>
      </c>
    </row>
    <row r="10" spans="1:16" x14ac:dyDescent="0.3">
      <c r="C10" t="s">
        <v>321</v>
      </c>
      <c r="D10" s="1">
        <v>651</v>
      </c>
      <c r="F10" t="s">
        <v>478</v>
      </c>
      <c r="G10" s="1">
        <v>337</v>
      </c>
      <c r="I10" t="s">
        <v>479</v>
      </c>
      <c r="J10">
        <v>734</v>
      </c>
      <c r="O10" t="s">
        <v>480</v>
      </c>
      <c r="P10" s="5">
        <v>22108</v>
      </c>
    </row>
    <row r="11" spans="1:16" x14ac:dyDescent="0.3">
      <c r="C11" t="s">
        <v>324</v>
      </c>
      <c r="D11" s="1">
        <v>652</v>
      </c>
      <c r="F11" t="s">
        <v>365</v>
      </c>
      <c r="G11" s="1">
        <v>340</v>
      </c>
      <c r="I11" t="s">
        <v>481</v>
      </c>
      <c r="J11">
        <v>735</v>
      </c>
      <c r="O11" t="s">
        <v>482</v>
      </c>
      <c r="P11" s="5">
        <v>17347</v>
      </c>
    </row>
    <row r="12" spans="1:16" x14ac:dyDescent="0.3">
      <c r="C12" t="s">
        <v>325</v>
      </c>
      <c r="D12" s="1">
        <v>653</v>
      </c>
      <c r="F12" t="s">
        <v>483</v>
      </c>
      <c r="G12" s="1">
        <v>341</v>
      </c>
      <c r="O12" t="s">
        <v>484</v>
      </c>
      <c r="P12" s="5">
        <v>10975</v>
      </c>
    </row>
    <row r="13" spans="1:16" x14ac:dyDescent="0.3">
      <c r="C13" t="s">
        <v>336</v>
      </c>
      <c r="D13" s="1">
        <v>654</v>
      </c>
      <c r="F13" t="s">
        <v>373</v>
      </c>
      <c r="G13" s="1">
        <v>345</v>
      </c>
      <c r="O13" t="s">
        <v>485</v>
      </c>
      <c r="P13" s="5">
        <v>13964</v>
      </c>
    </row>
    <row r="14" spans="1:16" x14ac:dyDescent="0.3">
      <c r="D14" s="1"/>
      <c r="F14" t="s">
        <v>363</v>
      </c>
      <c r="G14" s="1">
        <v>350</v>
      </c>
      <c r="O14" t="s">
        <v>486</v>
      </c>
      <c r="P14" s="5">
        <v>16274</v>
      </c>
    </row>
    <row r="15" spans="1:16" x14ac:dyDescent="0.3">
      <c r="A15" s="142"/>
      <c r="D15" s="1"/>
      <c r="F15" t="s">
        <v>377</v>
      </c>
      <c r="G15" s="1">
        <v>360</v>
      </c>
      <c r="O15" t="s">
        <v>487</v>
      </c>
      <c r="P15" s="5">
        <v>10260</v>
      </c>
    </row>
    <row r="16" spans="1:16" x14ac:dyDescent="0.3">
      <c r="D16" s="1"/>
      <c r="F16" t="s">
        <v>400</v>
      </c>
      <c r="G16" s="1">
        <v>410</v>
      </c>
      <c r="O16" t="s">
        <v>488</v>
      </c>
      <c r="P16" s="5">
        <v>15998</v>
      </c>
    </row>
    <row r="17" spans="4:16" x14ac:dyDescent="0.3">
      <c r="D17" s="1"/>
      <c r="F17" t="s">
        <v>403</v>
      </c>
      <c r="G17" s="1">
        <v>420</v>
      </c>
      <c r="O17" t="s">
        <v>489</v>
      </c>
      <c r="P17" s="5">
        <v>10252</v>
      </c>
    </row>
    <row r="18" spans="4:16" x14ac:dyDescent="0.3">
      <c r="D18" s="1"/>
      <c r="F18" t="s">
        <v>406</v>
      </c>
      <c r="G18" s="1">
        <v>431</v>
      </c>
      <c r="O18" t="s">
        <v>490</v>
      </c>
      <c r="P18" s="5">
        <v>15137</v>
      </c>
    </row>
    <row r="19" spans="4:16" x14ac:dyDescent="0.3">
      <c r="D19" s="1"/>
      <c r="F19" t="s">
        <v>390</v>
      </c>
      <c r="G19" s="1">
        <v>432</v>
      </c>
      <c r="O19" t="s">
        <v>491</v>
      </c>
      <c r="P19" s="5">
        <v>16647</v>
      </c>
    </row>
    <row r="20" spans="4:16" x14ac:dyDescent="0.3">
      <c r="D20" s="1"/>
      <c r="F20" t="s">
        <v>408</v>
      </c>
      <c r="G20" s="1">
        <v>441</v>
      </c>
      <c r="O20" t="s">
        <v>492</v>
      </c>
      <c r="P20" s="5">
        <v>9502</v>
      </c>
    </row>
    <row r="21" spans="4:16" x14ac:dyDescent="0.3">
      <c r="D21" s="1"/>
      <c r="F21" t="s">
        <v>412</v>
      </c>
      <c r="G21" s="1">
        <v>442</v>
      </c>
      <c r="O21" t="s">
        <v>493</v>
      </c>
      <c r="P21" s="5">
        <v>13893</v>
      </c>
    </row>
    <row r="22" spans="4:16" x14ac:dyDescent="0.3">
      <c r="D22" s="1"/>
      <c r="F22" t="s">
        <v>494</v>
      </c>
      <c r="G22" s="1">
        <v>443</v>
      </c>
    </row>
    <row r="23" spans="4:16" x14ac:dyDescent="0.3">
      <c r="F23" t="s">
        <v>495</v>
      </c>
      <c r="G23" s="1">
        <v>444</v>
      </c>
    </row>
    <row r="24" spans="4:16" x14ac:dyDescent="0.3">
      <c r="F24" t="s">
        <v>496</v>
      </c>
      <c r="G24" s="1">
        <v>450</v>
      </c>
    </row>
    <row r="25" spans="4:16" x14ac:dyDescent="0.3">
      <c r="F25" t="s">
        <v>396</v>
      </c>
      <c r="G25" s="1">
        <v>510</v>
      </c>
    </row>
    <row r="26" spans="4:16" x14ac:dyDescent="0.3">
      <c r="F26" t="s">
        <v>409</v>
      </c>
      <c r="G26" s="1">
        <v>521</v>
      </c>
    </row>
    <row r="27" spans="4:16" x14ac:dyDescent="0.3">
      <c r="F27" t="s">
        <v>411</v>
      </c>
      <c r="G27" s="1">
        <v>522</v>
      </c>
    </row>
    <row r="28" spans="4:16" x14ac:dyDescent="0.3">
      <c r="F28" t="s">
        <v>384</v>
      </c>
      <c r="G28" s="1">
        <v>530</v>
      </c>
    </row>
    <row r="29" spans="4:16" x14ac:dyDescent="0.3">
      <c r="F29" t="s">
        <v>497</v>
      </c>
      <c r="G29" s="1">
        <v>540</v>
      </c>
    </row>
    <row r="30" spans="4:16" x14ac:dyDescent="0.3">
      <c r="F30" t="s">
        <v>498</v>
      </c>
      <c r="G30" s="1">
        <v>550</v>
      </c>
    </row>
    <row r="31" spans="4:16" x14ac:dyDescent="0.3">
      <c r="F31" t="s">
        <v>499</v>
      </c>
      <c r="G31" s="1">
        <v>560</v>
      </c>
    </row>
    <row r="32" spans="4:16" x14ac:dyDescent="0.3">
      <c r="F32" t="s">
        <v>393</v>
      </c>
      <c r="G32" s="1">
        <v>570</v>
      </c>
    </row>
    <row r="33" spans="6:7" x14ac:dyDescent="0.3">
      <c r="F33" t="s">
        <v>500</v>
      </c>
      <c r="G33" s="1">
        <v>580</v>
      </c>
    </row>
    <row r="34" spans="6:7" x14ac:dyDescent="0.3">
      <c r="F34" t="s">
        <v>369</v>
      </c>
      <c r="G34" s="1">
        <v>591</v>
      </c>
    </row>
    <row r="35" spans="6:7" x14ac:dyDescent="0.3">
      <c r="F35" t="s">
        <v>387</v>
      </c>
      <c r="G35" s="1">
        <v>810</v>
      </c>
    </row>
  </sheetData>
  <sheetProtection algorithmName="SHA-512" hashValue="9dteBn6PDFYUSgD7wDtjK+buuNr66eZEe5zL9xEleNadKyAEl2hRUVjy8GkFDSQz+eNOJMxSq3MTeYwOU3bSgA==" saltValue="s3PSn6mNok1XRkqaAP6eUg==" spinCount="100000" sheet="1" objects="1" scenarios="1"/>
  <sortState xmlns:xlrd2="http://schemas.microsoft.com/office/spreadsheetml/2017/richdata2" ref="I4:J12">
    <sortCondition ref="J4:J12"/>
  </sortState>
  <mergeCells count="2">
    <mergeCell ref="A1:C1"/>
    <mergeCell ref="O2:P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D9225-637A-4D04-929E-FD207C54E191}">
  <dimension ref="A1:E37"/>
  <sheetViews>
    <sheetView tabSelected="1" workbookViewId="0">
      <selection activeCell="D31" sqref="D31"/>
    </sheetView>
  </sheetViews>
  <sheetFormatPr defaultColWidth="8.6640625" defaultRowHeight="14.4" x14ac:dyDescent="0.3"/>
  <cols>
    <col min="1" max="1" width="31.33203125" customWidth="1"/>
    <col min="2" max="2" width="16.33203125" customWidth="1"/>
    <col min="3" max="3" width="21" customWidth="1"/>
    <col min="4" max="4" width="27.6640625" customWidth="1"/>
    <col min="5" max="5" width="23" customWidth="1"/>
    <col min="6" max="6" width="8.6640625" customWidth="1"/>
    <col min="7" max="7" width="8.44140625" customWidth="1"/>
    <col min="8" max="8" width="38.6640625" customWidth="1"/>
    <col min="10" max="10" width="0" hidden="1" customWidth="1"/>
  </cols>
  <sheetData>
    <row r="1" spans="1:5" ht="23.4" x14ac:dyDescent="0.45">
      <c r="A1" s="201" t="s">
        <v>52</v>
      </c>
    </row>
    <row r="2" spans="1:5" ht="23.4" x14ac:dyDescent="0.45">
      <c r="A2" s="201"/>
    </row>
    <row r="4" spans="1:5" ht="25.5" customHeight="1" x14ac:dyDescent="0.7">
      <c r="A4" s="200" t="s">
        <v>53</v>
      </c>
      <c r="B4" s="268" t="s">
        <v>54</v>
      </c>
      <c r="C4" s="268"/>
      <c r="D4" s="268"/>
      <c r="E4" s="189"/>
    </row>
    <row r="5" spans="1:5" ht="18" x14ac:dyDescent="0.35">
      <c r="A5" s="200" t="s">
        <v>55</v>
      </c>
      <c r="B5" s="269" t="s">
        <v>56</v>
      </c>
      <c r="C5" s="269"/>
      <c r="D5" s="269"/>
    </row>
    <row r="6" spans="1:5" ht="18" x14ac:dyDescent="0.35">
      <c r="A6" s="200" t="s">
        <v>57</v>
      </c>
      <c r="B6" s="269" t="s">
        <v>58</v>
      </c>
      <c r="C6" s="269"/>
      <c r="D6" s="269"/>
    </row>
    <row r="7" spans="1:5" ht="18" x14ac:dyDescent="0.35">
      <c r="A7" s="200" t="s">
        <v>59</v>
      </c>
      <c r="B7" s="269">
        <v>2027</v>
      </c>
      <c r="C7" s="269"/>
      <c r="D7" s="269"/>
    </row>
    <row r="9" spans="1:5" hidden="1" x14ac:dyDescent="0.3">
      <c r="A9" s="191" t="s">
        <v>60</v>
      </c>
      <c r="B9" s="191"/>
      <c r="C9" s="192" t="s">
        <v>61</v>
      </c>
      <c r="D9" s="191" t="s">
        <v>62</v>
      </c>
    </row>
    <row r="10" spans="1:5" hidden="1" x14ac:dyDescent="0.3">
      <c r="A10" s="267" t="s">
        <v>63</v>
      </c>
      <c r="B10" s="267"/>
      <c r="C10" s="193"/>
      <c r="D10" s="208"/>
    </row>
    <row r="11" spans="1:5" hidden="1" x14ac:dyDescent="0.3">
      <c r="A11" s="270"/>
      <c r="B11" s="270"/>
      <c r="C11" s="193"/>
      <c r="D11" s="209"/>
    </row>
    <row r="12" spans="1:5" ht="30.75" hidden="1" customHeight="1" x14ac:dyDescent="0.3">
      <c r="A12" s="271" t="s">
        <v>64</v>
      </c>
      <c r="B12" s="271"/>
      <c r="C12" s="271"/>
      <c r="D12" s="271"/>
    </row>
    <row r="13" spans="1:5" ht="18" hidden="1" customHeight="1" x14ac:dyDescent="0.3">
      <c r="A13" s="272" t="s">
        <v>63</v>
      </c>
      <c r="B13" s="272"/>
      <c r="C13" s="272"/>
      <c r="D13" s="272"/>
    </row>
    <row r="14" spans="1:5" ht="18" hidden="1" customHeight="1" x14ac:dyDescent="0.3">
      <c r="A14" s="273" t="s">
        <v>65</v>
      </c>
      <c r="B14" s="273"/>
      <c r="C14" s="273"/>
      <c r="D14" s="273"/>
    </row>
    <row r="15" spans="1:5" hidden="1" x14ac:dyDescent="0.3">
      <c r="A15" s="194" t="s">
        <v>66</v>
      </c>
    </row>
    <row r="16" spans="1:5" hidden="1" x14ac:dyDescent="0.3">
      <c r="A16" s="194"/>
    </row>
    <row r="17" spans="1:4" hidden="1" x14ac:dyDescent="0.3">
      <c r="A17" s="195" t="s">
        <v>67</v>
      </c>
    </row>
    <row r="18" spans="1:4" hidden="1" x14ac:dyDescent="0.3">
      <c r="A18" s="196"/>
      <c r="B18" s="197" t="s">
        <v>68</v>
      </c>
    </row>
    <row r="19" spans="1:4" hidden="1" x14ac:dyDescent="0.3">
      <c r="A19" s="198"/>
      <c r="B19" s="194" t="s">
        <v>69</v>
      </c>
    </row>
    <row r="20" spans="1:4" hidden="1" x14ac:dyDescent="0.3">
      <c r="A20" s="196"/>
      <c r="B20" s="199" t="s">
        <v>70</v>
      </c>
    </row>
    <row r="21" spans="1:4" hidden="1" x14ac:dyDescent="0.3">
      <c r="A21" s="198"/>
    </row>
    <row r="22" spans="1:4" hidden="1" x14ac:dyDescent="0.3">
      <c r="A22" s="196"/>
      <c r="B22" s="199" t="s">
        <v>71</v>
      </c>
    </row>
    <row r="23" spans="1:4" x14ac:dyDescent="0.3">
      <c r="C23" s="190"/>
    </row>
    <row r="25" spans="1:4" ht="20.25" customHeight="1" x14ac:dyDescent="0.3">
      <c r="A25" s="274" t="s">
        <v>72</v>
      </c>
      <c r="B25" s="274"/>
      <c r="C25" s="274"/>
      <c r="D25" s="274"/>
    </row>
    <row r="26" spans="1:4" ht="20.25" customHeight="1" x14ac:dyDescent="0.3">
      <c r="A26" s="206" t="s">
        <v>73</v>
      </c>
      <c r="B26" s="203" t="s">
        <v>74</v>
      </c>
      <c r="C26" s="203" t="s">
        <v>75</v>
      </c>
      <c r="D26" s="206" t="s">
        <v>76</v>
      </c>
    </row>
    <row r="27" spans="1:4" ht="18" customHeight="1" x14ac:dyDescent="0.3">
      <c r="A27" s="207" t="s">
        <v>523</v>
      </c>
      <c r="B27" s="202"/>
      <c r="C27" s="202"/>
      <c r="D27" s="207" t="s">
        <v>287</v>
      </c>
    </row>
    <row r="28" spans="1:4" ht="18" customHeight="1" x14ac:dyDescent="0.3">
      <c r="A28" s="207" t="s">
        <v>531</v>
      </c>
      <c r="B28" s="202"/>
      <c r="C28" s="202"/>
      <c r="D28" s="207" t="s">
        <v>525</v>
      </c>
    </row>
    <row r="29" spans="1:4" ht="18" customHeight="1" x14ac:dyDescent="0.3">
      <c r="A29" s="207" t="s">
        <v>524</v>
      </c>
      <c r="B29" s="202"/>
      <c r="C29" s="202"/>
      <c r="D29" s="207" t="s">
        <v>526</v>
      </c>
    </row>
    <row r="30" spans="1:4" ht="18" customHeight="1" x14ac:dyDescent="0.3">
      <c r="A30" s="207"/>
      <c r="B30" s="202"/>
      <c r="C30" s="202"/>
      <c r="D30" s="207"/>
    </row>
    <row r="31" spans="1:4" ht="18" customHeight="1" x14ac:dyDescent="0.3">
      <c r="A31" s="207"/>
      <c r="B31" s="202"/>
      <c r="C31" s="202"/>
      <c r="D31" s="207"/>
    </row>
    <row r="32" spans="1:4" ht="18" customHeight="1" x14ac:dyDescent="0.3">
      <c r="A32" s="207"/>
      <c r="B32" s="202"/>
      <c r="C32" s="202"/>
      <c r="D32" s="207"/>
    </row>
    <row r="33" spans="1:4" ht="18" customHeight="1" x14ac:dyDescent="0.3">
      <c r="A33" s="207"/>
      <c r="B33" s="202"/>
      <c r="C33" s="202"/>
      <c r="D33" s="207"/>
    </row>
    <row r="34" spans="1:4" ht="18" customHeight="1" x14ac:dyDescent="0.3">
      <c r="A34" s="207"/>
      <c r="B34" s="202"/>
      <c r="C34" s="202"/>
      <c r="D34" s="207"/>
    </row>
    <row r="35" spans="1:4" ht="18" customHeight="1" x14ac:dyDescent="0.3">
      <c r="A35" s="207"/>
      <c r="B35" s="202"/>
      <c r="C35" s="202"/>
      <c r="D35" s="207"/>
    </row>
    <row r="36" spans="1:4" ht="21.75" customHeight="1" x14ac:dyDescent="0.3">
      <c r="C36" t="s">
        <v>77</v>
      </c>
    </row>
    <row r="37" spans="1:4" ht="21" customHeight="1" x14ac:dyDescent="0.3">
      <c r="C37" s="210"/>
      <c r="D37" s="211"/>
    </row>
  </sheetData>
  <sheetProtection algorithmName="SHA-512" hashValue="eAQo10KGkGeOfrxLQ2pGIKHvPisNuv36ox2nfAikRn4J1NeqAAhhcjheIfaQhYdPShMmjPk7OnZX+ReT6rXMLA==" saltValue="ewcpdy5Uee44+Srq+4Y4ag==" spinCount="100000" sheet="1" objects="1" scenarios="1"/>
  <mergeCells count="10">
    <mergeCell ref="A11:B11"/>
    <mergeCell ref="A12:D12"/>
    <mergeCell ref="A13:D13"/>
    <mergeCell ref="A14:D14"/>
    <mergeCell ref="A25:D25"/>
    <mergeCell ref="A10:B10"/>
    <mergeCell ref="B4:D4"/>
    <mergeCell ref="B5:D5"/>
    <mergeCell ref="B6:D6"/>
    <mergeCell ref="B7:D7"/>
  </mergeCells>
  <conditionalFormatting sqref="B18">
    <cfRule type="cellIs" dxfId="2" priority="3" stopIfTrue="1" operator="equal">
      <formula>0</formula>
    </cfRule>
  </conditionalFormatting>
  <printOptions horizontalCentered="1"/>
  <pageMargins left="0.25" right="0.25" top="0.5" bottom="0.45" header="0.25" footer="0.25"/>
  <pageSetup scale="98" orientation="landscape" r:id="rId1"/>
  <headerFooter>
    <oddHeader xml:space="preserve">&amp;L &amp;C &amp;R </oddHeader>
    <oddFooter>&amp;L&amp;7&amp;D  at &amp;T Mike 702.486.8879&amp;C&amp;7&amp;F  &amp;A&amp;R&amp;7Page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027E9A0-DAC6-4102-9933-2B2F2B76C325}">
          <x14:formula1>
            <xm:f>Inputs!$O$4:$O$24</xm:f>
          </x14:formula1>
          <xm:sqref>E4</xm:sqref>
        </x14:dataValidation>
        <x14:dataValidation type="list" showInputMessage="1" showErrorMessage="1" xr:uid="{FDFAFB9B-6FB5-4FAA-B63F-44B2CCAB72B0}">
          <x14:formula1>
            <xm:f>Inputs!$O$4:$O$24</xm:f>
          </x14:formula1>
          <xm:sqref>B6:D6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B9B8D-0261-45C5-953E-2AD9A809FD05}">
  <dimension ref="B1:J41"/>
  <sheetViews>
    <sheetView topLeftCell="A16" zoomScale="120" zoomScaleNormal="120" workbookViewId="0">
      <selection activeCell="D35" sqref="D35"/>
    </sheetView>
  </sheetViews>
  <sheetFormatPr defaultRowHeight="14.4" x14ac:dyDescent="0.3"/>
  <cols>
    <col min="3" max="3" width="41.6640625" customWidth="1"/>
    <col min="4" max="9" width="13.88671875" customWidth="1"/>
    <col min="10" max="10" width="57.44140625" customWidth="1"/>
  </cols>
  <sheetData>
    <row r="1" spans="2:10" ht="18" x14ac:dyDescent="0.35">
      <c r="B1" s="36" t="s">
        <v>78</v>
      </c>
      <c r="C1" s="38" t="str">
        <f>Title!B4</f>
        <v>Nexus Academy</v>
      </c>
    </row>
    <row r="2" spans="2:10" ht="18" x14ac:dyDescent="0.35">
      <c r="B2" s="36" t="s">
        <v>79</v>
      </c>
      <c r="C2" s="38" t="str">
        <f>Title!B5</f>
        <v>Las Vegas (89015, 89011, 89122, 89121)</v>
      </c>
    </row>
    <row r="3" spans="2:10" ht="18" x14ac:dyDescent="0.35">
      <c r="B3" s="36" t="s">
        <v>80</v>
      </c>
      <c r="C3" s="38">
        <f>Title!B7</f>
        <v>2027</v>
      </c>
    </row>
    <row r="5" spans="2:10" ht="21" x14ac:dyDescent="0.4">
      <c r="B5" s="266" t="s">
        <v>81</v>
      </c>
      <c r="C5" s="266"/>
      <c r="D5" s="266"/>
      <c r="E5" s="266"/>
      <c r="F5" s="266"/>
      <c r="G5" s="266"/>
      <c r="H5" s="266"/>
      <c r="I5" s="266"/>
    </row>
    <row r="6" spans="2:10" ht="21" x14ac:dyDescent="0.4">
      <c r="B6" s="39"/>
      <c r="C6" s="39"/>
      <c r="D6" s="39"/>
      <c r="E6" s="39"/>
      <c r="F6" s="39"/>
      <c r="G6" s="39"/>
      <c r="H6" s="39"/>
      <c r="I6" s="39"/>
    </row>
    <row r="7" spans="2:10" ht="21.6" thickBot="1" x14ac:dyDescent="0.45">
      <c r="B7" s="39"/>
      <c r="C7" s="40" t="s">
        <v>82</v>
      </c>
      <c r="D7" s="55" t="str">
        <f>($C$3-1)&amp;"-"&amp;($C$3+0)</f>
        <v>2026-2027</v>
      </c>
      <c r="E7" s="55" t="str">
        <f>($C$3+0)&amp;"-"&amp;($C$3+1)</f>
        <v>2027-2028</v>
      </c>
      <c r="F7" s="55" t="str">
        <f>($C$3+1)&amp;"-"&amp;($C$3+2)</f>
        <v>2028-2029</v>
      </c>
      <c r="G7" s="55" t="str">
        <f>($C$3+2)&amp;"-"&amp;($C$3+3)</f>
        <v>2029-2030</v>
      </c>
      <c r="H7" s="55" t="str">
        <f>($C$3+3)&amp;"-"&amp;($C$3+4)</f>
        <v>2030-2031</v>
      </c>
      <c r="I7" s="55" t="str">
        <f>($C$3+4)&amp;"-"&amp;($C$3+5)</f>
        <v>2031-2032</v>
      </c>
    </row>
    <row r="8" spans="2:10" ht="21" x14ac:dyDescent="0.4">
      <c r="B8" s="39"/>
      <c r="C8" s="65" t="s">
        <v>83</v>
      </c>
      <c r="D8" s="80"/>
      <c r="E8" s="57">
        <f>Enrollment!D$23</f>
        <v>160</v>
      </c>
      <c r="F8" s="57">
        <f>Enrollment!E$23</f>
        <v>320</v>
      </c>
      <c r="G8" s="57">
        <f>Enrollment!F$23</f>
        <v>480</v>
      </c>
      <c r="H8" s="57">
        <f>Enrollment!G$23</f>
        <v>560</v>
      </c>
      <c r="I8" s="57">
        <f>Enrollment!H$23</f>
        <v>570</v>
      </c>
    </row>
    <row r="9" spans="2:10" x14ac:dyDescent="0.3">
      <c r="B9" s="1"/>
      <c r="C9" s="37" t="s">
        <v>84</v>
      </c>
      <c r="D9" s="131"/>
      <c r="E9" s="81"/>
      <c r="F9" s="73">
        <f>IFERROR(Enrollment!E$24,"-")</f>
        <v>1</v>
      </c>
      <c r="G9" s="73">
        <f>IFERROR(Enrollment!F$24,"-")</f>
        <v>0.5</v>
      </c>
      <c r="H9" s="73">
        <f>IFERROR(Enrollment!G$24,"-")</f>
        <v>0.16666666666666666</v>
      </c>
      <c r="I9" s="73">
        <f>IFERROR(Enrollment!H$24,"-")</f>
        <v>1.7857142857142856E-2</v>
      </c>
    </row>
    <row r="10" spans="2:10" ht="28.95" customHeight="1" x14ac:dyDescent="0.3">
      <c r="B10" s="19" t="s">
        <v>85</v>
      </c>
      <c r="C10" s="20" t="s">
        <v>86</v>
      </c>
      <c r="D10" s="60" t="s">
        <v>87</v>
      </c>
      <c r="E10" s="60" t="s">
        <v>88</v>
      </c>
      <c r="F10" s="60" t="s">
        <v>89</v>
      </c>
      <c r="G10" s="60" t="s">
        <v>90</v>
      </c>
      <c r="H10" s="60" t="s">
        <v>91</v>
      </c>
      <c r="I10" s="60" t="s">
        <v>92</v>
      </c>
      <c r="J10" s="20" t="s">
        <v>93</v>
      </c>
    </row>
    <row r="11" spans="2:10" ht="18.600000000000001" customHeight="1" x14ac:dyDescent="0.3">
      <c r="B11" s="147">
        <v>8000</v>
      </c>
      <c r="C11" s="166" t="s">
        <v>94</v>
      </c>
      <c r="D11" s="165">
        <v>0</v>
      </c>
      <c r="E11" s="157">
        <f>D34</f>
        <v>42545.830000000075</v>
      </c>
      <c r="F11" s="157">
        <f t="shared" ref="F11:I11" si="0">E34</f>
        <v>69886.470000000205</v>
      </c>
      <c r="G11" s="157">
        <f t="shared" si="0"/>
        <v>270246.98990000086</v>
      </c>
      <c r="H11" s="157">
        <f t="shared" si="0"/>
        <v>492333.784033</v>
      </c>
      <c r="I11" s="157">
        <f t="shared" si="0"/>
        <v>855429.77579071047</v>
      </c>
      <c r="J11" s="261"/>
    </row>
    <row r="12" spans="2:10" ht="22.95" customHeight="1" x14ac:dyDescent="0.3">
      <c r="B12" s="45"/>
      <c r="C12" s="148" t="s">
        <v>95</v>
      </c>
      <c r="D12" s="29"/>
      <c r="E12" s="29"/>
      <c r="F12" s="29"/>
      <c r="G12" s="29"/>
      <c r="H12" s="29"/>
      <c r="I12" s="29"/>
      <c r="J12" s="262"/>
    </row>
    <row r="13" spans="2:10" x14ac:dyDescent="0.3">
      <c r="B13" s="45">
        <v>1000</v>
      </c>
      <c r="C13" s="52" t="s">
        <v>96</v>
      </c>
      <c r="D13" s="29">
        <f>Revenue!D33</f>
        <v>0</v>
      </c>
      <c r="E13" s="29">
        <f>Revenue!E33</f>
        <v>5600</v>
      </c>
      <c r="F13" s="29">
        <f>Revenue!F33</f>
        <v>11200</v>
      </c>
      <c r="G13" s="29">
        <f>Revenue!G33</f>
        <v>16800</v>
      </c>
      <c r="H13" s="29">
        <f>Revenue!H33</f>
        <v>19600</v>
      </c>
      <c r="I13" s="29">
        <f>Revenue!I33</f>
        <v>19950</v>
      </c>
      <c r="J13" s="262" t="s">
        <v>97</v>
      </c>
    </row>
    <row r="14" spans="2:10" x14ac:dyDescent="0.3">
      <c r="B14" s="45">
        <v>3000</v>
      </c>
      <c r="C14" s="52" t="s">
        <v>98</v>
      </c>
      <c r="D14" s="29">
        <f>Revenue!D42</f>
        <v>0</v>
      </c>
      <c r="E14" s="29">
        <f>Revenue!E42</f>
        <v>1597280</v>
      </c>
      <c r="F14" s="29">
        <f>Revenue!F42</f>
        <v>3409440</v>
      </c>
      <c r="G14" s="29">
        <f>Revenue!G42</f>
        <v>5221600</v>
      </c>
      <c r="H14" s="29">
        <f>Revenue!H42</f>
        <v>6235120</v>
      </c>
      <c r="I14" s="29">
        <f>Revenue!I42</f>
        <v>6442390</v>
      </c>
      <c r="J14" s="262" t="s">
        <v>99</v>
      </c>
    </row>
    <row r="15" spans="2:10" x14ac:dyDescent="0.3">
      <c r="B15" s="45">
        <v>4000</v>
      </c>
      <c r="C15" s="13" t="s">
        <v>100</v>
      </c>
      <c r="D15" s="30">
        <f>Revenue!D56</f>
        <v>600000</v>
      </c>
      <c r="E15" s="30">
        <f>Revenue!E56</f>
        <v>1062315.2</v>
      </c>
      <c r="F15" s="30">
        <f>Revenue!F56</f>
        <v>1144730.3999999999</v>
      </c>
      <c r="G15" s="30">
        <f>Revenue!G56</f>
        <v>819045.6</v>
      </c>
      <c r="H15" s="30">
        <f>Revenue!H56</f>
        <v>963363.2</v>
      </c>
      <c r="I15" s="30">
        <f>Revenue!I56</f>
        <v>986017.89999999991</v>
      </c>
      <c r="J15" s="262" t="s">
        <v>101</v>
      </c>
    </row>
    <row r="16" spans="2:10" x14ac:dyDescent="0.3">
      <c r="B16" s="45"/>
      <c r="C16" s="77" t="s">
        <v>102</v>
      </c>
      <c r="D16" s="29">
        <f>SUM(D13:D15)</f>
        <v>600000</v>
      </c>
      <c r="E16" s="29">
        <f t="shared" ref="E16:I16" si="1">SUM(E13:E15)</f>
        <v>2665195.2000000002</v>
      </c>
      <c r="F16" s="29">
        <f t="shared" si="1"/>
        <v>4565370.4000000004</v>
      </c>
      <c r="G16" s="29">
        <f t="shared" si="1"/>
        <v>6057445.5999999996</v>
      </c>
      <c r="H16" s="29">
        <f t="shared" si="1"/>
        <v>7218083.2000000002</v>
      </c>
      <c r="I16" s="29">
        <f t="shared" si="1"/>
        <v>7448357.9000000004</v>
      </c>
      <c r="J16" s="262"/>
    </row>
    <row r="17" spans="2:10" x14ac:dyDescent="0.3">
      <c r="B17" s="45"/>
      <c r="D17" s="57"/>
      <c r="E17" s="57"/>
      <c r="F17" s="57"/>
      <c r="G17" s="57"/>
      <c r="H17" s="57"/>
      <c r="I17" s="57"/>
      <c r="J17" s="262"/>
    </row>
    <row r="18" spans="2:10" x14ac:dyDescent="0.3">
      <c r="B18" s="45">
        <v>5000</v>
      </c>
      <c r="C18" s="13" t="s">
        <v>103</v>
      </c>
      <c r="D18" s="30">
        <f>Revenue!D65</f>
        <v>0</v>
      </c>
      <c r="E18" s="30">
        <f>Revenue!E65</f>
        <v>0</v>
      </c>
      <c r="F18" s="30">
        <f>Revenue!F65</f>
        <v>0</v>
      </c>
      <c r="G18" s="30">
        <f>Revenue!G65</f>
        <v>0</v>
      </c>
      <c r="H18" s="30">
        <f>Revenue!H65</f>
        <v>0</v>
      </c>
      <c r="I18" s="30">
        <f>Revenue!I65</f>
        <v>0</v>
      </c>
      <c r="J18" s="262"/>
    </row>
    <row r="19" spans="2:10" ht="17.399999999999999" customHeight="1" thickBot="1" x14ac:dyDescent="0.35">
      <c r="B19" s="45"/>
      <c r="C19" s="161" t="s">
        <v>104</v>
      </c>
      <c r="D19" s="154">
        <f t="shared" ref="D19:I19" si="2">D18+D16</f>
        <v>600000</v>
      </c>
      <c r="E19" s="154">
        <f t="shared" si="2"/>
        <v>2665195.2000000002</v>
      </c>
      <c r="F19" s="154">
        <f t="shared" si="2"/>
        <v>4565370.4000000004</v>
      </c>
      <c r="G19" s="154">
        <f t="shared" si="2"/>
        <v>6057445.5999999996</v>
      </c>
      <c r="H19" s="154">
        <f t="shared" si="2"/>
        <v>7218083.2000000002</v>
      </c>
      <c r="I19" s="154">
        <f t="shared" si="2"/>
        <v>7448357.9000000004</v>
      </c>
      <c r="J19" s="262"/>
    </row>
    <row r="20" spans="2:10" ht="21" customHeight="1" thickTop="1" x14ac:dyDescent="0.3">
      <c r="B20" s="47"/>
      <c r="C20" s="182" t="s">
        <v>105</v>
      </c>
      <c r="D20" s="155">
        <f>D19+D11</f>
        <v>600000</v>
      </c>
      <c r="E20" s="155">
        <f t="shared" ref="E20:I20" si="3">E19+E11</f>
        <v>2707741.0300000003</v>
      </c>
      <c r="F20" s="155">
        <f t="shared" si="3"/>
        <v>4635256.870000001</v>
      </c>
      <c r="G20" s="155">
        <f t="shared" si="3"/>
        <v>6327692.5899</v>
      </c>
      <c r="H20" s="155">
        <f t="shared" si="3"/>
        <v>7710416.9840329997</v>
      </c>
      <c r="I20" s="155">
        <f t="shared" si="3"/>
        <v>8303787.6757907104</v>
      </c>
      <c r="J20" s="262"/>
    </row>
    <row r="21" spans="2:10" x14ac:dyDescent="0.3">
      <c r="B21" s="41"/>
      <c r="C21" s="150"/>
      <c r="D21" s="156"/>
      <c r="E21" s="156"/>
      <c r="F21" s="156"/>
      <c r="G21" s="156"/>
      <c r="H21" s="156"/>
      <c r="I21" s="156"/>
      <c r="J21" s="263"/>
    </row>
    <row r="22" spans="2:10" ht="15.6" x14ac:dyDescent="0.3">
      <c r="B22" s="45"/>
      <c r="C22" s="148" t="s">
        <v>106</v>
      </c>
      <c r="D22" s="29"/>
      <c r="E22" s="29"/>
      <c r="F22" s="29"/>
      <c r="G22" s="29"/>
      <c r="H22" s="29"/>
      <c r="I22" s="29"/>
      <c r="J22" s="262"/>
    </row>
    <row r="23" spans="2:10" x14ac:dyDescent="0.3">
      <c r="B23" s="45">
        <v>100</v>
      </c>
      <c r="C23" s="7" t="s">
        <v>107</v>
      </c>
      <c r="D23" s="29">
        <f>Staff!D120</f>
        <v>145000</v>
      </c>
      <c r="E23" s="29">
        <f>Staff!E120</f>
        <v>928000</v>
      </c>
      <c r="F23" s="29">
        <f>Staff!F120</f>
        <v>1665710</v>
      </c>
      <c r="G23" s="29">
        <f>Staff!G120</f>
        <v>2333115.7000000002</v>
      </c>
      <c r="H23" s="29">
        <f>Staff!H120</f>
        <v>2824152.2590000005</v>
      </c>
      <c r="I23" s="29">
        <f>Staff!I120</f>
        <v>2905462.7765299994</v>
      </c>
      <c r="J23" s="262"/>
    </row>
    <row r="24" spans="2:10" x14ac:dyDescent="0.3">
      <c r="B24" s="45">
        <v>200</v>
      </c>
      <c r="C24" s="7" t="s">
        <v>108</v>
      </c>
      <c r="D24" s="29">
        <f>Staff!D130</f>
        <v>82839</v>
      </c>
      <c r="E24" s="29">
        <f>Staff!E130</f>
        <v>478438</v>
      </c>
      <c r="F24" s="29">
        <f>Staff!F130</f>
        <v>839924.17</v>
      </c>
      <c r="G24" s="29">
        <f>Staff!G130</f>
        <v>1181563.9938999999</v>
      </c>
      <c r="H24" s="29">
        <f>Staff!H130</f>
        <v>1437751.7364930003</v>
      </c>
      <c r="I24" s="29">
        <f>Staff!I130</f>
        <v>1484032.6152193102</v>
      </c>
      <c r="J24" s="262"/>
    </row>
    <row r="25" spans="2:10" x14ac:dyDescent="0.3">
      <c r="B25" s="45">
        <v>300</v>
      </c>
      <c r="C25" s="7" t="s">
        <v>109</v>
      </c>
      <c r="D25" s="29">
        <f>Services!E$100</f>
        <v>121500</v>
      </c>
      <c r="E25" s="29">
        <f>Services!F$100</f>
        <v>445614</v>
      </c>
      <c r="F25" s="29">
        <f>Services!G$100</f>
        <v>767299.5</v>
      </c>
      <c r="G25" s="29">
        <f>Services!H$100</f>
        <v>1043637.2050000001</v>
      </c>
      <c r="H25" s="29">
        <f>Services!I$100</f>
        <v>1208497.39115</v>
      </c>
      <c r="I25" s="29">
        <f>IFERROR(Services!J$100,"-")</f>
        <v>1273558.4983844999</v>
      </c>
      <c r="J25" s="262"/>
    </row>
    <row r="26" spans="2:10" x14ac:dyDescent="0.3">
      <c r="B26" s="45">
        <v>600</v>
      </c>
      <c r="C26" s="17" t="s">
        <v>110</v>
      </c>
      <c r="D26" s="30">
        <f>Supplies!E$80</f>
        <v>64500</v>
      </c>
      <c r="E26" s="30">
        <f>Supplies!F$80</f>
        <v>184700</v>
      </c>
      <c r="F26" s="30">
        <f>Supplies!G$80</f>
        <v>384940</v>
      </c>
      <c r="G26" s="30">
        <f>Supplies!H$80</f>
        <v>510880</v>
      </c>
      <c r="H26" s="30">
        <f>Supplies!I$80</f>
        <v>572040</v>
      </c>
      <c r="I26" s="30">
        <f>IFERROR(Supplies!J$80,"-")</f>
        <v>551495</v>
      </c>
      <c r="J26" s="262"/>
    </row>
    <row r="27" spans="2:10" x14ac:dyDescent="0.3">
      <c r="B27" s="45"/>
      <c r="C27" s="77" t="s">
        <v>111</v>
      </c>
      <c r="D27" s="29">
        <f t="shared" ref="D27:I27" si="4">SUM(D23:D26)</f>
        <v>413839</v>
      </c>
      <c r="E27" s="29">
        <f t="shared" si="4"/>
        <v>2036752</v>
      </c>
      <c r="F27" s="29">
        <f t="shared" si="4"/>
        <v>3657873.67</v>
      </c>
      <c r="G27" s="29">
        <f t="shared" si="4"/>
        <v>5069196.8989000004</v>
      </c>
      <c r="H27" s="29">
        <f t="shared" si="4"/>
        <v>6042441.3866429999</v>
      </c>
      <c r="I27" s="29">
        <f t="shared" si="4"/>
        <v>6214548.8901338093</v>
      </c>
      <c r="J27" s="262"/>
    </row>
    <row r="28" spans="2:10" ht="20.399999999999999" customHeight="1" x14ac:dyDescent="0.3">
      <c r="B28" s="45">
        <v>700</v>
      </c>
      <c r="C28" s="17" t="s">
        <v>112</v>
      </c>
      <c r="D28" s="30">
        <f>'Capital &amp; Debt'!E$25</f>
        <v>40000</v>
      </c>
      <c r="E28" s="30">
        <f>'Capital &amp; Debt'!F$25</f>
        <v>0</v>
      </c>
      <c r="F28" s="30">
        <f>'Capital &amp; Debt'!G$25</f>
        <v>40000</v>
      </c>
      <c r="G28" s="30">
        <f>'Capital &amp; Debt'!H$25</f>
        <v>40000</v>
      </c>
      <c r="H28" s="30">
        <f>'Capital &amp; Debt'!I$25</f>
        <v>40000</v>
      </c>
      <c r="I28" s="30">
        <f>'Capital &amp; Debt'!J$25</f>
        <v>40000</v>
      </c>
      <c r="J28" s="262"/>
    </row>
    <row r="29" spans="2:10" x14ac:dyDescent="0.3">
      <c r="B29" s="45"/>
      <c r="C29" s="77" t="s">
        <v>113</v>
      </c>
      <c r="D29" s="29">
        <f>SUM(D27:D28)</f>
        <v>453839</v>
      </c>
      <c r="E29" s="29">
        <f t="shared" ref="E29:I29" si="5">SUM(E27:E28)</f>
        <v>2036752</v>
      </c>
      <c r="F29" s="29">
        <f t="shared" si="5"/>
        <v>3697873.67</v>
      </c>
      <c r="G29" s="29">
        <f t="shared" si="5"/>
        <v>5109196.8989000004</v>
      </c>
      <c r="H29" s="29">
        <f t="shared" si="5"/>
        <v>6082441.3866429999</v>
      </c>
      <c r="I29" s="29">
        <f t="shared" si="5"/>
        <v>6254548.8901338093</v>
      </c>
      <c r="J29" s="262"/>
    </row>
    <row r="30" spans="2:10" ht="19.2" customHeight="1" x14ac:dyDescent="0.3">
      <c r="B30" s="227">
        <v>0.03</v>
      </c>
      <c r="C30" s="7" t="s">
        <v>114</v>
      </c>
      <c r="D30" s="29">
        <f>$B$30*D29</f>
        <v>13615.17</v>
      </c>
      <c r="E30" s="29">
        <f t="shared" ref="E30:I30" si="6">$B$30*E29</f>
        <v>61102.559999999998</v>
      </c>
      <c r="F30" s="29">
        <f t="shared" si="6"/>
        <v>110936.2101</v>
      </c>
      <c r="G30" s="29">
        <f t="shared" si="6"/>
        <v>153275.90696700002</v>
      </c>
      <c r="H30" s="29">
        <f t="shared" si="6"/>
        <v>182473.24159928999</v>
      </c>
      <c r="I30" s="29">
        <f t="shared" si="6"/>
        <v>187636.46670401428</v>
      </c>
      <c r="J30" s="262" t="s">
        <v>115</v>
      </c>
    </row>
    <row r="31" spans="2:10" x14ac:dyDescent="0.3">
      <c r="B31" s="45">
        <v>800</v>
      </c>
      <c r="C31" s="17" t="s">
        <v>116</v>
      </c>
      <c r="D31" s="30">
        <f>'Capital &amp; Debt'!E$38</f>
        <v>90000</v>
      </c>
      <c r="E31" s="30">
        <f>'Capital &amp; Debt'!F$38</f>
        <v>540000</v>
      </c>
      <c r="F31" s="30">
        <f>'Capital &amp; Debt'!G$38</f>
        <v>556200</v>
      </c>
      <c r="G31" s="30">
        <f>'Capital &amp; Debt'!H$38</f>
        <v>572886</v>
      </c>
      <c r="H31" s="30">
        <f>'Capital &amp; Debt'!I$38</f>
        <v>590072.57999999996</v>
      </c>
      <c r="I31" s="30">
        <f>'Capital &amp; Debt'!J$38</f>
        <v>607774.7574</v>
      </c>
      <c r="J31" s="262"/>
    </row>
    <row r="32" spans="2:10" ht="18.75" customHeight="1" thickBot="1" x14ac:dyDescent="0.35">
      <c r="B32" s="45"/>
      <c r="C32" s="161" t="s">
        <v>117</v>
      </c>
      <c r="D32" s="154">
        <f>SUM(D29:D31)</f>
        <v>557454.16999999993</v>
      </c>
      <c r="E32" s="154">
        <f t="shared" ref="E32:I32" si="7">SUM(E29:E31)</f>
        <v>2637854.56</v>
      </c>
      <c r="F32" s="154">
        <f t="shared" si="7"/>
        <v>4365009.8800999997</v>
      </c>
      <c r="G32" s="154">
        <f t="shared" si="7"/>
        <v>5835358.8058670005</v>
      </c>
      <c r="H32" s="154">
        <f t="shared" si="7"/>
        <v>6854987.2082422897</v>
      </c>
      <c r="I32" s="154">
        <f t="shared" si="7"/>
        <v>7049960.1142378245</v>
      </c>
      <c r="J32" s="262"/>
    </row>
    <row r="33" spans="2:10" ht="24.75" customHeight="1" thickTop="1" x14ac:dyDescent="0.3">
      <c r="B33" s="47"/>
      <c r="C33" s="184" t="s">
        <v>118</v>
      </c>
      <c r="D33" s="30">
        <f>D19-D32</f>
        <v>42545.830000000075</v>
      </c>
      <c r="E33" s="30">
        <f t="shared" ref="E33:I33" si="8">E19-E32</f>
        <v>27340.64000000013</v>
      </c>
      <c r="F33" s="30">
        <f t="shared" si="8"/>
        <v>200360.51990000065</v>
      </c>
      <c r="G33" s="30">
        <f t="shared" si="8"/>
        <v>222086.79413299914</v>
      </c>
      <c r="H33" s="30">
        <f t="shared" si="8"/>
        <v>363095.99175771046</v>
      </c>
      <c r="I33" s="30">
        <f t="shared" si="8"/>
        <v>398397.78576217592</v>
      </c>
      <c r="J33" s="262"/>
    </row>
    <row r="34" spans="2:10" ht="31.2" customHeight="1" x14ac:dyDescent="0.3">
      <c r="B34" s="158">
        <v>990</v>
      </c>
      <c r="C34" s="183" t="s">
        <v>119</v>
      </c>
      <c r="D34" s="34">
        <f t="shared" ref="D34:I34" si="9">D11+D33</f>
        <v>42545.830000000075</v>
      </c>
      <c r="E34" s="34">
        <f t="shared" si="9"/>
        <v>69886.470000000205</v>
      </c>
      <c r="F34" s="34">
        <f t="shared" si="9"/>
        <v>270246.98990000086</v>
      </c>
      <c r="G34" s="34">
        <f t="shared" si="9"/>
        <v>492333.784033</v>
      </c>
      <c r="H34" s="34">
        <f t="shared" si="9"/>
        <v>855429.77579071047</v>
      </c>
      <c r="I34" s="34">
        <f t="shared" si="9"/>
        <v>1253827.5615528864</v>
      </c>
      <c r="J34" s="48" t="s">
        <v>120</v>
      </c>
    </row>
    <row r="35" spans="2:10" x14ac:dyDescent="0.3">
      <c r="B35" s="1"/>
      <c r="C35" s="27" t="s">
        <v>121</v>
      </c>
      <c r="D35" s="73">
        <f t="shared" ref="D35:I35" si="10">IFERROR(D34/D32,"-")</f>
        <v>7.6321664254480476E-2</v>
      </c>
      <c r="E35" s="73">
        <f t="shared" si="10"/>
        <v>2.6493678256469227E-2</v>
      </c>
      <c r="F35" s="73">
        <f t="shared" si="10"/>
        <v>6.1912114135652237E-2</v>
      </c>
      <c r="G35" s="73">
        <f t="shared" si="10"/>
        <v>8.4370781714056139E-2</v>
      </c>
      <c r="H35" s="73">
        <f t="shared" si="10"/>
        <v>0.12478940511546981</v>
      </c>
      <c r="I35" s="73">
        <f t="shared" si="10"/>
        <v>0.17784888726117828</v>
      </c>
    </row>
    <row r="36" spans="2:10" x14ac:dyDescent="0.3">
      <c r="B36" s="1"/>
      <c r="C36" s="27" t="s">
        <v>122</v>
      </c>
      <c r="D36" s="73">
        <f t="shared" ref="D36:I36" si="11">IFERROR(D34/D19,"-")</f>
        <v>7.0909716666666789E-2</v>
      </c>
      <c r="E36" s="73">
        <f t="shared" si="11"/>
        <v>2.6221895491932525E-2</v>
      </c>
      <c r="F36" s="73">
        <f t="shared" si="11"/>
        <v>5.9194975702300263E-2</v>
      </c>
      <c r="G36" s="73">
        <f t="shared" si="11"/>
        <v>8.1277458609450834E-2</v>
      </c>
      <c r="H36" s="73">
        <f t="shared" si="11"/>
        <v>0.118512041505799</v>
      </c>
      <c r="I36" s="73">
        <f t="shared" si="11"/>
        <v>0.16833610553983802</v>
      </c>
    </row>
    <row r="37" spans="2:10" x14ac:dyDescent="0.3">
      <c r="B37" s="1"/>
      <c r="C37" s="27" t="s">
        <v>123</v>
      </c>
      <c r="D37" s="73">
        <f t="shared" ref="D37:I37" si="12">IFERROR((D23+D24)/D27,"-")</f>
        <v>0.55054985151230307</v>
      </c>
      <c r="E37" s="73">
        <f t="shared" si="12"/>
        <v>0.69052982395500284</v>
      </c>
      <c r="F37" s="73">
        <f t="shared" si="12"/>
        <v>0.68499745919328048</v>
      </c>
      <c r="G37" s="73">
        <f t="shared" si="12"/>
        <v>0.6933405357883563</v>
      </c>
      <c r="H37" s="73">
        <f t="shared" si="12"/>
        <v>0.70532814847224967</v>
      </c>
      <c r="I37" s="73">
        <f t="shared" si="12"/>
        <v>0.70632566729309232</v>
      </c>
    </row>
    <row r="38" spans="2:10" x14ac:dyDescent="0.3">
      <c r="C38" s="27" t="s">
        <v>124</v>
      </c>
      <c r="D38" s="31"/>
      <c r="E38" s="31">
        <f>IFERROR(E16/E$8,"-")</f>
        <v>16657.47</v>
      </c>
      <c r="F38" s="31">
        <f>IFERROR(F16/F$8,"-")</f>
        <v>14266.782500000001</v>
      </c>
      <c r="G38" s="31">
        <f>IFERROR(G16/G$8,"-")</f>
        <v>12619.678333333333</v>
      </c>
      <c r="H38" s="31">
        <f>IFERROR(H16/H$8,"-")</f>
        <v>12889.434285714286</v>
      </c>
      <c r="I38" s="31">
        <f>IFERROR(I16/I$8,"-")</f>
        <v>13067.294561403509</v>
      </c>
    </row>
    <row r="39" spans="2:10" x14ac:dyDescent="0.3">
      <c r="C39" s="27" t="s">
        <v>125</v>
      </c>
      <c r="D39" s="31"/>
      <c r="E39" s="31">
        <f>IFERROR(E20/E$8,"-")</f>
        <v>16923.3814375</v>
      </c>
      <c r="F39" s="31">
        <f>IFERROR(F20/F$8,"-")</f>
        <v>14485.177718750003</v>
      </c>
      <c r="G39" s="31">
        <f>IFERROR(G20/G$8,"-")</f>
        <v>13182.692895624999</v>
      </c>
      <c r="H39" s="31">
        <f>IFERROR(H20/H$8,"-")</f>
        <v>13768.601757201784</v>
      </c>
      <c r="I39" s="31">
        <f>IFERROR(I20/I$8,"-")</f>
        <v>14568.048554018791</v>
      </c>
    </row>
    <row r="40" spans="2:10" x14ac:dyDescent="0.3">
      <c r="C40" s="149" t="s">
        <v>126</v>
      </c>
      <c r="D40" s="31"/>
      <c r="E40" s="31">
        <f>IFERROR(E27/E$8,"-")</f>
        <v>12729.7</v>
      </c>
      <c r="F40" s="31">
        <f>IFERROR(F27/F$8,"-")</f>
        <v>11430.855218749999</v>
      </c>
      <c r="G40" s="31">
        <f>IFERROR(G27/G$8,"-")</f>
        <v>10560.826872708334</v>
      </c>
      <c r="H40" s="31">
        <f>IFERROR(H27/H$8,"-")</f>
        <v>10790.073904719642</v>
      </c>
      <c r="I40" s="31">
        <f>IFERROR(I27/I$8,"-")</f>
        <v>10902.717351111945</v>
      </c>
    </row>
    <row r="41" spans="2:10" x14ac:dyDescent="0.3">
      <c r="C41" s="149" t="s">
        <v>127</v>
      </c>
      <c r="D41" s="153"/>
      <c r="E41" s="153">
        <f>IFERROR(E32/E$8,"-")</f>
        <v>16486.591</v>
      </c>
      <c r="F41" s="153">
        <f>IFERROR(F32/F$8,"-")</f>
        <v>13640.655875312499</v>
      </c>
      <c r="G41" s="153">
        <f>IFERROR(G32/G$8,"-")</f>
        <v>12156.997512222917</v>
      </c>
      <c r="H41" s="153">
        <f>IFERROR(H32/H$8,"-")</f>
        <v>12241.048586146946</v>
      </c>
      <c r="I41" s="153">
        <f>IFERROR(I32/I$8,"-")</f>
        <v>12368.351077610218</v>
      </c>
    </row>
  </sheetData>
  <sheetProtection algorithmName="SHA-512" hashValue="zaz8QarfWruO75GWeCLhZxy0NdwRqBgNbwz73MD6ILQ6fHJ/FqnndQx2CWg6MTtH9boBJaA2ITwR3DKrZkVhNA==" saltValue="WdhT/B6baFN5jO/a888h9g==" spinCount="100000" sheet="1" objects="1" scenarios="1"/>
  <mergeCells count="1">
    <mergeCell ref="B5:I5"/>
  </mergeCells>
  <conditionalFormatting sqref="D11:I41">
    <cfRule type="cellIs" dxfId="1" priority="1" operator="lessThan">
      <formula>0</formula>
    </cfRule>
  </conditionalFormatting>
  <dataValidations count="1">
    <dataValidation type="decimal" showInputMessage="1" showErrorMessage="1" sqref="B30" xr:uid="{D4D1D10F-8A96-4448-B1C7-6C52BFB971A4}">
      <formula1>0</formula1>
      <formula2>0.03</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96B3-9BB9-47B2-A088-40EFC06EDACE}">
  <dimension ref="B1:I36"/>
  <sheetViews>
    <sheetView zoomScale="110" zoomScaleNormal="110" workbookViewId="0">
      <selection activeCell="F21" sqref="F21"/>
    </sheetView>
  </sheetViews>
  <sheetFormatPr defaultRowHeight="14.4" x14ac:dyDescent="0.3"/>
  <cols>
    <col min="1" max="1" width="8.88671875" customWidth="1"/>
    <col min="2" max="2" width="22.33203125" customWidth="1"/>
    <col min="3" max="8" width="13" customWidth="1"/>
    <col min="9" max="9" width="69.44140625" customWidth="1"/>
  </cols>
  <sheetData>
    <row r="1" spans="2:9" ht="18" x14ac:dyDescent="0.35">
      <c r="B1" s="82" t="s">
        <v>78</v>
      </c>
      <c r="C1" s="38" t="str">
        <f>Summary!C1</f>
        <v>Nexus Academy</v>
      </c>
    </row>
    <row r="2" spans="2:9" ht="18" x14ac:dyDescent="0.35">
      <c r="B2" s="82" t="s">
        <v>79</v>
      </c>
      <c r="C2" s="38" t="str">
        <f>Summary!C2</f>
        <v>Las Vegas (89015, 89011, 89122, 89121)</v>
      </c>
    </row>
    <row r="3" spans="2:9" ht="18" x14ac:dyDescent="0.35">
      <c r="B3" s="82" t="s">
        <v>80</v>
      </c>
      <c r="C3" s="38">
        <f>Summary!C3</f>
        <v>2027</v>
      </c>
    </row>
    <row r="4" spans="2:9" ht="18" x14ac:dyDescent="0.35">
      <c r="B4" s="36"/>
      <c r="C4" s="38"/>
    </row>
    <row r="5" spans="2:9" ht="18" x14ac:dyDescent="0.35">
      <c r="B5" s="36"/>
      <c r="C5" s="275" t="s">
        <v>128</v>
      </c>
      <c r="D5" s="275"/>
      <c r="E5" s="275"/>
      <c r="F5" s="275"/>
      <c r="G5" s="275"/>
      <c r="H5" s="275"/>
    </row>
    <row r="7" spans="2:9" ht="16.2" thickBot="1" x14ac:dyDescent="0.35">
      <c r="B7" s="159" t="s">
        <v>82</v>
      </c>
      <c r="C7" s="66" t="str">
        <f>($C$3-1)&amp;"-"&amp;($C$3+0)</f>
        <v>2026-2027</v>
      </c>
      <c r="D7" s="66" t="str">
        <f>($C$3+0)&amp;"-"&amp;($C$3+1)</f>
        <v>2027-2028</v>
      </c>
      <c r="E7" s="66" t="str">
        <f>($C$3+1)&amp;"-"&amp;($C$3+2)</f>
        <v>2028-2029</v>
      </c>
      <c r="F7" s="66" t="str">
        <f>($C$3+2)&amp;"-"&amp;($C$3+3)</f>
        <v>2029-2030</v>
      </c>
      <c r="G7" s="66" t="str">
        <f>($C$3+3)&amp;"-"&amp;($C$3+4)</f>
        <v>2030-2031</v>
      </c>
      <c r="H7" s="66" t="str">
        <f>($C$3+4)&amp;"-"&amp;($C$3+5)</f>
        <v>2031-2032</v>
      </c>
    </row>
    <row r="8" spans="2:9" ht="11.4" customHeight="1" x14ac:dyDescent="0.35">
      <c r="C8" s="68"/>
      <c r="D8" s="68"/>
      <c r="E8" s="68"/>
      <c r="F8" s="68"/>
      <c r="G8" s="68"/>
      <c r="H8" s="68"/>
    </row>
    <row r="9" spans="2:9" x14ac:dyDescent="0.3">
      <c r="B9" s="23" t="s">
        <v>129</v>
      </c>
      <c r="C9" s="60" t="s">
        <v>87</v>
      </c>
      <c r="D9" s="60" t="s">
        <v>88</v>
      </c>
      <c r="E9" s="60" t="s">
        <v>89</v>
      </c>
      <c r="F9" s="60" t="s">
        <v>90</v>
      </c>
      <c r="G9" s="60" t="s">
        <v>91</v>
      </c>
      <c r="H9" s="60" t="s">
        <v>92</v>
      </c>
      <c r="I9" s="20" t="s">
        <v>93</v>
      </c>
    </row>
    <row r="10" spans="2:9" x14ac:dyDescent="0.3">
      <c r="B10" s="15" t="s">
        <v>130</v>
      </c>
      <c r="C10" s="69"/>
      <c r="D10" s="228"/>
      <c r="E10" s="228"/>
      <c r="F10" s="228"/>
      <c r="G10" s="228"/>
      <c r="H10" s="228"/>
      <c r="I10" s="252"/>
    </row>
    <row r="11" spans="2:9" x14ac:dyDescent="0.3">
      <c r="B11" s="15" t="s">
        <v>131</v>
      </c>
      <c r="C11" s="69"/>
      <c r="D11" s="228"/>
      <c r="E11" s="228"/>
      <c r="F11" s="228"/>
      <c r="G11" s="228"/>
      <c r="H11" s="228"/>
      <c r="I11" s="252"/>
    </row>
    <row r="12" spans="2:9" x14ac:dyDescent="0.3">
      <c r="B12" s="15" t="s">
        <v>132</v>
      </c>
      <c r="C12" s="69"/>
      <c r="D12" s="228"/>
      <c r="E12" s="228"/>
      <c r="F12" s="228"/>
      <c r="G12" s="228"/>
      <c r="H12" s="228"/>
      <c r="I12" s="252"/>
    </row>
    <row r="13" spans="2:9" x14ac:dyDescent="0.3">
      <c r="B13" s="15" t="s">
        <v>133</v>
      </c>
      <c r="C13" s="69"/>
      <c r="D13" s="228"/>
      <c r="E13" s="228"/>
      <c r="F13" s="228"/>
      <c r="G13" s="228"/>
      <c r="H13" s="228"/>
      <c r="I13" s="252"/>
    </row>
    <row r="14" spans="2:9" x14ac:dyDescent="0.3">
      <c r="B14" s="15" t="s">
        <v>134</v>
      </c>
      <c r="C14" s="69"/>
      <c r="D14" s="228"/>
      <c r="E14" s="228"/>
      <c r="F14" s="228"/>
      <c r="G14" s="228"/>
      <c r="H14" s="228"/>
      <c r="I14" s="252"/>
    </row>
    <row r="15" spans="2:9" x14ac:dyDescent="0.3">
      <c r="B15" s="15" t="s">
        <v>135</v>
      </c>
      <c r="C15" s="69"/>
      <c r="D15" s="228"/>
      <c r="E15" s="228"/>
      <c r="F15" s="228"/>
      <c r="G15" s="228"/>
      <c r="H15" s="228"/>
      <c r="I15" s="252"/>
    </row>
    <row r="16" spans="2:9" x14ac:dyDescent="0.3">
      <c r="B16" s="15" t="s">
        <v>136</v>
      </c>
      <c r="C16" s="69"/>
      <c r="D16" s="228">
        <v>80</v>
      </c>
      <c r="E16" s="228">
        <v>80</v>
      </c>
      <c r="F16" s="228">
        <v>80</v>
      </c>
      <c r="G16" s="228">
        <v>80</v>
      </c>
      <c r="H16" s="228">
        <v>85</v>
      </c>
      <c r="I16" s="252" t="s">
        <v>137</v>
      </c>
    </row>
    <row r="17" spans="2:9" x14ac:dyDescent="0.3">
      <c r="B17" s="15" t="s">
        <v>138</v>
      </c>
      <c r="C17" s="69"/>
      <c r="D17" s="228"/>
      <c r="E17" s="228">
        <v>80</v>
      </c>
      <c r="F17" s="228">
        <v>80</v>
      </c>
      <c r="G17" s="228">
        <v>80</v>
      </c>
      <c r="H17" s="228">
        <v>80</v>
      </c>
      <c r="I17" s="252" t="s">
        <v>501</v>
      </c>
    </row>
    <row r="18" spans="2:9" x14ac:dyDescent="0.3">
      <c r="B18" s="15" t="s">
        <v>139</v>
      </c>
      <c r="C18" s="69"/>
      <c r="D18" s="228"/>
      <c r="E18" s="228"/>
      <c r="F18" s="228">
        <v>80</v>
      </c>
      <c r="G18" s="228">
        <v>80</v>
      </c>
      <c r="H18" s="228">
        <v>80</v>
      </c>
      <c r="I18" s="252"/>
    </row>
    <row r="19" spans="2:9" x14ac:dyDescent="0.3">
      <c r="B19" s="15" t="s">
        <v>140</v>
      </c>
      <c r="C19" s="69"/>
      <c r="D19" s="228">
        <v>80</v>
      </c>
      <c r="E19" s="228">
        <v>80</v>
      </c>
      <c r="F19" s="228">
        <v>80</v>
      </c>
      <c r="G19" s="228">
        <v>80</v>
      </c>
      <c r="H19" s="228">
        <v>85</v>
      </c>
      <c r="I19" s="252"/>
    </row>
    <row r="20" spans="2:9" x14ac:dyDescent="0.3">
      <c r="B20" s="15" t="s">
        <v>141</v>
      </c>
      <c r="C20" s="69"/>
      <c r="D20" s="228"/>
      <c r="E20" s="228">
        <v>80</v>
      </c>
      <c r="F20" s="228">
        <v>80</v>
      </c>
      <c r="G20" s="228">
        <v>80</v>
      </c>
      <c r="H20" s="228">
        <v>80</v>
      </c>
      <c r="I20" s="252"/>
    </row>
    <row r="21" spans="2:9" x14ac:dyDescent="0.3">
      <c r="B21" s="15" t="s">
        <v>142</v>
      </c>
      <c r="C21" s="69"/>
      <c r="D21" s="228"/>
      <c r="E21" s="228"/>
      <c r="F21" s="228">
        <v>80</v>
      </c>
      <c r="G21" s="228">
        <v>80</v>
      </c>
      <c r="H21" s="228">
        <v>80</v>
      </c>
      <c r="I21" s="252"/>
    </row>
    <row r="22" spans="2:9" ht="15" thickBot="1" x14ac:dyDescent="0.35">
      <c r="B22" s="204" t="s">
        <v>143</v>
      </c>
      <c r="C22" s="70"/>
      <c r="D22" s="229"/>
      <c r="E22" s="229"/>
      <c r="F22" s="229"/>
      <c r="G22" s="229">
        <v>80</v>
      </c>
      <c r="H22" s="229">
        <v>80</v>
      </c>
      <c r="I22" s="253"/>
    </row>
    <row r="23" spans="2:9" ht="15" thickTop="1" x14ac:dyDescent="0.3">
      <c r="B23" s="2" t="s">
        <v>144</v>
      </c>
      <c r="C23" s="57"/>
      <c r="D23" s="72">
        <f>SUM(D10:D22)</f>
        <v>160</v>
      </c>
      <c r="E23" s="72">
        <f t="shared" ref="E23:H23" si="0">SUM(E10:E22)</f>
        <v>320</v>
      </c>
      <c r="F23" s="72">
        <f t="shared" si="0"/>
        <v>480</v>
      </c>
      <c r="G23" s="72">
        <f t="shared" si="0"/>
        <v>560</v>
      </c>
      <c r="H23" s="72">
        <f t="shared" si="0"/>
        <v>570</v>
      </c>
    </row>
    <row r="24" spans="2:9" x14ac:dyDescent="0.3">
      <c r="B24" s="37" t="s">
        <v>145</v>
      </c>
      <c r="C24" s="80"/>
      <c r="D24" s="81"/>
      <c r="E24" s="73">
        <f>IFERROR((E23-D23)/D23,"-")</f>
        <v>1</v>
      </c>
      <c r="F24" s="73">
        <f>IFERROR((F23-E23)/E23,"-")</f>
        <v>0.5</v>
      </c>
      <c r="G24" s="73">
        <f>IFERROR((G23-F23)/F23,"-")</f>
        <v>0.16666666666666666</v>
      </c>
      <c r="H24" s="73">
        <f>IFERROR((H23-G23)/G23,"-")</f>
        <v>1.7857142857142856E-2</v>
      </c>
    </row>
    <row r="25" spans="2:9" x14ac:dyDescent="0.3">
      <c r="B25" s="2"/>
      <c r="C25" s="57"/>
      <c r="D25" s="72"/>
      <c r="E25" s="73"/>
      <c r="F25" s="73"/>
      <c r="G25" s="73"/>
      <c r="H25" s="73"/>
    </row>
    <row r="26" spans="2:9" ht="28.8" x14ac:dyDescent="0.3">
      <c r="B26" s="23" t="s">
        <v>146</v>
      </c>
      <c r="C26" s="60" t="s">
        <v>87</v>
      </c>
      <c r="D26" s="74" t="s">
        <v>88</v>
      </c>
      <c r="E26" s="74" t="s">
        <v>89</v>
      </c>
      <c r="F26" s="74" t="s">
        <v>90</v>
      </c>
      <c r="G26" s="74" t="s">
        <v>91</v>
      </c>
      <c r="H26" s="74" t="s">
        <v>92</v>
      </c>
      <c r="I26" s="20" t="s">
        <v>93</v>
      </c>
    </row>
    <row r="27" spans="2:9" x14ac:dyDescent="0.3">
      <c r="B27" s="15" t="s">
        <v>147</v>
      </c>
      <c r="C27" s="69"/>
      <c r="D27" s="230">
        <f>D23*$I$27</f>
        <v>27.200000000000003</v>
      </c>
      <c r="E27" s="230">
        <f t="shared" ref="E27:H27" si="1">E23*$I$27</f>
        <v>54.400000000000006</v>
      </c>
      <c r="F27" s="230">
        <f t="shared" si="1"/>
        <v>81.600000000000009</v>
      </c>
      <c r="G27" s="230">
        <f t="shared" si="1"/>
        <v>95.2</v>
      </c>
      <c r="H27" s="230">
        <f t="shared" si="1"/>
        <v>96.9</v>
      </c>
      <c r="I27" s="252">
        <v>0.17</v>
      </c>
    </row>
    <row r="28" spans="2:9" x14ac:dyDescent="0.3">
      <c r="B28" s="15" t="s">
        <v>148</v>
      </c>
      <c r="C28" s="69"/>
      <c r="D28" s="230">
        <f>D23*$I$28</f>
        <v>27.200000000000003</v>
      </c>
      <c r="E28" s="230">
        <f t="shared" ref="E28:H28" si="2">E23*$I$28</f>
        <v>54.400000000000006</v>
      </c>
      <c r="F28" s="230">
        <f t="shared" si="2"/>
        <v>81.600000000000009</v>
      </c>
      <c r="G28" s="230">
        <f t="shared" si="2"/>
        <v>95.2</v>
      </c>
      <c r="H28" s="230">
        <f t="shared" si="2"/>
        <v>96.9</v>
      </c>
      <c r="I28" s="252">
        <v>0.17</v>
      </c>
    </row>
    <row r="29" spans="2:9" x14ac:dyDescent="0.3">
      <c r="B29" s="15" t="s">
        <v>149</v>
      </c>
      <c r="C29" s="69"/>
      <c r="D29" s="230">
        <f>D23*$I$29</f>
        <v>48</v>
      </c>
      <c r="E29" s="230">
        <f t="shared" ref="E29:H29" si="3">E23*$I$29</f>
        <v>96</v>
      </c>
      <c r="F29" s="230">
        <f t="shared" si="3"/>
        <v>144</v>
      </c>
      <c r="G29" s="230">
        <f t="shared" si="3"/>
        <v>168</v>
      </c>
      <c r="H29" s="230">
        <f t="shared" si="3"/>
        <v>171</v>
      </c>
      <c r="I29" s="252">
        <v>0.3</v>
      </c>
    </row>
    <row r="30" spans="2:9" x14ac:dyDescent="0.3">
      <c r="B30" s="15" t="s">
        <v>150</v>
      </c>
      <c r="C30" s="69"/>
      <c r="D30" s="230">
        <v>0</v>
      </c>
      <c r="E30" s="230">
        <v>0</v>
      </c>
      <c r="F30" s="230">
        <v>0</v>
      </c>
      <c r="G30" s="230">
        <v>0</v>
      </c>
      <c r="H30" s="230">
        <v>0</v>
      </c>
      <c r="I30" s="252">
        <v>0</v>
      </c>
    </row>
    <row r="31" spans="2:9" x14ac:dyDescent="0.3">
      <c r="B31" s="15" t="s">
        <v>151</v>
      </c>
      <c r="C31" s="69"/>
      <c r="D31" s="231">
        <v>0</v>
      </c>
      <c r="E31" s="231">
        <v>0</v>
      </c>
      <c r="F31" s="231">
        <v>0</v>
      </c>
      <c r="G31" s="231">
        <v>0</v>
      </c>
      <c r="H31" s="231">
        <v>0</v>
      </c>
      <c r="I31" s="252">
        <v>0</v>
      </c>
    </row>
    <row r="32" spans="2:9" x14ac:dyDescent="0.3">
      <c r="B32" s="15" t="s">
        <v>152</v>
      </c>
      <c r="C32" s="69"/>
      <c r="D32" s="231">
        <f>D23*$I$32</f>
        <v>120</v>
      </c>
      <c r="E32" s="231">
        <f t="shared" ref="E32:H32" si="4">E23*$I$32</f>
        <v>240</v>
      </c>
      <c r="F32" s="231">
        <f t="shared" si="4"/>
        <v>360</v>
      </c>
      <c r="G32" s="231">
        <f t="shared" si="4"/>
        <v>420</v>
      </c>
      <c r="H32" s="231">
        <f t="shared" si="4"/>
        <v>427.5</v>
      </c>
      <c r="I32" s="252">
        <v>0.75</v>
      </c>
    </row>
    <row r="33" spans="2:9" ht="28.8" x14ac:dyDescent="0.3">
      <c r="B33" s="15" t="s">
        <v>153</v>
      </c>
      <c r="C33" s="69"/>
      <c r="D33" s="215">
        <f>D32*1.6</f>
        <v>192</v>
      </c>
      <c r="E33" s="215">
        <f t="shared" ref="E33:H33" si="5">E32*1.6</f>
        <v>384</v>
      </c>
      <c r="F33" s="215">
        <f t="shared" si="5"/>
        <v>576</v>
      </c>
      <c r="G33" s="215">
        <f t="shared" si="5"/>
        <v>672</v>
      </c>
      <c r="H33" s="215">
        <f t="shared" si="5"/>
        <v>684</v>
      </c>
      <c r="I33" s="252" t="s">
        <v>522</v>
      </c>
    </row>
    <row r="34" spans="2:9" x14ac:dyDescent="0.3">
      <c r="B34" s="15" t="s">
        <v>154</v>
      </c>
      <c r="C34" s="71"/>
      <c r="D34" s="75">
        <f>IFERROR(D33/D23,"-")</f>
        <v>1.2</v>
      </c>
      <c r="E34" s="75">
        <f>IFERROR(E33/E23,"-")</f>
        <v>1.2</v>
      </c>
      <c r="F34" s="75">
        <f>IFERROR(F33/F23,"-")</f>
        <v>1.2</v>
      </c>
      <c r="G34" s="75">
        <f>IFERROR(G33/G23,"-")</f>
        <v>1.2</v>
      </c>
      <c r="H34" s="75">
        <f>IFERROR(H33/H23,"-")</f>
        <v>1.2</v>
      </c>
      <c r="I34" s="253"/>
    </row>
    <row r="35" spans="2:9" x14ac:dyDescent="0.3">
      <c r="B35" s="2"/>
    </row>
    <row r="36" spans="2:9" x14ac:dyDescent="0.3">
      <c r="B36" s="2"/>
    </row>
  </sheetData>
  <sheetProtection algorithmName="SHA-512" hashValue="l4O/RhUM/QFrfiuTX/9J1f0Z1eTCs+WF37aX92+l5SddMFefoj01P9edo25smeV3aVYy6RJh2ho1wTF2wk4UXg==" saltValue="NPQkStYDnTx/w/oTwJX+8Q==" spinCount="100000" sheet="1" objects="1" scenarios="1"/>
  <mergeCells count="1">
    <mergeCell ref="C5:H5"/>
  </mergeCells>
  <phoneticPr fontId="3"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42712-32A1-4251-86C1-19443423C213}">
  <dimension ref="B1:J73"/>
  <sheetViews>
    <sheetView topLeftCell="B1" zoomScale="110" zoomScaleNormal="110" workbookViewId="0">
      <pane xSplit="2" ySplit="8" topLeftCell="D32" activePane="bottomRight" state="frozen"/>
      <selection pane="topRight" activeCell="D1" sqref="D1"/>
      <selection pane="bottomLeft" activeCell="B9" sqref="B9"/>
      <selection pane="bottomRight" activeCell="E39" sqref="E39:I39"/>
    </sheetView>
  </sheetViews>
  <sheetFormatPr defaultRowHeight="14.4" x14ac:dyDescent="0.3"/>
  <cols>
    <col min="2" max="2" width="11.33203125" style="1" customWidth="1"/>
    <col min="3" max="3" width="58.109375" customWidth="1"/>
    <col min="4" max="9" width="13.5546875" customWidth="1"/>
    <col min="10" max="10" width="77.5546875" style="2" customWidth="1"/>
  </cols>
  <sheetData>
    <row r="1" spans="2:10" ht="18" x14ac:dyDescent="0.35">
      <c r="B1" s="36" t="s">
        <v>78</v>
      </c>
      <c r="C1" s="38" t="str">
        <f>Summary!C1</f>
        <v>Nexus Academy</v>
      </c>
    </row>
    <row r="2" spans="2:10" ht="18" x14ac:dyDescent="0.35">
      <c r="B2" s="36" t="s">
        <v>79</v>
      </c>
      <c r="C2" s="38" t="str">
        <f>Summary!C2</f>
        <v>Las Vegas (89015, 89011, 89122, 89121)</v>
      </c>
    </row>
    <row r="3" spans="2:10" ht="18" x14ac:dyDescent="0.35">
      <c r="B3" s="36" t="s">
        <v>80</v>
      </c>
      <c r="C3" s="38">
        <f>Summary!C3</f>
        <v>2027</v>
      </c>
    </row>
    <row r="4" spans="2:10" ht="18" x14ac:dyDescent="0.35">
      <c r="B4" s="36"/>
      <c r="C4" s="38"/>
    </row>
    <row r="5" spans="2:10" ht="21" x14ac:dyDescent="0.4">
      <c r="B5" s="36"/>
      <c r="C5" s="266" t="s">
        <v>155</v>
      </c>
      <c r="D5" s="266"/>
      <c r="E5" s="266"/>
      <c r="F5" s="266"/>
      <c r="G5" s="266"/>
      <c r="H5" s="266"/>
      <c r="I5" s="266"/>
    </row>
    <row r="6" spans="2:10" ht="18" x14ac:dyDescent="0.35">
      <c r="B6" s="36"/>
      <c r="C6" s="38"/>
    </row>
    <row r="7" spans="2:10" ht="28.95" customHeight="1" thickBot="1" x14ac:dyDescent="0.4">
      <c r="B7" s="36"/>
      <c r="C7" s="40" t="s">
        <v>82</v>
      </c>
      <c r="D7" s="55" t="str">
        <f>($C$3-1)&amp;"-"&amp;($C$3+0)</f>
        <v>2026-2027</v>
      </c>
      <c r="E7" s="55" t="str">
        <f>($C$3+0)&amp;"-"&amp;($C$3+1)</f>
        <v>2027-2028</v>
      </c>
      <c r="F7" s="55" t="str">
        <f>($C$3+1)&amp;"-"&amp;($C$3+2)</f>
        <v>2028-2029</v>
      </c>
      <c r="G7" s="55" t="str">
        <f>($C$3+2)&amp;"-"&amp;($C$3+3)</f>
        <v>2029-2030</v>
      </c>
      <c r="H7" s="55" t="str">
        <f>($C$3+3)&amp;"-"&amp;($C$3+4)</f>
        <v>2030-2031</v>
      </c>
      <c r="I7" s="55" t="str">
        <f>($C$3+4)&amp;"-"&amp;($C$3+5)</f>
        <v>2031-2032</v>
      </c>
    </row>
    <row r="8" spans="2:10" ht="18" x14ac:dyDescent="0.35">
      <c r="B8" s="36"/>
      <c r="C8" s="65" t="s">
        <v>83</v>
      </c>
      <c r="D8" s="56"/>
      <c r="E8" s="57">
        <f>Enrollment!D$23</f>
        <v>160</v>
      </c>
      <c r="F8" s="57">
        <f>Enrollment!E$23</f>
        <v>320</v>
      </c>
      <c r="G8" s="57">
        <f>Enrollment!F$23</f>
        <v>480</v>
      </c>
      <c r="H8" s="57">
        <f>Enrollment!G$23</f>
        <v>560</v>
      </c>
      <c r="I8" s="57">
        <f>Enrollment!H$23</f>
        <v>570</v>
      </c>
    </row>
    <row r="9" spans="2:10" ht="18" x14ac:dyDescent="0.35">
      <c r="B9" s="36"/>
      <c r="C9" s="38"/>
      <c r="D9" s="57"/>
      <c r="E9" s="57"/>
      <c r="F9" s="57"/>
      <c r="G9" s="57"/>
      <c r="H9" s="57"/>
      <c r="I9" s="57"/>
    </row>
    <row r="10" spans="2:10" ht="20.399999999999999" customHeight="1" x14ac:dyDescent="0.3">
      <c r="B10" s="64" t="s">
        <v>156</v>
      </c>
      <c r="C10" s="42"/>
      <c r="D10" s="58"/>
      <c r="E10" s="58"/>
      <c r="F10" s="58"/>
      <c r="G10" s="58"/>
      <c r="H10" s="58"/>
      <c r="I10" s="58"/>
      <c r="J10" s="86"/>
    </row>
    <row r="11" spans="2:10" s="2" customFormat="1" ht="28.8" x14ac:dyDescent="0.3">
      <c r="B11" s="43" t="s">
        <v>157</v>
      </c>
      <c r="C11" s="3" t="s">
        <v>158</v>
      </c>
      <c r="D11" s="59" t="s">
        <v>87</v>
      </c>
      <c r="E11" s="59" t="s">
        <v>88</v>
      </c>
      <c r="F11" s="59" t="s">
        <v>89</v>
      </c>
      <c r="G11" s="59" t="s">
        <v>90</v>
      </c>
      <c r="H11" s="59" t="s">
        <v>91</v>
      </c>
      <c r="I11" s="59" t="s">
        <v>92</v>
      </c>
      <c r="J11" s="44" t="s">
        <v>93</v>
      </c>
    </row>
    <row r="12" spans="2:10" x14ac:dyDescent="0.3">
      <c r="B12" s="45">
        <v>3110</v>
      </c>
      <c r="C12" t="s">
        <v>159</v>
      </c>
      <c r="D12" s="212"/>
      <c r="E12" s="29">
        <f>VLOOKUP(Title!B6,Inputs!$O$3:$P$25,2,0)</f>
        <v>9502</v>
      </c>
      <c r="F12" s="29">
        <f>E12</f>
        <v>9502</v>
      </c>
      <c r="G12" s="29">
        <f>F12</f>
        <v>9502</v>
      </c>
      <c r="H12" s="29">
        <f t="shared" ref="H12:I12" si="0">G12</f>
        <v>9502</v>
      </c>
      <c r="I12" s="29">
        <f t="shared" si="0"/>
        <v>9502</v>
      </c>
      <c r="J12" s="256"/>
    </row>
    <row r="13" spans="2:10" x14ac:dyDescent="0.3">
      <c r="B13" s="45">
        <v>3254</v>
      </c>
      <c r="C13" t="s">
        <v>160</v>
      </c>
      <c r="D13" s="212"/>
      <c r="E13" s="29">
        <v>0</v>
      </c>
      <c r="F13" s="29">
        <v>4200</v>
      </c>
      <c r="G13" s="29">
        <v>4200</v>
      </c>
      <c r="H13" s="29">
        <v>4200</v>
      </c>
      <c r="I13" s="29">
        <v>4200</v>
      </c>
      <c r="J13" s="256"/>
    </row>
    <row r="14" spans="2:10" x14ac:dyDescent="0.3">
      <c r="B14" s="45">
        <v>3255</v>
      </c>
      <c r="C14" t="s">
        <v>161</v>
      </c>
      <c r="D14" s="212"/>
      <c r="E14" s="29">
        <v>0</v>
      </c>
      <c r="F14" s="29">
        <v>3300</v>
      </c>
      <c r="G14" s="29">
        <v>3300</v>
      </c>
      <c r="H14" s="29">
        <v>3300</v>
      </c>
      <c r="I14" s="29">
        <v>3300</v>
      </c>
      <c r="J14" s="256"/>
    </row>
    <row r="15" spans="2:10" x14ac:dyDescent="0.3">
      <c r="B15" s="45">
        <v>3256</v>
      </c>
      <c r="C15" t="s">
        <v>162</v>
      </c>
      <c r="D15" s="212"/>
      <c r="E15" s="29">
        <v>0</v>
      </c>
      <c r="F15" s="29">
        <v>1100</v>
      </c>
      <c r="G15" s="29">
        <v>1100</v>
      </c>
      <c r="H15" s="29">
        <v>1100</v>
      </c>
      <c r="I15" s="29">
        <v>1100</v>
      </c>
      <c r="J15" s="256"/>
    </row>
    <row r="16" spans="2:10" x14ac:dyDescent="0.3">
      <c r="B16" s="45">
        <v>3270</v>
      </c>
      <c r="C16" s="2" t="s">
        <v>163</v>
      </c>
      <c r="D16" s="212"/>
      <c r="E16" s="29">
        <v>0</v>
      </c>
      <c r="F16" s="29">
        <v>3700</v>
      </c>
      <c r="G16" s="29">
        <v>3700</v>
      </c>
      <c r="H16" s="29">
        <v>3700</v>
      </c>
      <c r="I16" s="29">
        <v>3700</v>
      </c>
      <c r="J16" s="256"/>
    </row>
    <row r="17" spans="2:10" x14ac:dyDescent="0.3">
      <c r="B17" s="45">
        <v>4500</v>
      </c>
      <c r="C17" s="2" t="s">
        <v>164</v>
      </c>
      <c r="D17" s="212"/>
      <c r="E17" s="29">
        <v>900</v>
      </c>
      <c r="F17" s="29">
        <v>900</v>
      </c>
      <c r="G17" s="29">
        <v>900</v>
      </c>
      <c r="H17" s="29">
        <v>900</v>
      </c>
      <c r="I17" s="29">
        <v>900</v>
      </c>
      <c r="J17" s="256"/>
    </row>
    <row r="18" spans="2:10" x14ac:dyDescent="0.3">
      <c r="B18" s="45">
        <v>4500</v>
      </c>
      <c r="C18" s="2" t="s">
        <v>165</v>
      </c>
      <c r="D18" s="212"/>
      <c r="E18" s="29">
        <v>100</v>
      </c>
      <c r="F18" s="29">
        <v>100</v>
      </c>
      <c r="G18" s="29">
        <v>100</v>
      </c>
      <c r="H18" s="29">
        <v>100</v>
      </c>
      <c r="I18" s="29">
        <v>100</v>
      </c>
      <c r="J18" s="256"/>
    </row>
    <row r="19" spans="2:10" x14ac:dyDescent="0.3">
      <c r="B19" s="45">
        <v>4500</v>
      </c>
      <c r="C19" s="2" t="s">
        <v>166</v>
      </c>
      <c r="D19" s="212"/>
      <c r="E19" s="232">
        <v>0</v>
      </c>
      <c r="F19" s="232">
        <f>30*Enrollment!E32</f>
        <v>7200</v>
      </c>
      <c r="G19" s="232">
        <f>30*Enrollment!F32</f>
        <v>10800</v>
      </c>
      <c r="H19" s="232">
        <f>30*Enrollment!G32</f>
        <v>12600</v>
      </c>
      <c r="I19" s="232">
        <f>30*Enrollment!H32</f>
        <v>12825</v>
      </c>
      <c r="J19" s="256" t="s">
        <v>167</v>
      </c>
    </row>
    <row r="20" spans="2:10" x14ac:dyDescent="0.3">
      <c r="B20" s="45">
        <v>4500</v>
      </c>
      <c r="C20" s="2" t="s">
        <v>168</v>
      </c>
      <c r="D20" s="212"/>
      <c r="E20" s="232">
        <v>0</v>
      </c>
      <c r="F20" s="232">
        <f>[2]Enrollment!D28*130</f>
        <v>3900</v>
      </c>
      <c r="G20" s="232">
        <f>[2]Enrollment!E28*130</f>
        <v>7800</v>
      </c>
      <c r="H20" s="232">
        <f>[2]Enrollment!F28*130</f>
        <v>11960</v>
      </c>
      <c r="I20" s="232">
        <f>[2]Enrollment!G28*130</f>
        <v>14170</v>
      </c>
      <c r="J20" s="256" t="s">
        <v>169</v>
      </c>
    </row>
    <row r="21" spans="2:10" x14ac:dyDescent="0.3">
      <c r="B21" s="47">
        <v>4500</v>
      </c>
      <c r="C21" s="3" t="s">
        <v>170</v>
      </c>
      <c r="D21" s="213"/>
      <c r="E21" s="233">
        <v>0</v>
      </c>
      <c r="F21" s="233">
        <f>[2]Enrollment!D33*50</f>
        <v>9000</v>
      </c>
      <c r="G21" s="233">
        <f>[2]Enrollment!E33*50*0.75</f>
        <v>13500</v>
      </c>
      <c r="H21" s="233">
        <f>[2]Enrollment!F33*50*0.75</f>
        <v>20700</v>
      </c>
      <c r="I21" s="233">
        <f>[2]Enrollment!G33*50*0.75</f>
        <v>24525</v>
      </c>
      <c r="J21" s="257" t="s">
        <v>171</v>
      </c>
    </row>
    <row r="22" spans="2:10" x14ac:dyDescent="0.3">
      <c r="D22" s="57"/>
      <c r="E22" s="57"/>
      <c r="F22" s="57"/>
      <c r="G22" s="57"/>
      <c r="H22" s="57"/>
      <c r="I22" s="57"/>
    </row>
    <row r="23" spans="2:10" ht="23.4" customHeight="1" x14ac:dyDescent="0.3">
      <c r="B23" s="64" t="s">
        <v>172</v>
      </c>
      <c r="C23" s="42"/>
      <c r="D23" s="58"/>
      <c r="E23" s="58"/>
      <c r="F23" s="58"/>
      <c r="G23" s="58"/>
      <c r="H23" s="58"/>
      <c r="I23" s="58"/>
      <c r="J23" s="86"/>
    </row>
    <row r="24" spans="2:10" s="2" customFormat="1" ht="28.8" x14ac:dyDescent="0.3">
      <c r="B24" s="49" t="s">
        <v>157</v>
      </c>
      <c r="C24" s="20" t="s">
        <v>158</v>
      </c>
      <c r="D24" s="60" t="s">
        <v>87</v>
      </c>
      <c r="E24" s="60" t="s">
        <v>88</v>
      </c>
      <c r="F24" s="60" t="s">
        <v>89</v>
      </c>
      <c r="G24" s="60" t="s">
        <v>90</v>
      </c>
      <c r="H24" s="60" t="s">
        <v>91</v>
      </c>
      <c r="I24" s="60" t="s">
        <v>92</v>
      </c>
      <c r="J24" s="50" t="s">
        <v>93</v>
      </c>
    </row>
    <row r="25" spans="2:10" s="2" customFormat="1" x14ac:dyDescent="0.3">
      <c r="B25" s="51"/>
      <c r="C25" s="15"/>
      <c r="D25" s="28"/>
      <c r="E25" s="28"/>
      <c r="F25" s="28"/>
      <c r="G25" s="28"/>
      <c r="H25" s="28"/>
      <c r="I25" s="28"/>
      <c r="J25" s="254"/>
    </row>
    <row r="26" spans="2:10" x14ac:dyDescent="0.3">
      <c r="B26" s="45"/>
      <c r="C26" s="16" t="s">
        <v>173</v>
      </c>
      <c r="D26" s="29"/>
      <c r="E26" s="29"/>
      <c r="F26" s="29"/>
      <c r="G26" s="29"/>
      <c r="H26" s="29"/>
      <c r="I26" s="29"/>
      <c r="J26" s="255"/>
    </row>
    <row r="27" spans="2:10" x14ac:dyDescent="0.3">
      <c r="B27" s="45">
        <v>1500</v>
      </c>
      <c r="C27" s="52" t="s">
        <v>174</v>
      </c>
      <c r="D27" s="232"/>
      <c r="E27" s="232"/>
      <c r="F27" s="232"/>
      <c r="G27" s="232"/>
      <c r="H27" s="232"/>
      <c r="I27" s="232"/>
      <c r="J27" s="256"/>
    </row>
    <row r="28" spans="2:10" x14ac:dyDescent="0.3">
      <c r="B28" s="45">
        <v>1600</v>
      </c>
      <c r="C28" s="52" t="s">
        <v>175</v>
      </c>
      <c r="D28" s="232"/>
      <c r="E28" s="232">
        <f>10*E8</f>
        <v>1600</v>
      </c>
      <c r="F28" s="232">
        <f t="shared" ref="F28:I28" si="1">10*F8</f>
        <v>3200</v>
      </c>
      <c r="G28" s="232">
        <f t="shared" si="1"/>
        <v>4800</v>
      </c>
      <c r="H28" s="232">
        <f t="shared" si="1"/>
        <v>5600</v>
      </c>
      <c r="I28" s="232">
        <f t="shared" si="1"/>
        <v>5700</v>
      </c>
      <c r="J28" s="256" t="s">
        <v>176</v>
      </c>
    </row>
    <row r="29" spans="2:10" x14ac:dyDescent="0.3">
      <c r="B29" s="45">
        <v>1700</v>
      </c>
      <c r="C29" s="52" t="s">
        <v>177</v>
      </c>
      <c r="D29" s="232"/>
      <c r="E29" s="232">
        <f>25*E8</f>
        <v>4000</v>
      </c>
      <c r="F29" s="232">
        <f t="shared" ref="F29:I29" si="2">25*F8</f>
        <v>8000</v>
      </c>
      <c r="G29" s="232">
        <f t="shared" si="2"/>
        <v>12000</v>
      </c>
      <c r="H29" s="232">
        <f t="shared" si="2"/>
        <v>14000</v>
      </c>
      <c r="I29" s="232">
        <f t="shared" si="2"/>
        <v>14250</v>
      </c>
      <c r="J29" s="256" t="s">
        <v>178</v>
      </c>
    </row>
    <row r="30" spans="2:10" x14ac:dyDescent="0.3">
      <c r="B30" s="45">
        <v>1920</v>
      </c>
      <c r="C30" s="52" t="s">
        <v>179</v>
      </c>
      <c r="D30" s="232"/>
      <c r="E30" s="232"/>
      <c r="F30" s="232"/>
      <c r="G30" s="232"/>
      <c r="H30" s="232"/>
      <c r="I30" s="232"/>
      <c r="J30" s="256"/>
    </row>
    <row r="31" spans="2:10" x14ac:dyDescent="0.3">
      <c r="B31" s="45">
        <v>1920</v>
      </c>
      <c r="C31" s="52" t="s">
        <v>179</v>
      </c>
      <c r="D31" s="232"/>
      <c r="E31" s="232"/>
      <c r="F31" s="232"/>
      <c r="G31" s="232"/>
      <c r="H31" s="232"/>
      <c r="I31" s="232"/>
      <c r="J31" s="256" t="s">
        <v>180</v>
      </c>
    </row>
    <row r="32" spans="2:10" x14ac:dyDescent="0.3">
      <c r="B32" s="45">
        <v>1920</v>
      </c>
      <c r="C32" s="13" t="s">
        <v>179</v>
      </c>
      <c r="D32" s="233"/>
      <c r="E32" s="233"/>
      <c r="F32" s="233"/>
      <c r="G32" s="233"/>
      <c r="H32" s="233"/>
      <c r="I32" s="233"/>
      <c r="J32" s="256"/>
    </row>
    <row r="33" spans="2:10" x14ac:dyDescent="0.3">
      <c r="B33" s="45"/>
      <c r="C33" s="77" t="s">
        <v>181</v>
      </c>
      <c r="D33" s="29">
        <f>SUM(D27:D32)</f>
        <v>0</v>
      </c>
      <c r="E33" s="29">
        <f t="shared" ref="E33:I33" si="3">SUM(E27:E32)</f>
        <v>5600</v>
      </c>
      <c r="F33" s="29">
        <f t="shared" si="3"/>
        <v>11200</v>
      </c>
      <c r="G33" s="29">
        <f t="shared" si="3"/>
        <v>16800</v>
      </c>
      <c r="H33" s="29">
        <f t="shared" si="3"/>
        <v>19600</v>
      </c>
      <c r="I33" s="29">
        <f t="shared" si="3"/>
        <v>19950</v>
      </c>
      <c r="J33" s="256"/>
    </row>
    <row r="34" spans="2:10" ht="14.4" customHeight="1" x14ac:dyDescent="0.3">
      <c r="B34" s="45"/>
      <c r="C34" s="78" t="s">
        <v>182</v>
      </c>
      <c r="D34" s="79"/>
      <c r="E34" s="31">
        <f>IFERROR(E33/E$8,"-")</f>
        <v>35</v>
      </c>
      <c r="F34" s="31">
        <f>IFERROR(F33/F$8,"-")</f>
        <v>35</v>
      </c>
      <c r="G34" s="31">
        <f>IFERROR(G33/G$8,"-")</f>
        <v>35</v>
      </c>
      <c r="H34" s="31">
        <f>IFERROR(H33/H$8,"-")</f>
        <v>35</v>
      </c>
      <c r="I34" s="31">
        <f>IFERROR(I33/I$8,"-")</f>
        <v>35</v>
      </c>
      <c r="J34" s="256"/>
    </row>
    <row r="35" spans="2:10" x14ac:dyDescent="0.3">
      <c r="B35" s="45"/>
      <c r="C35" s="16" t="s">
        <v>183</v>
      </c>
      <c r="D35" s="29"/>
      <c r="E35" s="29"/>
      <c r="F35" s="29"/>
      <c r="G35" s="29"/>
      <c r="H35" s="29"/>
      <c r="I35" s="29"/>
      <c r="J35" s="256"/>
    </row>
    <row r="36" spans="2:10" x14ac:dyDescent="0.3">
      <c r="B36" s="45">
        <v>3110</v>
      </c>
      <c r="C36" s="7" t="s">
        <v>184</v>
      </c>
      <c r="D36" s="61"/>
      <c r="E36" s="29">
        <f>E12*Enrollment!D$23</f>
        <v>1520320</v>
      </c>
      <c r="F36" s="29">
        <f>F12*Enrollment!E$23</f>
        <v>3040640</v>
      </c>
      <c r="G36" s="29">
        <f>G12*Enrollment!F$23</f>
        <v>4560960</v>
      </c>
      <c r="H36" s="29">
        <f>H12*Enrollment!G$23</f>
        <v>5321120</v>
      </c>
      <c r="I36" s="29">
        <f>I12*Enrollment!H$23</f>
        <v>5416140</v>
      </c>
      <c r="J36" s="256"/>
    </row>
    <row r="37" spans="2:10" x14ac:dyDescent="0.3">
      <c r="B37" s="45">
        <v>3200</v>
      </c>
      <c r="C37" s="7" t="s">
        <v>185</v>
      </c>
      <c r="D37" s="61"/>
      <c r="E37" s="232">
        <f>481*E8</f>
        <v>76960</v>
      </c>
      <c r="F37" s="232">
        <f t="shared" ref="F37:I37" si="4">481*F8</f>
        <v>153920</v>
      </c>
      <c r="G37" s="232">
        <f t="shared" si="4"/>
        <v>230880</v>
      </c>
      <c r="H37" s="232">
        <f t="shared" si="4"/>
        <v>269360</v>
      </c>
      <c r="I37" s="232">
        <f t="shared" si="4"/>
        <v>274170</v>
      </c>
      <c r="J37" s="256" t="s">
        <v>186</v>
      </c>
    </row>
    <row r="38" spans="2:10" x14ac:dyDescent="0.3">
      <c r="B38" s="45">
        <v>3254</v>
      </c>
      <c r="C38" s="7" t="s">
        <v>187</v>
      </c>
      <c r="D38" s="61"/>
      <c r="E38" s="29">
        <v>0</v>
      </c>
      <c r="F38" s="29">
        <f>F13*Enrollment!D28</f>
        <v>114240.00000000001</v>
      </c>
      <c r="G38" s="29">
        <f>G13*Enrollment!E28</f>
        <v>228480.00000000003</v>
      </c>
      <c r="H38" s="29">
        <f>H13*Enrollment!F28</f>
        <v>342720.00000000006</v>
      </c>
      <c r="I38" s="29">
        <f>I13*Enrollment!G28</f>
        <v>399840</v>
      </c>
      <c r="J38" s="256"/>
    </row>
    <row r="39" spans="2:10" x14ac:dyDescent="0.3">
      <c r="B39" s="45">
        <v>3255</v>
      </c>
      <c r="C39" s="7" t="s">
        <v>188</v>
      </c>
      <c r="D39" s="61"/>
      <c r="E39" s="29">
        <v>0</v>
      </c>
      <c r="F39" s="29">
        <v>0</v>
      </c>
      <c r="G39" s="29">
        <v>0</v>
      </c>
      <c r="H39" s="29">
        <v>0</v>
      </c>
      <c r="I39" s="29">
        <v>0</v>
      </c>
      <c r="J39" s="256"/>
    </row>
    <row r="40" spans="2:10" x14ac:dyDescent="0.3">
      <c r="B40" s="45">
        <v>3256</v>
      </c>
      <c r="C40" s="7" t="s">
        <v>189</v>
      </c>
      <c r="D40" s="61"/>
      <c r="E40" s="29">
        <v>0</v>
      </c>
      <c r="F40" s="29">
        <f>F15*Enrollment!D30</f>
        <v>0</v>
      </c>
      <c r="G40" s="29">
        <f>G15*Enrollment!E30</f>
        <v>0</v>
      </c>
      <c r="H40" s="29">
        <f>H15*Enrollment!F30</f>
        <v>0</v>
      </c>
      <c r="I40" s="29">
        <f>I15*Enrollment!G30</f>
        <v>0</v>
      </c>
      <c r="J40" s="256"/>
    </row>
    <row r="41" spans="2:10" x14ac:dyDescent="0.3">
      <c r="B41" s="45">
        <v>3270</v>
      </c>
      <c r="C41" s="17" t="s">
        <v>190</v>
      </c>
      <c r="D41" s="62"/>
      <c r="E41" s="30">
        <v>0</v>
      </c>
      <c r="F41" s="30">
        <f>F16*Enrollment!D27</f>
        <v>100640.00000000001</v>
      </c>
      <c r="G41" s="30">
        <f>G16*Enrollment!E27</f>
        <v>201280.00000000003</v>
      </c>
      <c r="H41" s="30">
        <f>H16*Enrollment!F27</f>
        <v>301920.00000000006</v>
      </c>
      <c r="I41" s="30">
        <f>I16*Enrollment!G27</f>
        <v>352240</v>
      </c>
      <c r="J41" s="256"/>
    </row>
    <row r="42" spans="2:10" x14ac:dyDescent="0.3">
      <c r="B42" s="45"/>
      <c r="C42" s="77" t="s">
        <v>191</v>
      </c>
      <c r="D42" s="61">
        <f>SUM(D36:D41)</f>
        <v>0</v>
      </c>
      <c r="E42" s="29">
        <f t="shared" ref="E42:I42" si="5">SUM(E36:E41)</f>
        <v>1597280</v>
      </c>
      <c r="F42" s="29">
        <f t="shared" si="5"/>
        <v>3409440</v>
      </c>
      <c r="G42" s="29">
        <f t="shared" si="5"/>
        <v>5221600</v>
      </c>
      <c r="H42" s="29">
        <f t="shared" si="5"/>
        <v>6235120</v>
      </c>
      <c r="I42" s="29">
        <f t="shared" si="5"/>
        <v>6442390</v>
      </c>
      <c r="J42" s="256"/>
    </row>
    <row r="43" spans="2:10" x14ac:dyDescent="0.3">
      <c r="B43" s="45"/>
      <c r="C43" s="78" t="s">
        <v>182</v>
      </c>
      <c r="D43" s="79"/>
      <c r="E43" s="31">
        <f>IFERROR(E42/E$8,"-")</f>
        <v>9983</v>
      </c>
      <c r="F43" s="31">
        <f>IFERROR(F42/F$8,"-")</f>
        <v>10654.5</v>
      </c>
      <c r="G43" s="31">
        <f>IFERROR(G42/G$8,"-")</f>
        <v>10878.333333333334</v>
      </c>
      <c r="H43" s="31">
        <f>IFERROR(H42/H$8,"-")</f>
        <v>11134.142857142857</v>
      </c>
      <c r="I43" s="31">
        <f>IFERROR(I42/I$8,"-")</f>
        <v>11302.438596491229</v>
      </c>
      <c r="J43" s="256"/>
    </row>
    <row r="44" spans="2:10" x14ac:dyDescent="0.3">
      <c r="B44" s="45"/>
      <c r="C44" s="16" t="s">
        <v>192</v>
      </c>
      <c r="D44" s="29"/>
      <c r="E44" s="29"/>
      <c r="F44" s="29"/>
      <c r="G44" s="29"/>
      <c r="H44" s="29"/>
      <c r="I44" s="29"/>
      <c r="J44" s="256"/>
    </row>
    <row r="45" spans="2:10" x14ac:dyDescent="0.3">
      <c r="B45" s="45">
        <v>4100</v>
      </c>
      <c r="C45" s="7" t="s">
        <v>193</v>
      </c>
      <c r="D45" s="61"/>
      <c r="E45" s="232"/>
      <c r="F45" s="232"/>
      <c r="G45" s="232"/>
      <c r="H45" s="232"/>
      <c r="I45" s="232"/>
      <c r="J45" s="256"/>
    </row>
    <row r="46" spans="2:10" x14ac:dyDescent="0.3">
      <c r="B46" s="45">
        <v>4200</v>
      </c>
      <c r="C46" s="7" t="s">
        <v>194</v>
      </c>
      <c r="D46" s="61"/>
      <c r="E46" s="232"/>
      <c r="F46" s="232"/>
      <c r="G46" s="232"/>
      <c r="H46" s="232"/>
      <c r="I46" s="232"/>
      <c r="J46" s="256"/>
    </row>
    <row r="47" spans="2:10" x14ac:dyDescent="0.3">
      <c r="B47" s="45">
        <v>4300</v>
      </c>
      <c r="C47" s="7" t="s">
        <v>195</v>
      </c>
      <c r="D47" s="61"/>
      <c r="E47" s="232"/>
      <c r="F47" s="232"/>
      <c r="G47" s="232"/>
      <c r="H47" s="232"/>
      <c r="I47" s="232"/>
      <c r="J47" s="256"/>
    </row>
    <row r="48" spans="2:10" x14ac:dyDescent="0.3">
      <c r="B48" s="45">
        <v>4500</v>
      </c>
      <c r="C48" s="7" t="s">
        <v>164</v>
      </c>
      <c r="D48" s="61"/>
      <c r="E48" s="29">
        <f>E17*Enrollment!D$27</f>
        <v>24480.000000000004</v>
      </c>
      <c r="F48" s="29">
        <f>F17*Enrollment!E$27</f>
        <v>48960.000000000007</v>
      </c>
      <c r="G48" s="29">
        <f>G17*Enrollment!F$27</f>
        <v>73440.000000000015</v>
      </c>
      <c r="H48" s="29">
        <f>H17*Enrollment!G$27</f>
        <v>85680</v>
      </c>
      <c r="I48" s="29">
        <f>I17*Enrollment!H$27</f>
        <v>87210</v>
      </c>
      <c r="J48" s="256"/>
    </row>
    <row r="49" spans="2:10" x14ac:dyDescent="0.3">
      <c r="B49" s="45">
        <v>4500</v>
      </c>
      <c r="C49" s="7" t="s">
        <v>165</v>
      </c>
      <c r="D49" s="61"/>
      <c r="E49" s="29">
        <f>E18*Enrollment!D$33</f>
        <v>19200</v>
      </c>
      <c r="F49" s="29">
        <f>F18*Enrollment!E$33</f>
        <v>38400</v>
      </c>
      <c r="G49" s="29">
        <f>G18*Enrollment!F$33</f>
        <v>57600</v>
      </c>
      <c r="H49" s="29">
        <f>H18*Enrollment!G$33</f>
        <v>67200</v>
      </c>
      <c r="I49" s="29">
        <f>I18*Enrollment!H$33</f>
        <v>68400</v>
      </c>
      <c r="J49" s="256"/>
    </row>
    <row r="50" spans="2:10" x14ac:dyDescent="0.3">
      <c r="B50" s="45">
        <v>4500</v>
      </c>
      <c r="C50" s="7" t="s">
        <v>166</v>
      </c>
      <c r="D50" s="61"/>
      <c r="E50" s="29">
        <f>E19</f>
        <v>0</v>
      </c>
      <c r="F50" s="29">
        <f t="shared" ref="F50:I50" si="6">F19</f>
        <v>7200</v>
      </c>
      <c r="G50" s="29">
        <f t="shared" si="6"/>
        <v>10800</v>
      </c>
      <c r="H50" s="29">
        <f t="shared" si="6"/>
        <v>12600</v>
      </c>
      <c r="I50" s="29">
        <f t="shared" si="6"/>
        <v>12825</v>
      </c>
      <c r="J50" s="256"/>
    </row>
    <row r="51" spans="2:10" x14ac:dyDescent="0.3">
      <c r="B51" s="45">
        <v>4500</v>
      </c>
      <c r="C51" s="7" t="s">
        <v>168</v>
      </c>
      <c r="D51" s="61"/>
      <c r="E51" s="29">
        <f t="shared" ref="E51:I52" si="7">E20</f>
        <v>0</v>
      </c>
      <c r="F51" s="29">
        <f t="shared" si="7"/>
        <v>3900</v>
      </c>
      <c r="G51" s="29">
        <f t="shared" si="7"/>
        <v>7800</v>
      </c>
      <c r="H51" s="29">
        <f t="shared" si="7"/>
        <v>11960</v>
      </c>
      <c r="I51" s="29">
        <f t="shared" si="7"/>
        <v>14170</v>
      </c>
      <c r="J51" s="256"/>
    </row>
    <row r="52" spans="2:10" x14ac:dyDescent="0.3">
      <c r="B52" s="45">
        <v>4500</v>
      </c>
      <c r="C52" s="7" t="s">
        <v>170</v>
      </c>
      <c r="D52" s="61"/>
      <c r="E52" s="29">
        <f t="shared" si="7"/>
        <v>0</v>
      </c>
      <c r="F52" s="29">
        <f t="shared" si="7"/>
        <v>9000</v>
      </c>
      <c r="G52" s="29">
        <f t="shared" si="7"/>
        <v>13500</v>
      </c>
      <c r="H52" s="29">
        <f t="shared" si="7"/>
        <v>20700</v>
      </c>
      <c r="I52" s="29">
        <f t="shared" si="7"/>
        <v>24525</v>
      </c>
      <c r="J52" s="256"/>
    </row>
    <row r="53" spans="2:10" x14ac:dyDescent="0.3">
      <c r="B53" s="45">
        <v>4510</v>
      </c>
      <c r="C53" s="7" t="s">
        <v>196</v>
      </c>
      <c r="D53" s="61"/>
      <c r="E53" s="232">
        <f>(4.77+2.46)*E8*189</f>
        <v>218635.19999999998</v>
      </c>
      <c r="F53" s="232">
        <f t="shared" ref="F53:I53" si="8">(4.77+2.46)*F8*189</f>
        <v>437270.39999999997</v>
      </c>
      <c r="G53" s="232">
        <f t="shared" si="8"/>
        <v>655905.6</v>
      </c>
      <c r="H53" s="232">
        <f t="shared" si="8"/>
        <v>765223.2</v>
      </c>
      <c r="I53" s="232">
        <f t="shared" si="8"/>
        <v>778887.89999999991</v>
      </c>
      <c r="J53" s="256" t="s">
        <v>197</v>
      </c>
    </row>
    <row r="54" spans="2:10" x14ac:dyDescent="0.3">
      <c r="B54" s="45">
        <v>4700</v>
      </c>
      <c r="C54" s="7" t="s">
        <v>198</v>
      </c>
      <c r="D54" s="232">
        <v>600000</v>
      </c>
      <c r="E54" s="232">
        <v>800000</v>
      </c>
      <c r="F54" s="232">
        <f>2000000-D54-E54</f>
        <v>600000</v>
      </c>
      <c r="G54" s="232"/>
      <c r="H54" s="232"/>
      <c r="I54" s="232"/>
      <c r="J54" s="256" t="s">
        <v>533</v>
      </c>
    </row>
    <row r="55" spans="2:10" x14ac:dyDescent="0.3">
      <c r="B55" s="45">
        <v>4703</v>
      </c>
      <c r="C55" s="17" t="s">
        <v>199</v>
      </c>
      <c r="D55" s="62"/>
      <c r="E55" s="233"/>
      <c r="F55" s="233"/>
      <c r="G55" s="233"/>
      <c r="H55" s="233"/>
      <c r="I55" s="233"/>
      <c r="J55" s="256"/>
    </row>
    <row r="56" spans="2:10" x14ac:dyDescent="0.3">
      <c r="B56" s="45"/>
      <c r="C56" s="77" t="s">
        <v>200</v>
      </c>
      <c r="D56" s="61">
        <f t="shared" ref="D56:I56" si="9">SUM(D45:D55)</f>
        <v>600000</v>
      </c>
      <c r="E56" s="29">
        <f t="shared" si="9"/>
        <v>1062315.2</v>
      </c>
      <c r="F56" s="29">
        <f t="shared" si="9"/>
        <v>1144730.3999999999</v>
      </c>
      <c r="G56" s="29">
        <f t="shared" si="9"/>
        <v>819045.6</v>
      </c>
      <c r="H56" s="29">
        <f t="shared" si="9"/>
        <v>963363.2</v>
      </c>
      <c r="I56" s="29">
        <f t="shared" si="9"/>
        <v>986017.89999999991</v>
      </c>
      <c r="J56" s="256"/>
    </row>
    <row r="57" spans="2:10" x14ac:dyDescent="0.3">
      <c r="B57" s="45"/>
      <c r="C57" s="78" t="s">
        <v>182</v>
      </c>
      <c r="D57" s="79"/>
      <c r="E57" s="31">
        <f>IFERROR(E56/E$8,"-")</f>
        <v>6639.4699999999993</v>
      </c>
      <c r="F57" s="31">
        <f>IFERROR(F56/F$8,"-")</f>
        <v>3577.2824999999998</v>
      </c>
      <c r="G57" s="31">
        <f>IFERROR(G56/G$8,"-")</f>
        <v>1706.345</v>
      </c>
      <c r="H57" s="31">
        <f>IFERROR(H56/H$8,"-")</f>
        <v>1720.2914285714285</v>
      </c>
      <c r="I57" s="31">
        <f>IFERROR(I56/I$8,"-")</f>
        <v>1729.8559649122806</v>
      </c>
      <c r="J57" s="256"/>
    </row>
    <row r="58" spans="2:10" x14ac:dyDescent="0.3">
      <c r="B58" s="45"/>
      <c r="C58" s="151"/>
      <c r="D58" s="152"/>
      <c r="E58" s="153"/>
      <c r="F58" s="153"/>
      <c r="G58" s="153"/>
      <c r="H58" s="153"/>
      <c r="I58" s="153"/>
      <c r="J58" s="256"/>
    </row>
    <row r="59" spans="2:10" x14ac:dyDescent="0.3">
      <c r="B59" s="45"/>
      <c r="C59" s="22" t="s">
        <v>201</v>
      </c>
      <c r="D59" s="29">
        <f>D56+D42+D33</f>
        <v>600000</v>
      </c>
      <c r="E59" s="29">
        <f t="shared" ref="E59:I59" si="10">E56+E42+E33</f>
        <v>2665195.2000000002</v>
      </c>
      <c r="F59" s="29">
        <f t="shared" si="10"/>
        <v>4565370.4000000004</v>
      </c>
      <c r="G59" s="29">
        <f t="shared" si="10"/>
        <v>6057445.5999999996</v>
      </c>
      <c r="H59" s="29">
        <f t="shared" si="10"/>
        <v>7218083.2000000002</v>
      </c>
      <c r="I59" s="29">
        <f t="shared" si="10"/>
        <v>7448357.9000000004</v>
      </c>
      <c r="J59" s="256"/>
    </row>
    <row r="60" spans="2:10" x14ac:dyDescent="0.3">
      <c r="B60" s="45"/>
      <c r="C60" s="78" t="s">
        <v>182</v>
      </c>
      <c r="D60" s="79"/>
      <c r="E60" s="31">
        <f>IFERROR(E59/E$8,"-")</f>
        <v>16657.47</v>
      </c>
      <c r="F60" s="31">
        <f>IFERROR(F59/F$8,"-")</f>
        <v>14266.782500000001</v>
      </c>
      <c r="G60" s="31">
        <f>IFERROR(G59/G$8,"-")</f>
        <v>12619.678333333333</v>
      </c>
      <c r="H60" s="31">
        <f>IFERROR(H59/H$8,"-")</f>
        <v>12889.434285714286</v>
      </c>
      <c r="I60" s="31">
        <f>IFERROR(I59/I$8,"-")</f>
        <v>13067.294561403509</v>
      </c>
      <c r="J60" s="256"/>
    </row>
    <row r="61" spans="2:10" x14ac:dyDescent="0.3">
      <c r="B61" s="45"/>
      <c r="C61" s="16" t="s">
        <v>202</v>
      </c>
      <c r="D61" s="29"/>
      <c r="E61" s="29"/>
      <c r="F61" s="29"/>
      <c r="G61" s="29"/>
      <c r="H61" s="29"/>
      <c r="I61" s="29"/>
      <c r="J61" s="256"/>
    </row>
    <row r="62" spans="2:10" x14ac:dyDescent="0.3">
      <c r="B62" s="45">
        <v>5100</v>
      </c>
      <c r="C62" s="7" t="s">
        <v>203</v>
      </c>
      <c r="D62" s="232"/>
      <c r="E62" s="232"/>
      <c r="F62" s="232"/>
      <c r="G62" s="232"/>
      <c r="H62" s="232"/>
      <c r="I62" s="232"/>
      <c r="J62" s="256"/>
    </row>
    <row r="63" spans="2:10" x14ac:dyDescent="0.3">
      <c r="B63" s="45">
        <v>5400</v>
      </c>
      <c r="C63" s="7" t="s">
        <v>204</v>
      </c>
      <c r="D63" s="232"/>
      <c r="E63" s="232"/>
      <c r="F63" s="232"/>
      <c r="G63" s="232"/>
      <c r="H63" s="232"/>
      <c r="I63" s="232"/>
      <c r="J63" s="256"/>
    </row>
    <row r="64" spans="2:10" x14ac:dyDescent="0.3">
      <c r="B64" s="45">
        <v>5400</v>
      </c>
      <c r="C64" s="17" t="s">
        <v>204</v>
      </c>
      <c r="D64" s="233"/>
      <c r="E64" s="233"/>
      <c r="F64" s="233"/>
      <c r="G64" s="233"/>
      <c r="H64" s="233"/>
      <c r="I64" s="233"/>
      <c r="J64" s="256"/>
    </row>
    <row r="65" spans="2:10" x14ac:dyDescent="0.3">
      <c r="B65" s="45"/>
      <c r="C65" s="77" t="s">
        <v>205</v>
      </c>
      <c r="D65" s="29">
        <f>SUM(D62:D64)</f>
        <v>0</v>
      </c>
      <c r="E65" s="29">
        <f t="shared" ref="E65:I65" si="11">SUM(E62:E64)</f>
        <v>0</v>
      </c>
      <c r="F65" s="29">
        <f t="shared" si="11"/>
        <v>0</v>
      </c>
      <c r="G65" s="29">
        <f t="shared" si="11"/>
        <v>0</v>
      </c>
      <c r="H65" s="29">
        <f t="shared" si="11"/>
        <v>0</v>
      </c>
      <c r="I65" s="29">
        <f t="shared" si="11"/>
        <v>0</v>
      </c>
      <c r="J65" s="256"/>
    </row>
    <row r="66" spans="2:10" ht="15" thickBot="1" x14ac:dyDescent="0.35">
      <c r="B66" s="53"/>
      <c r="C66" s="8"/>
      <c r="D66" s="32"/>
      <c r="E66" s="32"/>
      <c r="F66" s="32"/>
      <c r="G66" s="32"/>
      <c r="H66" s="32"/>
      <c r="I66" s="32"/>
      <c r="J66" s="256"/>
    </row>
    <row r="67" spans="2:10" ht="19.2" customHeight="1" thickTop="1" x14ac:dyDescent="0.3">
      <c r="B67" s="47"/>
      <c r="C67" s="164" t="s">
        <v>206</v>
      </c>
      <c r="D67" s="102">
        <f>D65+D59</f>
        <v>600000</v>
      </c>
      <c r="E67" s="102">
        <f t="shared" ref="E67:I67" si="12">E65+E59</f>
        <v>2665195.2000000002</v>
      </c>
      <c r="F67" s="102">
        <f t="shared" si="12"/>
        <v>4565370.4000000004</v>
      </c>
      <c r="G67" s="102">
        <f t="shared" si="12"/>
        <v>6057445.5999999996</v>
      </c>
      <c r="H67" s="102">
        <f t="shared" si="12"/>
        <v>7218083.2000000002</v>
      </c>
      <c r="I67" s="102">
        <f t="shared" si="12"/>
        <v>7448357.9000000004</v>
      </c>
      <c r="J67" s="258"/>
    </row>
    <row r="68" spans="2:10" x14ac:dyDescent="0.3">
      <c r="C68" s="78" t="s">
        <v>182</v>
      </c>
      <c r="D68" s="163"/>
      <c r="E68" s="162">
        <f>IFERROR(E67/E$8,"-")</f>
        <v>16657.47</v>
      </c>
      <c r="F68" s="162">
        <f>IFERROR(F67/F$8,"-")</f>
        <v>14266.782500000001</v>
      </c>
      <c r="G68" s="162">
        <f>IFERROR(G67/G$8,"-")</f>
        <v>12619.678333333333</v>
      </c>
      <c r="H68" s="162">
        <f>IFERROR(H67/H$8,"-")</f>
        <v>12889.434285714286</v>
      </c>
      <c r="I68" s="162">
        <f>IFERROR(I67/I$8,"-")</f>
        <v>13067.294561403509</v>
      </c>
    </row>
    <row r="69" spans="2:10" x14ac:dyDescent="0.3">
      <c r="D69" s="5"/>
      <c r="E69" s="5"/>
      <c r="F69" s="5"/>
      <c r="G69" s="5"/>
      <c r="H69" s="5"/>
      <c r="I69" s="5"/>
    </row>
    <row r="70" spans="2:10" x14ac:dyDescent="0.3">
      <c r="D70" s="5"/>
      <c r="E70" s="5"/>
      <c r="F70" s="5"/>
      <c r="G70" s="5"/>
      <c r="H70" s="5"/>
      <c r="I70" s="5"/>
    </row>
    <row r="71" spans="2:10" x14ac:dyDescent="0.3">
      <c r="D71" s="5"/>
      <c r="E71" s="5"/>
      <c r="F71" s="5"/>
      <c r="G71" s="5"/>
      <c r="H71" s="5"/>
      <c r="I71" s="5"/>
    </row>
    <row r="72" spans="2:10" x14ac:dyDescent="0.3">
      <c r="D72" s="5"/>
      <c r="E72" s="5"/>
      <c r="F72" s="5"/>
      <c r="G72" s="5"/>
      <c r="H72" s="5"/>
      <c r="I72" s="5"/>
    </row>
    <row r="73" spans="2:10" x14ac:dyDescent="0.3">
      <c r="D73" s="5"/>
      <c r="E73" s="5"/>
      <c r="F73" s="5"/>
      <c r="G73" s="5"/>
      <c r="H73" s="5"/>
      <c r="I73" s="5"/>
    </row>
  </sheetData>
  <sheetProtection algorithmName="SHA-512" hashValue="WzYz6N09ApzuAd67KIrBXt//9+OCl58fhwuzkDmuz8RNNA+7QccddonPNEvyKbJUIOvsQK2FsBOIiUvdpjV0PA==" saltValue="EoYb3DX23QGF1D099kbQfQ==" spinCount="100000" sheet="1" objects="1" scenarios="1"/>
  <mergeCells count="1">
    <mergeCell ref="C5:I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90015-FC0D-4E93-ADD1-51B865EBC319}">
  <dimension ref="B1:J176"/>
  <sheetViews>
    <sheetView zoomScale="130" zoomScaleNormal="130" workbookViewId="0">
      <pane xSplit="3" ySplit="9" topLeftCell="D117" activePane="bottomRight" state="frozen"/>
      <selection pane="topRight" activeCell="D1" sqref="D1"/>
      <selection pane="bottomLeft" activeCell="A10" sqref="A10"/>
      <selection pane="bottomRight" activeCell="F100" sqref="F100"/>
    </sheetView>
  </sheetViews>
  <sheetFormatPr defaultRowHeight="14.4" x14ac:dyDescent="0.3"/>
  <cols>
    <col min="1" max="1" width="4.5546875" customWidth="1"/>
    <col min="2" max="2" width="25.88671875" customWidth="1"/>
    <col min="3" max="3" width="18.44140625" customWidth="1"/>
    <col min="4" max="9" width="13.44140625" customWidth="1"/>
    <col min="10" max="10" width="90" style="2" customWidth="1"/>
  </cols>
  <sheetData>
    <row r="1" spans="2:10" ht="18" x14ac:dyDescent="0.35">
      <c r="B1" s="36" t="s">
        <v>78</v>
      </c>
      <c r="C1" s="38" t="str">
        <f>Summary!C1</f>
        <v>Nexus Academy</v>
      </c>
    </row>
    <row r="2" spans="2:10" ht="18" x14ac:dyDescent="0.35">
      <c r="B2" s="36" t="s">
        <v>79</v>
      </c>
      <c r="C2" s="38" t="str">
        <f>Summary!C2</f>
        <v>Las Vegas (89015, 89011, 89122, 89121)</v>
      </c>
    </row>
    <row r="3" spans="2:10" ht="18" x14ac:dyDescent="0.35">
      <c r="B3" s="36" t="s">
        <v>80</v>
      </c>
      <c r="C3" s="38">
        <f>Summary!C3</f>
        <v>2027</v>
      </c>
    </row>
    <row r="4" spans="2:10" ht="18" x14ac:dyDescent="0.35">
      <c r="B4" s="36"/>
      <c r="C4" s="38"/>
    </row>
    <row r="5" spans="2:10" ht="27.6" customHeight="1" x14ac:dyDescent="0.4">
      <c r="B5" s="266" t="s">
        <v>207</v>
      </c>
      <c r="C5" s="266"/>
      <c r="D5" s="266"/>
      <c r="E5" s="266"/>
      <c r="F5" s="266"/>
      <c r="G5" s="266"/>
      <c r="H5" s="266"/>
      <c r="I5" s="266"/>
    </row>
    <row r="7" spans="2:10" ht="16.2" thickBot="1" x14ac:dyDescent="0.35">
      <c r="C7" s="65" t="s">
        <v>82</v>
      </c>
      <c r="D7" s="66" t="str">
        <f>($C$3-1)&amp;"-"&amp;($C$3+0)</f>
        <v>2026-2027</v>
      </c>
      <c r="E7" s="66" t="str">
        <f>($C$3+0)&amp;"-"&amp;($C$3+1)</f>
        <v>2027-2028</v>
      </c>
      <c r="F7" s="66" t="str">
        <f>($C$3+1)&amp;"-"&amp;($C$3+2)</f>
        <v>2028-2029</v>
      </c>
      <c r="G7" s="66" t="str">
        <f>($C$3+2)&amp;"-"&amp;($C$3+3)</f>
        <v>2029-2030</v>
      </c>
      <c r="H7" s="66" t="str">
        <f>($C$3+3)&amp;"-"&amp;($C$3+4)</f>
        <v>2030-2031</v>
      </c>
      <c r="I7" s="66" t="str">
        <f>($C$3+4)&amp;"-"&amp;($C$3+5)</f>
        <v>2031-2032</v>
      </c>
    </row>
    <row r="8" spans="2:10" x14ac:dyDescent="0.3">
      <c r="C8" s="84" t="s">
        <v>83</v>
      </c>
      <c r="D8" s="56"/>
      <c r="E8" s="57">
        <f>Enrollment!D$23</f>
        <v>160</v>
      </c>
      <c r="F8" s="57">
        <f>Enrollment!E$23</f>
        <v>320</v>
      </c>
      <c r="G8" s="57">
        <f>Enrollment!F$23</f>
        <v>480</v>
      </c>
      <c r="H8" s="57">
        <f>Enrollment!G$23</f>
        <v>560</v>
      </c>
      <c r="I8" s="57">
        <f>Enrollment!H$23</f>
        <v>570</v>
      </c>
    </row>
    <row r="9" spans="2:10" ht="15.6" x14ac:dyDescent="0.3">
      <c r="C9" s="65"/>
      <c r="D9" s="57"/>
      <c r="E9" s="57"/>
      <c r="F9" s="57"/>
      <c r="G9" s="57"/>
      <c r="H9" s="57"/>
      <c r="I9" s="57"/>
    </row>
    <row r="10" spans="2:10" ht="21.6" customHeight="1" x14ac:dyDescent="0.3">
      <c r="B10" s="85" t="s">
        <v>208</v>
      </c>
      <c r="C10" s="42"/>
      <c r="D10" s="58"/>
      <c r="E10" s="58"/>
      <c r="F10" s="58"/>
      <c r="G10" s="58"/>
      <c r="H10" s="58"/>
      <c r="I10" s="58"/>
      <c r="J10" s="86"/>
    </row>
    <row r="11" spans="2:10" ht="28.8" x14ac:dyDescent="0.3">
      <c r="B11" s="108" t="s">
        <v>209</v>
      </c>
      <c r="C11" s="19" t="s">
        <v>210</v>
      </c>
      <c r="D11" s="109" t="s">
        <v>87</v>
      </c>
      <c r="E11" s="109" t="s">
        <v>88</v>
      </c>
      <c r="F11" s="109" t="s">
        <v>89</v>
      </c>
      <c r="G11" s="109" t="s">
        <v>90</v>
      </c>
      <c r="H11" s="109" t="s">
        <v>91</v>
      </c>
      <c r="I11" s="109" t="s">
        <v>92</v>
      </c>
      <c r="J11" s="110" t="s">
        <v>93</v>
      </c>
    </row>
    <row r="12" spans="2:10" x14ac:dyDescent="0.3">
      <c r="B12" s="87" t="s">
        <v>211</v>
      </c>
      <c r="C12" s="1" t="s">
        <v>212</v>
      </c>
      <c r="D12" s="100">
        <f>19.25*2%</f>
        <v>0.38500000000000001</v>
      </c>
      <c r="E12" s="100">
        <f t="shared" ref="E12" si="0">19.25*2%</f>
        <v>0.38500000000000001</v>
      </c>
      <c r="F12" s="100">
        <f>E12</f>
        <v>0.38500000000000001</v>
      </c>
      <c r="G12" s="100">
        <f t="shared" ref="G12:I12" si="1">F12</f>
        <v>0.38500000000000001</v>
      </c>
      <c r="H12" s="100">
        <f t="shared" si="1"/>
        <v>0.38500000000000001</v>
      </c>
      <c r="I12" s="100">
        <f t="shared" si="1"/>
        <v>0.38500000000000001</v>
      </c>
      <c r="J12" s="111" t="s">
        <v>213</v>
      </c>
    </row>
    <row r="13" spans="2:10" x14ac:dyDescent="0.3">
      <c r="B13" s="87" t="s">
        <v>214</v>
      </c>
      <c r="C13" s="1" t="s">
        <v>215</v>
      </c>
      <c r="D13" s="100">
        <v>6.25E-2</v>
      </c>
      <c r="E13" s="100">
        <v>6.25E-2</v>
      </c>
      <c r="F13" s="100">
        <v>6.25E-2</v>
      </c>
      <c r="G13" s="100">
        <v>6.25E-2</v>
      </c>
      <c r="H13" s="100">
        <v>6.25E-2</v>
      </c>
      <c r="I13" s="100">
        <v>6.25E-2</v>
      </c>
      <c r="J13" s="111" t="s">
        <v>216</v>
      </c>
    </row>
    <row r="14" spans="2:10" x14ac:dyDescent="0.3">
      <c r="B14" s="87" t="s">
        <v>217</v>
      </c>
      <c r="C14" s="1" t="s">
        <v>218</v>
      </c>
      <c r="D14" s="100">
        <v>1.4500000000000001E-2</v>
      </c>
      <c r="E14" s="100">
        <v>1.4500000000000001E-2</v>
      </c>
      <c r="F14" s="100">
        <v>1.4500000000000001E-2</v>
      </c>
      <c r="G14" s="100">
        <v>1.4500000000000001E-2</v>
      </c>
      <c r="H14" s="100">
        <v>1.4500000000000001E-2</v>
      </c>
      <c r="I14" s="100">
        <v>1.4500000000000001E-2</v>
      </c>
      <c r="J14" s="111" t="s">
        <v>219</v>
      </c>
    </row>
    <row r="15" spans="2:10" ht="24.6" x14ac:dyDescent="0.3">
      <c r="B15" s="87" t="s">
        <v>220</v>
      </c>
      <c r="C15" s="1" t="s">
        <v>212</v>
      </c>
      <c r="D15" s="234">
        <v>6000</v>
      </c>
      <c r="E15" s="234">
        <f>D15*1.05</f>
        <v>6300</v>
      </c>
      <c r="F15" s="234">
        <f>E15*1.05</f>
        <v>6615</v>
      </c>
      <c r="G15" s="234">
        <f>F15*1.05</f>
        <v>6945.75</v>
      </c>
      <c r="H15" s="234">
        <f>G15*1.05</f>
        <v>7293.0375000000004</v>
      </c>
      <c r="I15" s="234">
        <f>H15*1.05</f>
        <v>7657.6893750000008</v>
      </c>
      <c r="J15" s="259" t="s">
        <v>221</v>
      </c>
    </row>
    <row r="16" spans="2:10" x14ac:dyDescent="0.3">
      <c r="B16" s="87" t="s">
        <v>222</v>
      </c>
      <c r="C16" s="1" t="s">
        <v>218</v>
      </c>
      <c r="D16" s="235">
        <v>5.0000000000000001E-3</v>
      </c>
      <c r="E16" s="235">
        <v>5.0000000000000001E-3</v>
      </c>
      <c r="F16" s="235">
        <v>5.0000000000000001E-3</v>
      </c>
      <c r="G16" s="235">
        <v>5.0000000000000001E-3</v>
      </c>
      <c r="H16" s="235">
        <v>5.0000000000000001E-3</v>
      </c>
      <c r="I16" s="235">
        <v>5.0000000000000001E-3</v>
      </c>
      <c r="J16" s="259"/>
    </row>
    <row r="17" spans="2:10" x14ac:dyDescent="0.3">
      <c r="B17" s="87" t="s">
        <v>223</v>
      </c>
      <c r="C17" s="1" t="s">
        <v>218</v>
      </c>
      <c r="D17" s="235">
        <v>2.9499999999999998E-2</v>
      </c>
      <c r="E17" s="235">
        <v>2.9499999999999998E-2</v>
      </c>
      <c r="F17" s="235">
        <v>1.7500000000000002E-2</v>
      </c>
      <c r="G17" s="235">
        <v>1.7500000000000002E-2</v>
      </c>
      <c r="H17" s="235">
        <v>1.7500000000000002E-2</v>
      </c>
      <c r="I17" s="235">
        <v>1.7500000000000002E-2</v>
      </c>
      <c r="J17" s="259" t="s">
        <v>224</v>
      </c>
    </row>
    <row r="18" spans="2:10" ht="27.6" x14ac:dyDescent="0.3">
      <c r="B18" s="88" t="s">
        <v>225</v>
      </c>
      <c r="C18" s="6" t="s">
        <v>212</v>
      </c>
      <c r="D18" s="236">
        <v>7.4999999999999997E-3</v>
      </c>
      <c r="E18" s="236">
        <v>7.4999999999999997E-3</v>
      </c>
      <c r="F18" s="236">
        <v>7.4999999999999997E-3</v>
      </c>
      <c r="G18" s="236">
        <v>7.4999999999999997E-3</v>
      </c>
      <c r="H18" s="236">
        <v>7.4999999999999997E-3</v>
      </c>
      <c r="I18" s="236">
        <v>7.4999999999999997E-3</v>
      </c>
      <c r="J18" s="260" t="s">
        <v>226</v>
      </c>
    </row>
    <row r="19" spans="2:10" x14ac:dyDescent="0.3">
      <c r="D19" s="57"/>
      <c r="E19" s="57"/>
      <c r="F19" s="57"/>
      <c r="G19" s="57"/>
      <c r="H19" s="57"/>
      <c r="I19" s="57"/>
      <c r="J19" s="89"/>
    </row>
    <row r="20" spans="2:10" ht="20.399999999999999" customHeight="1" x14ac:dyDescent="0.3">
      <c r="B20" s="85" t="s">
        <v>227</v>
      </c>
      <c r="C20" s="54"/>
      <c r="D20" s="58"/>
      <c r="E20" s="58"/>
      <c r="F20" s="58"/>
      <c r="G20" s="58"/>
      <c r="H20" s="58"/>
      <c r="I20" s="58"/>
      <c r="J20" s="90"/>
    </row>
    <row r="21" spans="2:10" s="2" customFormat="1" x14ac:dyDescent="0.3">
      <c r="B21" s="91" t="s">
        <v>228</v>
      </c>
      <c r="C21" s="19" t="s">
        <v>229</v>
      </c>
      <c r="D21" s="60" t="s">
        <v>87</v>
      </c>
      <c r="E21" s="60" t="s">
        <v>88</v>
      </c>
      <c r="F21" s="60" t="s">
        <v>89</v>
      </c>
      <c r="G21" s="60" t="s">
        <v>90</v>
      </c>
      <c r="H21" s="60" t="s">
        <v>91</v>
      </c>
      <c r="I21" s="60" t="s">
        <v>92</v>
      </c>
      <c r="J21" s="92" t="s">
        <v>93</v>
      </c>
    </row>
    <row r="22" spans="2:10" s="2" customFormat="1" ht="21.6" customHeight="1" x14ac:dyDescent="0.3">
      <c r="B22" s="93" t="s">
        <v>230</v>
      </c>
      <c r="C22" s="83"/>
      <c r="D22" s="101"/>
      <c r="E22" s="101"/>
      <c r="F22" s="101"/>
      <c r="G22" s="101"/>
      <c r="H22" s="101"/>
      <c r="I22" s="101"/>
      <c r="J22" s="113"/>
    </row>
    <row r="23" spans="2:10" ht="24.6" x14ac:dyDescent="0.3">
      <c r="B23" s="237" t="s">
        <v>231</v>
      </c>
      <c r="C23" s="238" t="s">
        <v>232</v>
      </c>
      <c r="D23" s="232"/>
      <c r="E23" s="232">
        <v>65000</v>
      </c>
      <c r="F23" s="232">
        <f t="shared" ref="F23:I38" si="2">E23*1.03</f>
        <v>66950</v>
      </c>
      <c r="G23" s="232">
        <f t="shared" si="2"/>
        <v>68958.5</v>
      </c>
      <c r="H23" s="232">
        <f t="shared" si="2"/>
        <v>71027.255000000005</v>
      </c>
      <c r="I23" s="232">
        <f t="shared" si="2"/>
        <v>73158.072650000002</v>
      </c>
      <c r="J23" s="259" t="s">
        <v>233</v>
      </c>
    </row>
    <row r="24" spans="2:10" x14ac:dyDescent="0.3">
      <c r="B24" s="237" t="s">
        <v>234</v>
      </c>
      <c r="C24" s="238" t="s">
        <v>232</v>
      </c>
      <c r="D24" s="232"/>
      <c r="E24" s="232">
        <v>65000</v>
      </c>
      <c r="F24" s="232">
        <f t="shared" si="2"/>
        <v>66950</v>
      </c>
      <c r="G24" s="232">
        <f t="shared" si="2"/>
        <v>68958.5</v>
      </c>
      <c r="H24" s="232">
        <f t="shared" si="2"/>
        <v>71027.255000000005</v>
      </c>
      <c r="I24" s="232">
        <f t="shared" si="2"/>
        <v>73158.072650000002</v>
      </c>
      <c r="J24" s="259" t="s">
        <v>235</v>
      </c>
    </row>
    <row r="25" spans="2:10" x14ac:dyDescent="0.3">
      <c r="B25" s="237" t="s">
        <v>236</v>
      </c>
      <c r="C25" s="238" t="s">
        <v>232</v>
      </c>
      <c r="D25" s="232"/>
      <c r="E25" s="232">
        <v>65000</v>
      </c>
      <c r="F25" s="232">
        <f t="shared" si="2"/>
        <v>66950</v>
      </c>
      <c r="G25" s="232">
        <f t="shared" si="2"/>
        <v>68958.5</v>
      </c>
      <c r="H25" s="232">
        <f t="shared" si="2"/>
        <v>71027.255000000005</v>
      </c>
      <c r="I25" s="232">
        <f t="shared" si="2"/>
        <v>73158.072650000002</v>
      </c>
      <c r="J25" s="259"/>
    </row>
    <row r="26" spans="2:10" x14ac:dyDescent="0.3">
      <c r="B26" s="237" t="s">
        <v>237</v>
      </c>
      <c r="C26" s="238" t="s">
        <v>232</v>
      </c>
      <c r="D26" s="232"/>
      <c r="E26" s="232">
        <v>65000</v>
      </c>
      <c r="F26" s="232">
        <f t="shared" si="2"/>
        <v>66950</v>
      </c>
      <c r="G26" s="232">
        <f t="shared" si="2"/>
        <v>68958.5</v>
      </c>
      <c r="H26" s="232">
        <f t="shared" si="2"/>
        <v>71027.255000000005</v>
      </c>
      <c r="I26" s="232">
        <f t="shared" si="2"/>
        <v>73158.072650000002</v>
      </c>
      <c r="J26" s="259"/>
    </row>
    <row r="27" spans="2:10" x14ac:dyDescent="0.3">
      <c r="B27" s="237" t="s">
        <v>238</v>
      </c>
      <c r="C27" s="238" t="s">
        <v>232</v>
      </c>
      <c r="D27" s="232"/>
      <c r="E27" s="232"/>
      <c r="F27" s="232">
        <v>65000</v>
      </c>
      <c r="G27" s="232">
        <f t="shared" si="2"/>
        <v>66950</v>
      </c>
      <c r="H27" s="232">
        <f t="shared" si="2"/>
        <v>68958.5</v>
      </c>
      <c r="I27" s="232">
        <f t="shared" si="2"/>
        <v>71027.255000000005</v>
      </c>
      <c r="J27" s="259"/>
    </row>
    <row r="28" spans="2:10" x14ac:dyDescent="0.3">
      <c r="B28" s="237" t="s">
        <v>239</v>
      </c>
      <c r="C28" s="238" t="s">
        <v>232</v>
      </c>
      <c r="D28" s="232"/>
      <c r="E28" s="232"/>
      <c r="F28" s="232">
        <v>65000</v>
      </c>
      <c r="G28" s="232">
        <f t="shared" si="2"/>
        <v>66950</v>
      </c>
      <c r="H28" s="232">
        <f t="shared" si="2"/>
        <v>68958.5</v>
      </c>
      <c r="I28" s="232">
        <f t="shared" si="2"/>
        <v>71027.255000000005</v>
      </c>
      <c r="J28" s="259"/>
    </row>
    <row r="29" spans="2:10" x14ac:dyDescent="0.3">
      <c r="B29" s="237" t="s">
        <v>240</v>
      </c>
      <c r="C29" s="238" t="s">
        <v>232</v>
      </c>
      <c r="D29" s="232"/>
      <c r="E29" s="232"/>
      <c r="F29" s="232">
        <v>65000</v>
      </c>
      <c r="G29" s="232">
        <f t="shared" si="2"/>
        <v>66950</v>
      </c>
      <c r="H29" s="232">
        <f t="shared" si="2"/>
        <v>68958.5</v>
      </c>
      <c r="I29" s="232">
        <f t="shared" si="2"/>
        <v>71027.255000000005</v>
      </c>
      <c r="J29" s="259"/>
    </row>
    <row r="30" spans="2:10" x14ac:dyDescent="0.3">
      <c r="B30" s="237" t="s">
        <v>241</v>
      </c>
      <c r="C30" s="238" t="s">
        <v>232</v>
      </c>
      <c r="D30" s="232"/>
      <c r="E30" s="232"/>
      <c r="F30" s="232">
        <v>65000</v>
      </c>
      <c r="G30" s="232">
        <f t="shared" si="2"/>
        <v>66950</v>
      </c>
      <c r="H30" s="232">
        <f t="shared" si="2"/>
        <v>68958.5</v>
      </c>
      <c r="I30" s="232">
        <f t="shared" si="2"/>
        <v>71027.255000000005</v>
      </c>
      <c r="J30" s="259"/>
    </row>
    <row r="31" spans="2:10" x14ac:dyDescent="0.3">
      <c r="B31" s="237" t="s">
        <v>242</v>
      </c>
      <c r="C31" s="238" t="s">
        <v>232</v>
      </c>
      <c r="D31" s="232"/>
      <c r="E31" s="232"/>
      <c r="F31" s="232"/>
      <c r="G31" s="232">
        <v>65000</v>
      </c>
      <c r="H31" s="232">
        <f t="shared" si="2"/>
        <v>66950</v>
      </c>
      <c r="I31" s="232">
        <f t="shared" si="2"/>
        <v>68958.5</v>
      </c>
      <c r="J31" s="259"/>
    </row>
    <row r="32" spans="2:10" x14ac:dyDescent="0.3">
      <c r="B32" s="237" t="s">
        <v>243</v>
      </c>
      <c r="C32" s="238" t="s">
        <v>232</v>
      </c>
      <c r="D32" s="232"/>
      <c r="E32" s="232"/>
      <c r="F32" s="232"/>
      <c r="G32" s="232">
        <v>65000</v>
      </c>
      <c r="H32" s="232">
        <f t="shared" si="2"/>
        <v>66950</v>
      </c>
      <c r="I32" s="232">
        <f t="shared" si="2"/>
        <v>68958.5</v>
      </c>
      <c r="J32" s="259"/>
    </row>
    <row r="33" spans="2:10" x14ac:dyDescent="0.3">
      <c r="B33" s="237" t="s">
        <v>244</v>
      </c>
      <c r="C33" s="238" t="s">
        <v>232</v>
      </c>
      <c r="D33" s="232"/>
      <c r="E33" s="232"/>
      <c r="F33" s="232"/>
      <c r="G33" s="232">
        <v>65000</v>
      </c>
      <c r="H33" s="232">
        <f t="shared" si="2"/>
        <v>66950</v>
      </c>
      <c r="I33" s="232">
        <f t="shared" si="2"/>
        <v>68958.5</v>
      </c>
      <c r="J33" s="259"/>
    </row>
    <row r="34" spans="2:10" x14ac:dyDescent="0.3">
      <c r="B34" s="237" t="s">
        <v>245</v>
      </c>
      <c r="C34" s="238" t="s">
        <v>232</v>
      </c>
      <c r="D34" s="232"/>
      <c r="E34" s="232"/>
      <c r="F34" s="232"/>
      <c r="G34" s="232">
        <v>65000</v>
      </c>
      <c r="H34" s="232">
        <f t="shared" si="2"/>
        <v>66950</v>
      </c>
      <c r="I34" s="232">
        <f t="shared" si="2"/>
        <v>68958.5</v>
      </c>
      <c r="J34" s="259"/>
    </row>
    <row r="35" spans="2:10" x14ac:dyDescent="0.3">
      <c r="B35" s="237" t="s">
        <v>246</v>
      </c>
      <c r="C35" s="238" t="s">
        <v>232</v>
      </c>
      <c r="D35" s="232"/>
      <c r="E35" s="232">
        <v>65000</v>
      </c>
      <c r="F35" s="232">
        <f t="shared" ref="F35:G38" si="3">E35*1.03</f>
        <v>66950</v>
      </c>
      <c r="G35" s="232">
        <f t="shared" si="3"/>
        <v>68958.5</v>
      </c>
      <c r="H35" s="232">
        <f t="shared" si="2"/>
        <v>71027.255000000005</v>
      </c>
      <c r="I35" s="232">
        <f t="shared" si="2"/>
        <v>73158.072650000002</v>
      </c>
      <c r="J35" s="259" t="s">
        <v>532</v>
      </c>
    </row>
    <row r="36" spans="2:10" x14ac:dyDescent="0.3">
      <c r="B36" s="237" t="s">
        <v>247</v>
      </c>
      <c r="C36" s="238" t="s">
        <v>232</v>
      </c>
      <c r="D36" s="232"/>
      <c r="E36" s="232">
        <v>65000</v>
      </c>
      <c r="F36" s="232">
        <f t="shared" si="3"/>
        <v>66950</v>
      </c>
      <c r="G36" s="232">
        <f t="shared" si="3"/>
        <v>68958.5</v>
      </c>
      <c r="H36" s="232">
        <f t="shared" si="2"/>
        <v>71027.255000000005</v>
      </c>
      <c r="I36" s="232">
        <f t="shared" si="2"/>
        <v>73158.072650000002</v>
      </c>
      <c r="J36" s="259"/>
    </row>
    <row r="37" spans="2:10" x14ac:dyDescent="0.3">
      <c r="B37" s="237" t="s">
        <v>248</v>
      </c>
      <c r="C37" s="238" t="s">
        <v>232</v>
      </c>
      <c r="D37" s="232"/>
      <c r="E37" s="232">
        <v>65000</v>
      </c>
      <c r="F37" s="232">
        <f t="shared" si="3"/>
        <v>66950</v>
      </c>
      <c r="G37" s="232">
        <f t="shared" si="3"/>
        <v>68958.5</v>
      </c>
      <c r="H37" s="232">
        <f t="shared" si="2"/>
        <v>71027.255000000005</v>
      </c>
      <c r="I37" s="232">
        <f t="shared" si="2"/>
        <v>73158.072650000002</v>
      </c>
      <c r="J37" s="259"/>
    </row>
    <row r="38" spans="2:10" x14ac:dyDescent="0.3">
      <c r="B38" s="237" t="s">
        <v>249</v>
      </c>
      <c r="C38" s="238" t="s">
        <v>232</v>
      </c>
      <c r="D38" s="232"/>
      <c r="E38" s="232">
        <v>65000</v>
      </c>
      <c r="F38" s="232">
        <f t="shared" si="3"/>
        <v>66950</v>
      </c>
      <c r="G38" s="232">
        <f t="shared" si="3"/>
        <v>68958.5</v>
      </c>
      <c r="H38" s="232">
        <f t="shared" si="2"/>
        <v>71027.255000000005</v>
      </c>
      <c r="I38" s="232">
        <f t="shared" si="2"/>
        <v>73158.072650000002</v>
      </c>
      <c r="J38" s="259"/>
    </row>
    <row r="39" spans="2:10" x14ac:dyDescent="0.3">
      <c r="B39" s="237" t="s">
        <v>250</v>
      </c>
      <c r="C39" s="238" t="s">
        <v>232</v>
      </c>
      <c r="D39" s="232"/>
      <c r="E39" s="232"/>
      <c r="F39" s="232">
        <v>65000</v>
      </c>
      <c r="G39" s="232">
        <f>F39*1.03</f>
        <v>66950</v>
      </c>
      <c r="H39" s="232">
        <f t="shared" ref="H39:I46" si="4">G39*1.03</f>
        <v>68958.5</v>
      </c>
      <c r="I39" s="232">
        <f t="shared" si="4"/>
        <v>71027.255000000005</v>
      </c>
      <c r="J39" s="259"/>
    </row>
    <row r="40" spans="2:10" x14ac:dyDescent="0.3">
      <c r="B40" s="237" t="s">
        <v>251</v>
      </c>
      <c r="C40" s="238" t="s">
        <v>232</v>
      </c>
      <c r="D40" s="232"/>
      <c r="E40" s="232"/>
      <c r="F40" s="232">
        <v>65000</v>
      </c>
      <c r="G40" s="232">
        <f>F40*1.03</f>
        <v>66950</v>
      </c>
      <c r="H40" s="232">
        <f t="shared" si="4"/>
        <v>68958.5</v>
      </c>
      <c r="I40" s="232">
        <f t="shared" si="4"/>
        <v>71027.255000000005</v>
      </c>
      <c r="J40" s="259"/>
    </row>
    <row r="41" spans="2:10" x14ac:dyDescent="0.3">
      <c r="B41" s="237" t="s">
        <v>252</v>
      </c>
      <c r="C41" s="238" t="s">
        <v>232</v>
      </c>
      <c r="D41" s="232"/>
      <c r="E41" s="232"/>
      <c r="F41" s="232">
        <v>65000</v>
      </c>
      <c r="G41" s="232">
        <f>F41*1.03</f>
        <v>66950</v>
      </c>
      <c r="H41" s="232">
        <f t="shared" si="4"/>
        <v>68958.5</v>
      </c>
      <c r="I41" s="232">
        <f t="shared" si="4"/>
        <v>71027.255000000005</v>
      </c>
      <c r="J41" s="259"/>
    </row>
    <row r="42" spans="2:10" x14ac:dyDescent="0.3">
      <c r="B42" s="237" t="s">
        <v>253</v>
      </c>
      <c r="C42" s="238" t="s">
        <v>232</v>
      </c>
      <c r="D42" s="232"/>
      <c r="E42" s="232"/>
      <c r="F42" s="232">
        <v>65000</v>
      </c>
      <c r="G42" s="232">
        <f>F42*1.03</f>
        <v>66950</v>
      </c>
      <c r="H42" s="232">
        <f t="shared" si="4"/>
        <v>68958.5</v>
      </c>
      <c r="I42" s="232">
        <f t="shared" si="4"/>
        <v>71027.255000000005</v>
      </c>
      <c r="J42" s="259"/>
    </row>
    <row r="43" spans="2:10" x14ac:dyDescent="0.3">
      <c r="B43" s="237" t="s">
        <v>254</v>
      </c>
      <c r="C43" s="238" t="s">
        <v>232</v>
      </c>
      <c r="D43" s="232"/>
      <c r="E43" s="232"/>
      <c r="F43" s="232"/>
      <c r="G43" s="232">
        <v>65000</v>
      </c>
      <c r="H43" s="232">
        <f t="shared" si="4"/>
        <v>66950</v>
      </c>
      <c r="I43" s="232">
        <f t="shared" si="4"/>
        <v>68958.5</v>
      </c>
      <c r="J43" s="259"/>
    </row>
    <row r="44" spans="2:10" x14ac:dyDescent="0.3">
      <c r="B44" s="237" t="s">
        <v>255</v>
      </c>
      <c r="C44" s="238" t="s">
        <v>232</v>
      </c>
      <c r="D44" s="232"/>
      <c r="E44" s="232"/>
      <c r="F44" s="232"/>
      <c r="G44" s="232">
        <v>65000</v>
      </c>
      <c r="H44" s="232">
        <f t="shared" si="4"/>
        <v>66950</v>
      </c>
      <c r="I44" s="232">
        <f t="shared" si="4"/>
        <v>68958.5</v>
      </c>
      <c r="J44" s="259"/>
    </row>
    <row r="45" spans="2:10" x14ac:dyDescent="0.3">
      <c r="B45" s="237" t="s">
        <v>256</v>
      </c>
      <c r="C45" s="238" t="s">
        <v>232</v>
      </c>
      <c r="D45" s="232"/>
      <c r="E45" s="232"/>
      <c r="F45" s="232"/>
      <c r="G45" s="232">
        <v>65000</v>
      </c>
      <c r="H45" s="232">
        <f t="shared" si="4"/>
        <v>66950</v>
      </c>
      <c r="I45" s="232">
        <f t="shared" si="4"/>
        <v>68958.5</v>
      </c>
      <c r="J45" s="259"/>
    </row>
    <row r="46" spans="2:10" x14ac:dyDescent="0.3">
      <c r="B46" s="237" t="s">
        <v>257</v>
      </c>
      <c r="C46" s="238" t="s">
        <v>232</v>
      </c>
      <c r="D46" s="232"/>
      <c r="E46" s="232"/>
      <c r="F46" s="232"/>
      <c r="G46" s="232">
        <v>65000</v>
      </c>
      <c r="H46" s="232">
        <f t="shared" si="4"/>
        <v>66950</v>
      </c>
      <c r="I46" s="232">
        <f t="shared" si="4"/>
        <v>68958.5</v>
      </c>
      <c r="J46" s="259"/>
    </row>
    <row r="47" spans="2:10" x14ac:dyDescent="0.3">
      <c r="B47" s="237" t="s">
        <v>258</v>
      </c>
      <c r="C47" s="238" t="s">
        <v>232</v>
      </c>
      <c r="D47" s="232"/>
      <c r="E47" s="232"/>
      <c r="F47" s="232"/>
      <c r="G47" s="232"/>
      <c r="H47" s="232">
        <v>65000</v>
      </c>
      <c r="I47" s="232">
        <f>H47*1.03</f>
        <v>66950</v>
      </c>
      <c r="J47" s="259"/>
    </row>
    <row r="48" spans="2:10" x14ac:dyDescent="0.3">
      <c r="B48" s="237" t="s">
        <v>259</v>
      </c>
      <c r="C48" s="238" t="s">
        <v>232</v>
      </c>
      <c r="D48" s="232"/>
      <c r="E48" s="232"/>
      <c r="F48" s="232"/>
      <c r="G48" s="232"/>
      <c r="H48" s="232">
        <v>65000</v>
      </c>
      <c r="I48" s="232">
        <f>H48*1.03</f>
        <v>66950</v>
      </c>
      <c r="J48" s="259"/>
    </row>
    <row r="49" spans="2:10" x14ac:dyDescent="0.3">
      <c r="B49" s="237" t="s">
        <v>260</v>
      </c>
      <c r="C49" s="238" t="s">
        <v>232</v>
      </c>
      <c r="D49" s="232"/>
      <c r="E49" s="232"/>
      <c r="F49" s="232"/>
      <c r="G49" s="232"/>
      <c r="H49" s="232">
        <v>65000</v>
      </c>
      <c r="I49" s="232">
        <f>H49*1.03</f>
        <v>66950</v>
      </c>
      <c r="J49" s="259"/>
    </row>
    <row r="50" spans="2:10" x14ac:dyDescent="0.3">
      <c r="B50" s="237" t="s">
        <v>261</v>
      </c>
      <c r="C50" s="238" t="s">
        <v>232</v>
      </c>
      <c r="D50" s="232"/>
      <c r="E50" s="232"/>
      <c r="F50" s="232"/>
      <c r="G50" s="232"/>
      <c r="H50" s="232">
        <v>65000</v>
      </c>
      <c r="I50" s="232">
        <f>H50*1.03</f>
        <v>66950</v>
      </c>
      <c r="J50" s="259"/>
    </row>
    <row r="51" spans="2:10" x14ac:dyDescent="0.3">
      <c r="B51" s="237"/>
      <c r="C51" s="238"/>
      <c r="D51" s="232"/>
      <c r="E51" s="232"/>
      <c r="F51" s="232"/>
      <c r="G51" s="232"/>
      <c r="H51" s="232"/>
      <c r="I51" s="232"/>
      <c r="J51" s="259"/>
    </row>
    <row r="52" spans="2:10" x14ac:dyDescent="0.3">
      <c r="B52" s="93" t="s">
        <v>262</v>
      </c>
      <c r="C52" s="1"/>
      <c r="D52" s="76"/>
      <c r="E52" s="76"/>
      <c r="F52" s="76"/>
      <c r="G52" s="76"/>
      <c r="H52" s="76"/>
      <c r="I52" s="76"/>
      <c r="J52" s="259"/>
    </row>
    <row r="53" spans="2:10" x14ac:dyDescent="0.3">
      <c r="B53" s="237" t="s">
        <v>263</v>
      </c>
      <c r="C53" s="238" t="s">
        <v>232</v>
      </c>
      <c r="D53" s="232"/>
      <c r="E53" s="232">
        <f t="shared" ref="E53:H56" si="5">70000*1</f>
        <v>70000</v>
      </c>
      <c r="F53" s="232">
        <f>E53*1.03</f>
        <v>72100</v>
      </c>
      <c r="G53" s="232">
        <f t="shared" ref="G53:I55" si="6">F53*1.03</f>
        <v>74263</v>
      </c>
      <c r="H53" s="232">
        <f t="shared" si="6"/>
        <v>76490.89</v>
      </c>
      <c r="I53" s="232">
        <f t="shared" si="6"/>
        <v>78785.616699999999</v>
      </c>
      <c r="J53" s="259" t="s">
        <v>264</v>
      </c>
    </row>
    <row r="54" spans="2:10" x14ac:dyDescent="0.3">
      <c r="B54" s="237" t="s">
        <v>265</v>
      </c>
      <c r="C54" s="238" t="s">
        <v>232</v>
      </c>
      <c r="D54" s="232"/>
      <c r="E54" s="232"/>
      <c r="F54" s="232"/>
      <c r="G54" s="232"/>
      <c r="H54" s="232">
        <f t="shared" si="5"/>
        <v>70000</v>
      </c>
      <c r="I54" s="232">
        <f>H54*1.03</f>
        <v>72100</v>
      </c>
      <c r="J54" s="259" t="s">
        <v>266</v>
      </c>
    </row>
    <row r="55" spans="2:10" x14ac:dyDescent="0.3">
      <c r="B55" s="237" t="s">
        <v>267</v>
      </c>
      <c r="C55" s="238" t="s">
        <v>232</v>
      </c>
      <c r="D55" s="232"/>
      <c r="E55" s="232">
        <v>65000</v>
      </c>
      <c r="F55" s="232">
        <f>E55*1.03</f>
        <v>66950</v>
      </c>
      <c r="G55" s="232">
        <f t="shared" si="6"/>
        <v>68958.5</v>
      </c>
      <c r="H55" s="232">
        <f t="shared" si="6"/>
        <v>71027.255000000005</v>
      </c>
      <c r="I55" s="232">
        <f t="shared" si="6"/>
        <v>73158.072650000002</v>
      </c>
      <c r="J55" s="259" t="s">
        <v>268</v>
      </c>
    </row>
    <row r="56" spans="2:10" x14ac:dyDescent="0.3">
      <c r="B56" s="237" t="s">
        <v>269</v>
      </c>
      <c r="C56" s="238" t="s">
        <v>232</v>
      </c>
      <c r="D56" s="232"/>
      <c r="E56" s="232"/>
      <c r="F56" s="232"/>
      <c r="G56" s="232"/>
      <c r="H56" s="232">
        <f t="shared" si="5"/>
        <v>70000</v>
      </c>
      <c r="I56" s="232">
        <f>H56*1.03</f>
        <v>72100</v>
      </c>
      <c r="J56" s="259"/>
    </row>
    <row r="57" spans="2:10" x14ac:dyDescent="0.3">
      <c r="B57" s="237"/>
      <c r="C57" s="238"/>
      <c r="D57" s="232"/>
      <c r="E57" s="232"/>
      <c r="F57" s="232"/>
      <c r="G57" s="232"/>
      <c r="H57" s="232"/>
      <c r="I57" s="232"/>
      <c r="J57" s="259"/>
    </row>
    <row r="58" spans="2:10" x14ac:dyDescent="0.3">
      <c r="B58" s="237"/>
      <c r="C58" s="238"/>
      <c r="D58" s="232"/>
      <c r="E58" s="232"/>
      <c r="F58" s="232"/>
      <c r="G58" s="232"/>
      <c r="H58" s="232"/>
      <c r="I58" s="232"/>
      <c r="J58" s="259"/>
    </row>
    <row r="59" spans="2:10" x14ac:dyDescent="0.3">
      <c r="B59" s="237"/>
      <c r="C59" s="238"/>
      <c r="D59" s="232"/>
      <c r="E59" s="232"/>
      <c r="F59" s="232"/>
      <c r="G59" s="232"/>
      <c r="H59" s="232"/>
      <c r="I59" s="232"/>
      <c r="J59" s="259"/>
    </row>
    <row r="60" spans="2:10" x14ac:dyDescent="0.3">
      <c r="B60" s="237"/>
      <c r="C60" s="238"/>
      <c r="D60" s="232"/>
      <c r="E60" s="232"/>
      <c r="F60" s="232"/>
      <c r="G60" s="232"/>
      <c r="H60" s="232"/>
      <c r="I60" s="232"/>
      <c r="J60" s="259"/>
    </row>
    <row r="61" spans="2:10" x14ac:dyDescent="0.3">
      <c r="B61" s="237"/>
      <c r="C61" s="238"/>
      <c r="D61" s="232"/>
      <c r="E61" s="232"/>
      <c r="F61" s="232"/>
      <c r="G61" s="232"/>
      <c r="H61" s="232"/>
      <c r="I61" s="232"/>
      <c r="J61" s="259"/>
    </row>
    <row r="62" spans="2:10" x14ac:dyDescent="0.3">
      <c r="B62" s="237"/>
      <c r="C62" s="238"/>
      <c r="D62" s="232"/>
      <c r="E62" s="232"/>
      <c r="F62" s="232"/>
      <c r="G62" s="232"/>
      <c r="H62" s="232"/>
      <c r="I62" s="232"/>
      <c r="J62" s="259"/>
    </row>
    <row r="63" spans="2:10" x14ac:dyDescent="0.3">
      <c r="B63" s="237"/>
      <c r="C63" s="238"/>
      <c r="D63" s="232"/>
      <c r="E63" s="232"/>
      <c r="F63" s="232"/>
      <c r="G63" s="232"/>
      <c r="H63" s="232"/>
      <c r="I63" s="232"/>
      <c r="J63" s="259"/>
    </row>
    <row r="64" spans="2:10" x14ac:dyDescent="0.3">
      <c r="B64" s="237"/>
      <c r="C64" s="238"/>
      <c r="D64" s="232"/>
      <c r="E64" s="232"/>
      <c r="F64" s="232"/>
      <c r="G64" s="232"/>
      <c r="H64" s="232"/>
      <c r="I64" s="232"/>
      <c r="J64" s="259"/>
    </row>
    <row r="65" spans="2:10" x14ac:dyDescent="0.3">
      <c r="B65" s="93" t="s">
        <v>270</v>
      </c>
      <c r="C65" s="1"/>
      <c r="D65" s="76"/>
      <c r="E65" s="76"/>
      <c r="F65" s="76"/>
      <c r="G65" s="76"/>
      <c r="H65" s="76"/>
      <c r="I65" s="76"/>
      <c r="J65" s="259"/>
    </row>
    <row r="66" spans="2:10" x14ac:dyDescent="0.3">
      <c r="B66" s="237" t="s">
        <v>271</v>
      </c>
      <c r="C66" s="238" t="s">
        <v>272</v>
      </c>
      <c r="D66" s="232">
        <v>0</v>
      </c>
      <c r="E66" s="232">
        <f>20*20*35</f>
        <v>14000</v>
      </c>
      <c r="F66" s="232">
        <f>E66*1.02</f>
        <v>14280</v>
      </c>
      <c r="G66" s="232">
        <f t="shared" ref="G66:I71" si="7">F66*1.02</f>
        <v>14565.6</v>
      </c>
      <c r="H66" s="232">
        <f t="shared" si="7"/>
        <v>14856.912</v>
      </c>
      <c r="I66" s="232">
        <f t="shared" si="7"/>
        <v>15154.05024</v>
      </c>
      <c r="J66" s="259" t="s">
        <v>273</v>
      </c>
    </row>
    <row r="67" spans="2:10" x14ac:dyDescent="0.3">
      <c r="B67" s="237" t="s">
        <v>274</v>
      </c>
      <c r="C67" s="238" t="s">
        <v>272</v>
      </c>
      <c r="D67" s="232"/>
      <c r="E67" s="232">
        <f>20*20*35</f>
        <v>14000</v>
      </c>
      <c r="F67" s="232">
        <f>E67*1.02</f>
        <v>14280</v>
      </c>
      <c r="G67" s="232">
        <f t="shared" si="7"/>
        <v>14565.6</v>
      </c>
      <c r="H67" s="232">
        <f t="shared" si="7"/>
        <v>14856.912</v>
      </c>
      <c r="I67" s="232">
        <f t="shared" si="7"/>
        <v>15154.05024</v>
      </c>
      <c r="J67" s="259" t="s">
        <v>275</v>
      </c>
    </row>
    <row r="68" spans="2:10" x14ac:dyDescent="0.3">
      <c r="B68" s="237" t="s">
        <v>276</v>
      </c>
      <c r="C68" s="238" t="s">
        <v>272</v>
      </c>
      <c r="D68" s="232"/>
      <c r="E68" s="232"/>
      <c r="F68" s="232">
        <f>20*20*35</f>
        <v>14000</v>
      </c>
      <c r="G68" s="232">
        <f>F68*1.02</f>
        <v>14280</v>
      </c>
      <c r="H68" s="232">
        <f t="shared" si="7"/>
        <v>14565.6</v>
      </c>
      <c r="I68" s="232">
        <f t="shared" si="7"/>
        <v>14856.912</v>
      </c>
      <c r="J68" s="259"/>
    </row>
    <row r="69" spans="2:10" x14ac:dyDescent="0.3">
      <c r="B69" s="237" t="s">
        <v>277</v>
      </c>
      <c r="C69" s="238" t="s">
        <v>272</v>
      </c>
      <c r="D69" s="232"/>
      <c r="E69" s="232"/>
      <c r="F69" s="232">
        <f>20*20*35</f>
        <v>14000</v>
      </c>
      <c r="G69" s="232">
        <f>F69*1.02</f>
        <v>14280</v>
      </c>
      <c r="H69" s="232">
        <f t="shared" si="7"/>
        <v>14565.6</v>
      </c>
      <c r="I69" s="232">
        <f t="shared" si="7"/>
        <v>14856.912</v>
      </c>
      <c r="J69" s="259"/>
    </row>
    <row r="70" spans="2:10" x14ac:dyDescent="0.3">
      <c r="B70" s="237" t="s">
        <v>278</v>
      </c>
      <c r="C70" s="238" t="s">
        <v>272</v>
      </c>
      <c r="D70" s="232"/>
      <c r="E70" s="232"/>
      <c r="F70" s="232"/>
      <c r="G70" s="232">
        <f>20*20*35</f>
        <v>14000</v>
      </c>
      <c r="H70" s="232">
        <f>G70*1.02</f>
        <v>14280</v>
      </c>
      <c r="I70" s="232">
        <f t="shared" si="7"/>
        <v>14565.6</v>
      </c>
      <c r="J70" s="259"/>
    </row>
    <row r="71" spans="2:10" x14ac:dyDescent="0.3">
      <c r="B71" s="237" t="s">
        <v>279</v>
      </c>
      <c r="C71" s="238" t="s">
        <v>272</v>
      </c>
      <c r="D71" s="232"/>
      <c r="E71" s="232"/>
      <c r="F71" s="232"/>
      <c r="G71" s="232">
        <f>20*20*35</f>
        <v>14000</v>
      </c>
      <c r="H71" s="232">
        <f>G71*1.02</f>
        <v>14280</v>
      </c>
      <c r="I71" s="232">
        <f t="shared" si="7"/>
        <v>14565.6</v>
      </c>
      <c r="J71" s="259"/>
    </row>
    <row r="72" spans="2:10" x14ac:dyDescent="0.3">
      <c r="B72" s="237" t="s">
        <v>280</v>
      </c>
      <c r="C72" s="238" t="s">
        <v>272</v>
      </c>
      <c r="D72" s="232"/>
      <c r="E72" s="232"/>
      <c r="F72" s="232"/>
      <c r="G72" s="232"/>
      <c r="H72" s="232">
        <f>20*20*35</f>
        <v>14000</v>
      </c>
      <c r="I72" s="232">
        <f>H72*1.02</f>
        <v>14280</v>
      </c>
      <c r="J72" s="259"/>
    </row>
    <row r="73" spans="2:10" x14ac:dyDescent="0.3">
      <c r="B73" s="237"/>
      <c r="C73" s="238"/>
      <c r="D73" s="232"/>
      <c r="E73" s="232"/>
      <c r="F73" s="232"/>
      <c r="G73" s="232"/>
      <c r="H73" s="232"/>
      <c r="I73" s="232"/>
      <c r="J73" s="259"/>
    </row>
    <row r="74" spans="2:10" x14ac:dyDescent="0.3">
      <c r="B74" s="237"/>
      <c r="C74" s="238"/>
      <c r="D74" s="232"/>
      <c r="E74" s="232"/>
      <c r="F74" s="232"/>
      <c r="G74" s="232"/>
      <c r="H74" s="232"/>
      <c r="I74" s="232"/>
      <c r="J74" s="259"/>
    </row>
    <row r="75" spans="2:10" x14ac:dyDescent="0.3">
      <c r="B75" s="237"/>
      <c r="C75" s="238"/>
      <c r="D75" s="232"/>
      <c r="E75" s="232"/>
      <c r="F75" s="232"/>
      <c r="G75" s="232"/>
      <c r="H75" s="232"/>
      <c r="I75" s="232"/>
      <c r="J75" s="259"/>
    </row>
    <row r="76" spans="2:10" x14ac:dyDescent="0.3">
      <c r="B76" s="237"/>
      <c r="C76" s="238"/>
      <c r="D76" s="232"/>
      <c r="E76" s="232"/>
      <c r="F76" s="232"/>
      <c r="G76" s="232"/>
      <c r="H76" s="232"/>
      <c r="I76" s="232"/>
      <c r="J76" s="259"/>
    </row>
    <row r="77" spans="2:10" x14ac:dyDescent="0.3">
      <c r="B77" s="237"/>
      <c r="C77" s="238"/>
      <c r="D77" s="232"/>
      <c r="E77" s="232"/>
      <c r="F77" s="232"/>
      <c r="G77" s="232"/>
      <c r="H77" s="232"/>
      <c r="I77" s="232"/>
      <c r="J77" s="259"/>
    </row>
    <row r="78" spans="2:10" x14ac:dyDescent="0.3">
      <c r="B78" s="237"/>
      <c r="C78" s="238"/>
      <c r="D78" s="232"/>
      <c r="E78" s="232"/>
      <c r="F78" s="232"/>
      <c r="G78" s="232"/>
      <c r="H78" s="232"/>
      <c r="I78" s="232"/>
      <c r="J78" s="259"/>
    </row>
    <row r="79" spans="2:10" x14ac:dyDescent="0.3">
      <c r="B79" s="237"/>
      <c r="C79" s="238"/>
      <c r="D79" s="232"/>
      <c r="E79" s="232"/>
      <c r="F79" s="232"/>
      <c r="G79" s="232"/>
      <c r="H79" s="232"/>
      <c r="I79" s="232"/>
      <c r="J79" s="259"/>
    </row>
    <row r="80" spans="2:10" x14ac:dyDescent="0.3">
      <c r="B80" s="237"/>
      <c r="C80" s="238"/>
      <c r="D80" s="232"/>
      <c r="E80" s="232"/>
      <c r="F80" s="232"/>
      <c r="G80" s="232"/>
      <c r="H80" s="232"/>
      <c r="I80" s="232"/>
      <c r="J80" s="259"/>
    </row>
    <row r="81" spans="2:10" x14ac:dyDescent="0.3">
      <c r="B81" s="237"/>
      <c r="C81" s="238"/>
      <c r="D81" s="232"/>
      <c r="E81" s="232"/>
      <c r="F81" s="232"/>
      <c r="G81" s="232"/>
      <c r="H81" s="232"/>
      <c r="I81" s="232"/>
      <c r="J81" s="259"/>
    </row>
    <row r="82" spans="2:10" x14ac:dyDescent="0.3">
      <c r="B82" s="237"/>
      <c r="C82" s="238"/>
      <c r="D82" s="232"/>
      <c r="E82" s="232"/>
      <c r="F82" s="232"/>
      <c r="G82" s="232"/>
      <c r="H82" s="232"/>
      <c r="I82" s="232"/>
      <c r="J82" s="259"/>
    </row>
    <row r="83" spans="2:10" x14ac:dyDescent="0.3">
      <c r="B83" s="237"/>
      <c r="C83" s="238"/>
      <c r="D83" s="232"/>
      <c r="E83" s="232"/>
      <c r="F83" s="232"/>
      <c r="G83" s="232"/>
      <c r="H83" s="232"/>
      <c r="I83" s="232"/>
      <c r="J83" s="259"/>
    </row>
    <row r="84" spans="2:10" x14ac:dyDescent="0.3">
      <c r="B84" s="237"/>
      <c r="C84" s="238"/>
      <c r="D84" s="232"/>
      <c r="E84" s="232"/>
      <c r="F84" s="232"/>
      <c r="G84" s="232"/>
      <c r="H84" s="232"/>
      <c r="I84" s="232"/>
      <c r="J84" s="259"/>
    </row>
    <row r="85" spans="2:10" x14ac:dyDescent="0.3">
      <c r="B85" s="237"/>
      <c r="C85" s="238"/>
      <c r="D85" s="232"/>
      <c r="E85" s="232"/>
      <c r="F85" s="232"/>
      <c r="G85" s="232"/>
      <c r="H85" s="232"/>
      <c r="I85" s="232"/>
      <c r="J85" s="259"/>
    </row>
    <row r="86" spans="2:10" x14ac:dyDescent="0.3">
      <c r="B86" s="237"/>
      <c r="C86" s="238"/>
      <c r="D86" s="232"/>
      <c r="E86" s="232"/>
      <c r="F86" s="232"/>
      <c r="G86" s="232"/>
      <c r="H86" s="232"/>
      <c r="I86" s="232"/>
      <c r="J86" s="259"/>
    </row>
    <row r="87" spans="2:10" x14ac:dyDescent="0.3">
      <c r="B87" s="237"/>
      <c r="C87" s="238"/>
      <c r="D87" s="232"/>
      <c r="E87" s="232"/>
      <c r="F87" s="232"/>
      <c r="G87" s="232"/>
      <c r="H87" s="232"/>
      <c r="I87" s="232"/>
      <c r="J87" s="259"/>
    </row>
    <row r="88" spans="2:10" x14ac:dyDescent="0.3">
      <c r="B88" s="93" t="s">
        <v>281</v>
      </c>
      <c r="C88" s="1"/>
      <c r="D88" s="76"/>
      <c r="E88" s="76"/>
      <c r="F88" s="76"/>
      <c r="G88" s="76"/>
      <c r="H88" s="76"/>
      <c r="I88" s="76"/>
      <c r="J88" s="259"/>
    </row>
    <row r="89" spans="2:10" x14ac:dyDescent="0.3">
      <c r="B89" s="237" t="s">
        <v>282</v>
      </c>
      <c r="C89" s="238" t="s">
        <v>232</v>
      </c>
      <c r="D89" s="232">
        <v>0</v>
      </c>
      <c r="E89" s="232">
        <v>0</v>
      </c>
      <c r="F89" s="232">
        <v>70000</v>
      </c>
      <c r="G89" s="232">
        <f>F89*1.03</f>
        <v>72100</v>
      </c>
      <c r="H89" s="232">
        <f t="shared" ref="H89:I89" si="8">G89*1.03</f>
        <v>74263</v>
      </c>
      <c r="I89" s="232">
        <f t="shared" si="8"/>
        <v>76490.89</v>
      </c>
      <c r="J89" s="259" t="s">
        <v>283</v>
      </c>
    </row>
    <row r="90" spans="2:10" x14ac:dyDescent="0.3">
      <c r="B90" s="237" t="s">
        <v>284</v>
      </c>
      <c r="C90" s="238" t="s">
        <v>232</v>
      </c>
      <c r="D90" s="232">
        <v>0</v>
      </c>
      <c r="E90" s="232">
        <v>0</v>
      </c>
      <c r="F90" s="232">
        <v>0</v>
      </c>
      <c r="G90" s="232">
        <v>70000</v>
      </c>
      <c r="H90" s="232">
        <v>80000</v>
      </c>
      <c r="I90" s="232">
        <v>80000</v>
      </c>
      <c r="J90" s="259" t="s">
        <v>285</v>
      </c>
    </row>
    <row r="91" spans="2:10" x14ac:dyDescent="0.3">
      <c r="B91" s="237"/>
      <c r="C91" s="238"/>
      <c r="D91" s="232"/>
      <c r="E91" s="232"/>
      <c r="F91" s="232"/>
      <c r="G91" s="232"/>
      <c r="H91" s="232"/>
      <c r="I91" s="232"/>
      <c r="J91" s="259"/>
    </row>
    <row r="92" spans="2:10" x14ac:dyDescent="0.3">
      <c r="B92" s="237"/>
      <c r="C92" s="238"/>
      <c r="D92" s="232"/>
      <c r="E92" s="232"/>
      <c r="F92" s="232"/>
      <c r="G92" s="232"/>
      <c r="H92" s="232"/>
      <c r="I92" s="232"/>
      <c r="J92" s="259"/>
    </row>
    <row r="93" spans="2:10" x14ac:dyDescent="0.3">
      <c r="B93" s="237"/>
      <c r="C93" s="238"/>
      <c r="D93" s="232"/>
      <c r="E93" s="232"/>
      <c r="F93" s="232"/>
      <c r="G93" s="232"/>
      <c r="H93" s="232"/>
      <c r="I93" s="232"/>
      <c r="J93" s="259"/>
    </row>
    <row r="94" spans="2:10" x14ac:dyDescent="0.3">
      <c r="B94" s="237"/>
      <c r="C94" s="238"/>
      <c r="D94" s="232"/>
      <c r="E94" s="232"/>
      <c r="F94" s="232"/>
      <c r="G94" s="232"/>
      <c r="H94" s="232"/>
      <c r="I94" s="232"/>
      <c r="J94" s="259"/>
    </row>
    <row r="95" spans="2:10" x14ac:dyDescent="0.3">
      <c r="B95" s="237"/>
      <c r="C95" s="238"/>
      <c r="D95" s="232"/>
      <c r="E95" s="232"/>
      <c r="F95" s="232"/>
      <c r="G95" s="232"/>
      <c r="H95" s="232"/>
      <c r="I95" s="232"/>
      <c r="J95" s="259"/>
    </row>
    <row r="96" spans="2:10" x14ac:dyDescent="0.3">
      <c r="B96" s="237"/>
      <c r="C96" s="238"/>
      <c r="D96" s="232"/>
      <c r="E96" s="232"/>
      <c r="F96" s="232"/>
      <c r="G96" s="232"/>
      <c r="H96" s="232"/>
      <c r="I96" s="232"/>
      <c r="J96" s="259"/>
    </row>
    <row r="97" spans="2:10" x14ac:dyDescent="0.3">
      <c r="B97" s="93" t="s">
        <v>286</v>
      </c>
      <c r="C97" s="1"/>
      <c r="D97" s="76"/>
      <c r="E97" s="76"/>
      <c r="F97" s="76"/>
      <c r="G97" s="76"/>
      <c r="H97" s="76"/>
      <c r="I97" s="76"/>
      <c r="J97" s="259"/>
    </row>
    <row r="98" spans="2:10" x14ac:dyDescent="0.3">
      <c r="B98" s="237" t="s">
        <v>287</v>
      </c>
      <c r="C98" s="238" t="s">
        <v>232</v>
      </c>
      <c r="D98" s="232">
        <v>100000</v>
      </c>
      <c r="E98" s="232">
        <v>100000</v>
      </c>
      <c r="F98" s="232">
        <f t="shared" ref="F98:I98" si="9">E98*1.03</f>
        <v>103000</v>
      </c>
      <c r="G98" s="232">
        <f t="shared" si="9"/>
        <v>106090</v>
      </c>
      <c r="H98" s="232">
        <f t="shared" si="9"/>
        <v>109272.7</v>
      </c>
      <c r="I98" s="232">
        <f t="shared" si="9"/>
        <v>112550.88099999999</v>
      </c>
      <c r="J98" s="259" t="s">
        <v>288</v>
      </c>
    </row>
    <row r="99" spans="2:10" ht="24.6" x14ac:dyDescent="0.3">
      <c r="B99" s="237" t="s">
        <v>289</v>
      </c>
      <c r="C99" s="238" t="s">
        <v>232</v>
      </c>
      <c r="D99" s="232">
        <v>0</v>
      </c>
      <c r="E99" s="232">
        <v>95000</v>
      </c>
      <c r="F99" s="232">
        <v>100000</v>
      </c>
      <c r="G99" s="232">
        <f t="shared" ref="G99:H100" si="10">+F99*1.03</f>
        <v>103000</v>
      </c>
      <c r="H99" s="232">
        <f t="shared" si="10"/>
        <v>106090</v>
      </c>
      <c r="I99" s="232">
        <f>+H99*1.03</f>
        <v>109272.7</v>
      </c>
      <c r="J99" s="259" t="s">
        <v>503</v>
      </c>
    </row>
    <row r="100" spans="2:10" x14ac:dyDescent="0.3">
      <c r="B100" s="237" t="s">
        <v>290</v>
      </c>
      <c r="C100" s="238" t="s">
        <v>232</v>
      </c>
      <c r="D100" s="232"/>
      <c r="E100" s="232"/>
      <c r="F100" s="232">
        <v>90000</v>
      </c>
      <c r="G100" s="232">
        <f t="shared" si="10"/>
        <v>92700</v>
      </c>
      <c r="H100" s="232">
        <f t="shared" si="10"/>
        <v>95481</v>
      </c>
      <c r="I100" s="232">
        <f t="shared" ref="I100" si="11">+H100*1.03</f>
        <v>98345.430000000008</v>
      </c>
      <c r="J100" s="259" t="s">
        <v>502</v>
      </c>
    </row>
    <row r="101" spans="2:10" x14ac:dyDescent="0.3">
      <c r="B101" s="237" t="s">
        <v>291</v>
      </c>
      <c r="C101" s="238" t="s">
        <v>232</v>
      </c>
      <c r="D101" s="232">
        <v>45000</v>
      </c>
      <c r="E101" s="232">
        <v>50000</v>
      </c>
      <c r="F101" s="232">
        <f>E101*1.03</f>
        <v>51500</v>
      </c>
      <c r="G101" s="232">
        <f t="shared" ref="G101:I101" si="12">F101*1.03</f>
        <v>53045</v>
      </c>
      <c r="H101" s="232">
        <f t="shared" si="12"/>
        <v>54636.35</v>
      </c>
      <c r="I101" s="232">
        <f t="shared" si="12"/>
        <v>56275.440499999997</v>
      </c>
      <c r="J101" s="259" t="s">
        <v>292</v>
      </c>
    </row>
    <row r="102" spans="2:10" x14ac:dyDescent="0.3">
      <c r="B102" s="237" t="s">
        <v>293</v>
      </c>
      <c r="C102" s="238"/>
      <c r="D102" s="232">
        <v>0</v>
      </c>
      <c r="E102" s="232">
        <v>0</v>
      </c>
      <c r="F102" s="232">
        <v>0</v>
      </c>
      <c r="G102" s="232">
        <v>0</v>
      </c>
      <c r="H102" s="232">
        <v>0</v>
      </c>
      <c r="I102" s="232">
        <v>0</v>
      </c>
      <c r="J102" s="259" t="s">
        <v>294</v>
      </c>
    </row>
    <row r="103" spans="2:10" x14ac:dyDescent="0.3">
      <c r="B103" s="237" t="s">
        <v>295</v>
      </c>
      <c r="C103" s="238"/>
      <c r="D103" s="232">
        <v>0</v>
      </c>
      <c r="E103" s="232">
        <v>0</v>
      </c>
      <c r="F103" s="232">
        <v>0</v>
      </c>
      <c r="G103" s="232">
        <v>0</v>
      </c>
      <c r="H103" s="232">
        <v>0</v>
      </c>
      <c r="I103" s="232">
        <v>0</v>
      </c>
      <c r="J103" s="259" t="s">
        <v>539</v>
      </c>
    </row>
    <row r="104" spans="2:10" x14ac:dyDescent="0.3">
      <c r="B104" s="237"/>
      <c r="C104" s="238"/>
      <c r="D104" s="232"/>
      <c r="E104" s="232"/>
      <c r="F104" s="232"/>
      <c r="G104" s="232"/>
      <c r="H104" s="232"/>
      <c r="I104" s="232"/>
      <c r="J104" s="259"/>
    </row>
    <row r="105" spans="2:10" x14ac:dyDescent="0.3">
      <c r="B105" s="237"/>
      <c r="C105" s="238"/>
      <c r="D105" s="232"/>
      <c r="E105" s="232"/>
      <c r="F105" s="232"/>
      <c r="G105" s="232"/>
      <c r="H105" s="232"/>
      <c r="I105" s="232"/>
      <c r="J105" s="259"/>
    </row>
    <row r="106" spans="2:10" x14ac:dyDescent="0.3">
      <c r="B106" s="237"/>
      <c r="C106" s="238"/>
      <c r="D106" s="232"/>
      <c r="E106" s="232"/>
      <c r="F106" s="232"/>
      <c r="G106" s="232"/>
      <c r="H106" s="232"/>
      <c r="I106" s="232"/>
      <c r="J106" s="259"/>
    </row>
    <row r="107" spans="2:10" x14ac:dyDescent="0.3">
      <c r="B107" s="237"/>
      <c r="C107" s="238"/>
      <c r="D107" s="232"/>
      <c r="E107" s="232"/>
      <c r="F107" s="232"/>
      <c r="G107" s="232"/>
      <c r="H107" s="232"/>
      <c r="I107" s="232"/>
      <c r="J107" s="259"/>
    </row>
    <row r="108" spans="2:10" x14ac:dyDescent="0.3">
      <c r="B108" s="237"/>
      <c r="C108" s="238"/>
      <c r="D108" s="232"/>
      <c r="E108" s="232"/>
      <c r="F108" s="232"/>
      <c r="G108" s="232"/>
      <c r="H108" s="232"/>
      <c r="I108" s="232"/>
      <c r="J108" s="259"/>
    </row>
    <row r="109" spans="2:10" x14ac:dyDescent="0.3">
      <c r="B109" s="237"/>
      <c r="C109" s="238"/>
      <c r="D109" s="232"/>
      <c r="E109" s="232"/>
      <c r="F109" s="232"/>
      <c r="G109" s="232"/>
      <c r="H109" s="232"/>
      <c r="I109" s="232"/>
      <c r="J109" s="259"/>
    </row>
    <row r="110" spans="2:10" x14ac:dyDescent="0.3">
      <c r="B110" s="237"/>
      <c r="C110" s="238"/>
      <c r="D110" s="232"/>
      <c r="E110" s="232"/>
      <c r="F110" s="232"/>
      <c r="G110" s="232"/>
      <c r="H110" s="232"/>
      <c r="I110" s="232"/>
      <c r="J110" s="259"/>
    </row>
    <row r="111" spans="2:10" x14ac:dyDescent="0.3">
      <c r="B111" s="93" t="s">
        <v>296</v>
      </c>
      <c r="C111" s="1"/>
      <c r="D111" s="76"/>
      <c r="E111" s="76"/>
      <c r="F111" s="76"/>
      <c r="G111" s="76"/>
      <c r="H111" s="76"/>
      <c r="I111" s="76"/>
      <c r="J111" s="259"/>
    </row>
    <row r="112" spans="2:10" x14ac:dyDescent="0.3">
      <c r="B112" s="237"/>
      <c r="C112" s="238"/>
      <c r="D112" s="232"/>
      <c r="E112" s="232"/>
      <c r="F112" s="232"/>
      <c r="G112" s="232"/>
      <c r="H112" s="232"/>
      <c r="I112" s="232"/>
      <c r="J112" s="259" t="s">
        <v>297</v>
      </c>
    </row>
    <row r="113" spans="2:10" x14ac:dyDescent="0.3">
      <c r="B113" s="237"/>
      <c r="C113" s="238"/>
      <c r="D113" s="232"/>
      <c r="E113" s="232"/>
      <c r="F113" s="232"/>
      <c r="G113" s="232"/>
      <c r="H113" s="232"/>
      <c r="I113" s="232"/>
      <c r="J113" s="259"/>
    </row>
    <row r="114" spans="2:10" x14ac:dyDescent="0.3">
      <c r="B114" s="237"/>
      <c r="C114" s="238"/>
      <c r="D114" s="232"/>
      <c r="E114" s="232"/>
      <c r="F114" s="232"/>
      <c r="G114" s="232"/>
      <c r="H114" s="232"/>
      <c r="I114" s="232"/>
      <c r="J114" s="259"/>
    </row>
    <row r="115" spans="2:10" x14ac:dyDescent="0.3">
      <c r="B115" s="237"/>
      <c r="C115" s="238"/>
      <c r="D115" s="232"/>
      <c r="E115" s="232"/>
      <c r="F115" s="232"/>
      <c r="G115" s="232"/>
      <c r="H115" s="232"/>
      <c r="I115" s="232"/>
      <c r="J115" s="259"/>
    </row>
    <row r="116" spans="2:10" x14ac:dyDescent="0.3">
      <c r="B116" s="237"/>
      <c r="C116" s="238"/>
      <c r="D116" s="232"/>
      <c r="E116" s="232"/>
      <c r="F116" s="232"/>
      <c r="G116" s="232"/>
      <c r="H116" s="232"/>
      <c r="I116" s="232"/>
      <c r="J116" s="259"/>
    </row>
    <row r="117" spans="2:10" x14ac:dyDescent="0.3">
      <c r="B117" s="237"/>
      <c r="C117" s="238"/>
      <c r="D117" s="232"/>
      <c r="E117" s="232"/>
      <c r="F117" s="232"/>
      <c r="G117" s="232"/>
      <c r="H117" s="232"/>
      <c r="I117" s="232"/>
      <c r="J117" s="259"/>
    </row>
    <row r="118" spans="2:10" x14ac:dyDescent="0.3">
      <c r="B118" s="237"/>
      <c r="C118" s="238"/>
      <c r="D118" s="232"/>
      <c r="E118" s="232"/>
      <c r="F118" s="232"/>
      <c r="G118" s="232"/>
      <c r="H118" s="232"/>
      <c r="I118" s="232"/>
      <c r="J118" s="259"/>
    </row>
    <row r="119" spans="2:10" x14ac:dyDescent="0.3">
      <c r="B119" s="239"/>
      <c r="C119" s="240"/>
      <c r="D119" s="233"/>
      <c r="E119" s="233"/>
      <c r="F119" s="233"/>
      <c r="G119" s="233"/>
      <c r="H119" s="233"/>
      <c r="I119" s="233"/>
      <c r="J119" s="260"/>
    </row>
    <row r="120" spans="2:10" x14ac:dyDescent="0.3">
      <c r="B120" s="95"/>
      <c r="C120" s="164" t="s">
        <v>298</v>
      </c>
      <c r="D120" s="102">
        <f t="shared" ref="D120:I120" si="13">SUM(D23:D119)</f>
        <v>145000</v>
      </c>
      <c r="E120" s="102">
        <f t="shared" si="13"/>
        <v>928000</v>
      </c>
      <c r="F120" s="102">
        <f t="shared" si="13"/>
        <v>1665710</v>
      </c>
      <c r="G120" s="102">
        <f t="shared" si="13"/>
        <v>2333115.7000000002</v>
      </c>
      <c r="H120" s="102">
        <f t="shared" si="13"/>
        <v>2824152.2590000005</v>
      </c>
      <c r="I120" s="102">
        <f t="shared" si="13"/>
        <v>2905462.7765299994</v>
      </c>
      <c r="J120" s="241"/>
    </row>
    <row r="121" spans="2:10" x14ac:dyDescent="0.3">
      <c r="C121" s="1"/>
      <c r="D121" s="57"/>
      <c r="E121" s="57"/>
      <c r="F121" s="57"/>
      <c r="G121" s="57"/>
      <c r="H121" s="57"/>
      <c r="I121" s="57"/>
      <c r="J121" s="114"/>
    </row>
    <row r="122" spans="2:10" ht="22.95" customHeight="1" x14ac:dyDescent="0.3">
      <c r="B122" s="97" t="s">
        <v>299</v>
      </c>
      <c r="C122" s="63"/>
      <c r="D122" s="103"/>
      <c r="E122" s="103"/>
      <c r="F122" s="103"/>
      <c r="G122" s="103"/>
      <c r="H122" s="103"/>
      <c r="I122" s="103"/>
      <c r="J122" s="115"/>
    </row>
    <row r="123" spans="2:10" x14ac:dyDescent="0.3">
      <c r="B123" s="94" t="s">
        <v>211</v>
      </c>
      <c r="C123" s="1" t="s">
        <v>212</v>
      </c>
      <c r="D123" s="104">
        <f t="shared" ref="D123:I123" si="14">(SUMIF($C$23:$C$119,"Full-time",D$23:D$119))*D12</f>
        <v>55825</v>
      </c>
      <c r="E123" s="104">
        <f t="shared" si="14"/>
        <v>346500</v>
      </c>
      <c r="F123" s="104">
        <f t="shared" si="14"/>
        <v>619522.75</v>
      </c>
      <c r="G123" s="104">
        <f t="shared" si="14"/>
        <v>865258.4325</v>
      </c>
      <c r="H123" s="104">
        <f t="shared" si="14"/>
        <v>1048257.6854750002</v>
      </c>
      <c r="I123" s="104">
        <f t="shared" si="14"/>
        <v>1078781.4160392499</v>
      </c>
      <c r="J123" s="259"/>
    </row>
    <row r="124" spans="2:10" x14ac:dyDescent="0.3">
      <c r="B124" s="94" t="s">
        <v>214</v>
      </c>
      <c r="C124" s="1" t="s">
        <v>215</v>
      </c>
      <c r="D124" s="104">
        <f t="shared" ref="D124:I124" si="15">(SUMIF($C$23:$C$119,"Part-time",D$23:D$119))*D13</f>
        <v>0</v>
      </c>
      <c r="E124" s="104">
        <f t="shared" si="15"/>
        <v>1750</v>
      </c>
      <c r="F124" s="104">
        <f t="shared" si="15"/>
        <v>3535</v>
      </c>
      <c r="G124" s="104">
        <f t="shared" si="15"/>
        <v>5355.7</v>
      </c>
      <c r="H124" s="104">
        <f t="shared" si="15"/>
        <v>6337.8140000000003</v>
      </c>
      <c r="I124" s="104">
        <f t="shared" si="15"/>
        <v>6464.5702800000008</v>
      </c>
      <c r="J124" s="259"/>
    </row>
    <row r="125" spans="2:10" x14ac:dyDescent="0.3">
      <c r="B125" s="94" t="s">
        <v>217</v>
      </c>
      <c r="C125" s="1" t="s">
        <v>218</v>
      </c>
      <c r="D125" s="104">
        <f t="shared" ref="D125:I125" si="16">D120*D14</f>
        <v>2102.5</v>
      </c>
      <c r="E125" s="104">
        <f t="shared" si="16"/>
        <v>13456</v>
      </c>
      <c r="F125" s="104">
        <f t="shared" si="16"/>
        <v>24152.795000000002</v>
      </c>
      <c r="G125" s="104">
        <f t="shared" si="16"/>
        <v>33830.177650000005</v>
      </c>
      <c r="H125" s="104">
        <f t="shared" si="16"/>
        <v>40950.207755500007</v>
      </c>
      <c r="I125" s="104">
        <f t="shared" si="16"/>
        <v>42129.210259684995</v>
      </c>
      <c r="J125" s="259"/>
    </row>
    <row r="126" spans="2:10" x14ac:dyDescent="0.3">
      <c r="B126" s="94" t="s">
        <v>300</v>
      </c>
      <c r="C126" s="1" t="s">
        <v>212</v>
      </c>
      <c r="D126" s="104">
        <f t="shared" ref="D126:I126" si="17">(COUNTIFS($C$23:$C$119,"Full-time",D$23:D$119,"&lt;&gt;0",D$23:D$119,"&lt;&gt;"))*D15</f>
        <v>12000</v>
      </c>
      <c r="E126" s="104">
        <f t="shared" si="17"/>
        <v>81900</v>
      </c>
      <c r="F126" s="104">
        <f t="shared" si="17"/>
        <v>152145</v>
      </c>
      <c r="G126" s="104">
        <f t="shared" si="17"/>
        <v>222264</v>
      </c>
      <c r="H126" s="104">
        <f t="shared" si="17"/>
        <v>277135.42499999999</v>
      </c>
      <c r="I126" s="104">
        <f t="shared" si="17"/>
        <v>290992.19625000004</v>
      </c>
      <c r="J126" s="259"/>
    </row>
    <row r="127" spans="2:10" x14ac:dyDescent="0.3">
      <c r="B127" s="94" t="s">
        <v>222</v>
      </c>
      <c r="C127" s="1" t="s">
        <v>218</v>
      </c>
      <c r="D127" s="104">
        <f t="shared" ref="D127:I127" si="18">(COUNT(D22:D119))*36000*D16</f>
        <v>1440</v>
      </c>
      <c r="E127" s="104">
        <f t="shared" si="18"/>
        <v>3420</v>
      </c>
      <c r="F127" s="104">
        <f t="shared" si="18"/>
        <v>5400</v>
      </c>
      <c r="G127" s="104">
        <f t="shared" si="18"/>
        <v>7200</v>
      </c>
      <c r="H127" s="104">
        <f t="shared" si="18"/>
        <v>8460</v>
      </c>
      <c r="I127" s="104">
        <f t="shared" si="18"/>
        <v>8460</v>
      </c>
      <c r="J127" s="259"/>
    </row>
    <row r="128" spans="2:10" x14ac:dyDescent="0.3">
      <c r="B128" s="94" t="s">
        <v>223</v>
      </c>
      <c r="C128" s="1" t="s">
        <v>218</v>
      </c>
      <c r="D128" s="104">
        <f t="shared" ref="D128:I128" si="19">(COUNT(D22:D119))*44000*D17</f>
        <v>10384</v>
      </c>
      <c r="E128" s="104">
        <f t="shared" si="19"/>
        <v>24662</v>
      </c>
      <c r="F128" s="104">
        <f t="shared" si="19"/>
        <v>23100.000000000004</v>
      </c>
      <c r="G128" s="104">
        <f t="shared" si="19"/>
        <v>30800.000000000004</v>
      </c>
      <c r="H128" s="104">
        <f t="shared" si="19"/>
        <v>36190</v>
      </c>
      <c r="I128" s="104">
        <f t="shared" si="19"/>
        <v>36190</v>
      </c>
      <c r="J128" s="259"/>
    </row>
    <row r="129" spans="2:10" ht="28.8" x14ac:dyDescent="0.3">
      <c r="B129" s="98" t="s">
        <v>301</v>
      </c>
      <c r="C129" s="6" t="s">
        <v>212</v>
      </c>
      <c r="D129" s="105">
        <f t="shared" ref="D129:I129" si="20">(SUMIF($C$23:$C$119,"Full-time",D$23:D$119))*D18</f>
        <v>1087.5</v>
      </c>
      <c r="E129" s="105">
        <f t="shared" si="20"/>
        <v>6750</v>
      </c>
      <c r="F129" s="105">
        <f t="shared" si="20"/>
        <v>12068.625</v>
      </c>
      <c r="G129" s="105">
        <f t="shared" si="20"/>
        <v>16855.68375</v>
      </c>
      <c r="H129" s="105">
        <f t="shared" si="20"/>
        <v>20420.604262500001</v>
      </c>
      <c r="I129" s="105">
        <f t="shared" si="20"/>
        <v>21015.222390374998</v>
      </c>
      <c r="J129" s="260"/>
    </row>
    <row r="130" spans="2:10" x14ac:dyDescent="0.3">
      <c r="B130" s="99"/>
      <c r="C130" s="164" t="s">
        <v>302</v>
      </c>
      <c r="D130" s="102">
        <f>SUM(D123:D129)</f>
        <v>82839</v>
      </c>
      <c r="E130" s="102">
        <f t="shared" ref="E130:I130" si="21">SUM(E123:E129)</f>
        <v>478438</v>
      </c>
      <c r="F130" s="102">
        <f t="shared" si="21"/>
        <v>839924.17</v>
      </c>
      <c r="G130" s="102">
        <f t="shared" si="21"/>
        <v>1181563.9938999999</v>
      </c>
      <c r="H130" s="102">
        <f t="shared" si="21"/>
        <v>1437751.7364930003</v>
      </c>
      <c r="I130" s="102">
        <f t="shared" si="21"/>
        <v>1484032.6152193102</v>
      </c>
      <c r="J130" s="112"/>
    </row>
    <row r="131" spans="2:10" ht="15" thickBot="1" x14ac:dyDescent="0.35">
      <c r="B131" s="8"/>
      <c r="C131" s="9"/>
      <c r="D131" s="32"/>
      <c r="E131" s="32"/>
      <c r="F131" s="32"/>
      <c r="G131" s="32"/>
      <c r="H131" s="32"/>
      <c r="I131" s="32"/>
      <c r="J131" s="116"/>
    </row>
    <row r="132" spans="2:10" ht="19.2" customHeight="1" thickTop="1" x14ac:dyDescent="0.3">
      <c r="B132" s="11"/>
      <c r="C132" s="159" t="s">
        <v>303</v>
      </c>
      <c r="D132" s="160">
        <f t="shared" ref="D132:I132" si="22">D130+D120</f>
        <v>227839</v>
      </c>
      <c r="E132" s="160">
        <f t="shared" si="22"/>
        <v>1406438</v>
      </c>
      <c r="F132" s="160">
        <f t="shared" si="22"/>
        <v>2505634.17</v>
      </c>
      <c r="G132" s="160">
        <f t="shared" si="22"/>
        <v>3514679.6939000003</v>
      </c>
      <c r="H132" s="160">
        <f t="shared" si="22"/>
        <v>4261903.9954930004</v>
      </c>
      <c r="I132" s="160">
        <f t="shared" si="22"/>
        <v>4389495.3917493094</v>
      </c>
      <c r="J132" s="114"/>
    </row>
    <row r="133" spans="2:10" x14ac:dyDescent="0.3">
      <c r="C133" s="1"/>
      <c r="D133" s="29"/>
      <c r="E133" s="29"/>
      <c r="F133" s="29"/>
      <c r="G133" s="29"/>
      <c r="H133" s="29"/>
      <c r="I133" s="29"/>
      <c r="J133" s="114"/>
    </row>
    <row r="134" spans="2:10" x14ac:dyDescent="0.3">
      <c r="C134" s="118" t="s">
        <v>304</v>
      </c>
      <c r="D134" s="106">
        <f t="shared" ref="D134:I134" si="23">IFERROR((D120/D132),0)</f>
        <v>0.63641431010494254</v>
      </c>
      <c r="E134" s="106">
        <f t="shared" si="23"/>
        <v>0.65982290012073053</v>
      </c>
      <c r="F134" s="106">
        <f t="shared" si="23"/>
        <v>0.66478579353026623</v>
      </c>
      <c r="G134" s="106">
        <f t="shared" si="23"/>
        <v>0.66382029180334801</v>
      </c>
      <c r="H134" s="106">
        <f t="shared" si="23"/>
        <v>0.66265036987847814</v>
      </c>
      <c r="I134" s="106">
        <f t="shared" si="23"/>
        <v>0.66191270686631465</v>
      </c>
      <c r="J134" s="114"/>
    </row>
    <row r="135" spans="2:10" x14ac:dyDescent="0.3">
      <c r="C135" s="118" t="s">
        <v>305</v>
      </c>
      <c r="D135" s="106">
        <f t="shared" ref="D135:I135" si="24">IFERROR((D130/D132),0)</f>
        <v>0.36358568989505746</v>
      </c>
      <c r="E135" s="106">
        <f t="shared" si="24"/>
        <v>0.34017709987926947</v>
      </c>
      <c r="F135" s="106">
        <f t="shared" si="24"/>
        <v>0.33521420646973382</v>
      </c>
      <c r="G135" s="106">
        <f t="shared" si="24"/>
        <v>0.33617970819665188</v>
      </c>
      <c r="H135" s="106">
        <f t="shared" si="24"/>
        <v>0.33734963012152197</v>
      </c>
      <c r="I135" s="106">
        <f t="shared" si="24"/>
        <v>0.33808729313368546</v>
      </c>
      <c r="J135" s="114"/>
    </row>
    <row r="136" spans="2:10" x14ac:dyDescent="0.3">
      <c r="C136" s="118" t="s">
        <v>306</v>
      </c>
      <c r="D136" s="119"/>
      <c r="E136" s="120">
        <f>IFERROR(E132/E8,"-")</f>
        <v>8790.2374999999993</v>
      </c>
      <c r="F136" s="120">
        <f>IFERROR(F132/F8,"-")</f>
        <v>7830.1067812499996</v>
      </c>
      <c r="G136" s="120">
        <f>IFERROR(G132/G8,"-")</f>
        <v>7322.2493622916672</v>
      </c>
      <c r="H136" s="120">
        <f>IFERROR(H132/H8,"-")</f>
        <v>7610.5428490946433</v>
      </c>
      <c r="I136" s="120">
        <f>IFERROR(I132/I8,"-")</f>
        <v>7700.8691083321219</v>
      </c>
      <c r="J136" s="114"/>
    </row>
    <row r="137" spans="2:10" x14ac:dyDescent="0.3">
      <c r="C137" s="118" t="s">
        <v>307</v>
      </c>
      <c r="D137" s="107"/>
      <c r="E137" s="121">
        <f>IFERROR(E8/(COUNTIFS(E23:E51,"&gt;0",$C23:$C51,"Full-time")),"-")</f>
        <v>20</v>
      </c>
      <c r="F137" s="121">
        <f>IFERROR(F8/(COUNTIFS(F23:F51,"&gt;0",$C23:$C51,"Full-time")),"-")</f>
        <v>20</v>
      </c>
      <c r="G137" s="121">
        <f>IFERROR(G8/(COUNTIFS(G23:G51,"&gt;0",$C23:$C51,"Full-time")),"-")</f>
        <v>20</v>
      </c>
      <c r="H137" s="121">
        <f>IFERROR(H8/(COUNTIFS(H23:H51,"&gt;0",$C23:$C51,"Full-time")),"-")</f>
        <v>20</v>
      </c>
      <c r="I137" s="121">
        <f>IFERROR(I8/(COUNTIFS(I23:I51,"&gt;0",$C23:$C51,"Full-time")),"-")</f>
        <v>20.357142857142858</v>
      </c>
      <c r="J137" s="114"/>
    </row>
    <row r="138" spans="2:10" x14ac:dyDescent="0.3">
      <c r="C138" s="1"/>
      <c r="D138" s="5"/>
      <c r="E138" s="5"/>
      <c r="F138" s="5"/>
      <c r="G138" s="5"/>
      <c r="H138" s="5"/>
      <c r="I138" s="5"/>
      <c r="J138" s="89"/>
    </row>
    <row r="139" spans="2:10" x14ac:dyDescent="0.3">
      <c r="C139" s="1"/>
      <c r="D139" s="5"/>
      <c r="E139" s="5"/>
      <c r="F139" s="5"/>
      <c r="G139" s="5"/>
      <c r="H139" s="5"/>
      <c r="I139" s="5"/>
      <c r="J139" s="89"/>
    </row>
    <row r="140" spans="2:10" x14ac:dyDescent="0.3">
      <c r="C140" s="1"/>
      <c r="D140" s="5"/>
      <c r="E140" s="5"/>
      <c r="F140" s="5"/>
      <c r="G140" s="5"/>
      <c r="H140" s="5"/>
      <c r="I140" s="5"/>
      <c r="J140" s="89"/>
    </row>
    <row r="141" spans="2:10" x14ac:dyDescent="0.3">
      <c r="C141" s="1"/>
      <c r="D141" s="5"/>
      <c r="E141" s="5"/>
      <c r="F141" s="5"/>
      <c r="G141" s="5"/>
      <c r="H141" s="5"/>
      <c r="I141" s="5"/>
      <c r="J141" s="89"/>
    </row>
    <row r="142" spans="2:10" x14ac:dyDescent="0.3">
      <c r="C142" s="1"/>
      <c r="D142" s="5"/>
      <c r="E142" s="5"/>
      <c r="F142" s="5"/>
      <c r="G142" s="5"/>
      <c r="H142" s="5"/>
      <c r="I142" s="5"/>
      <c r="J142" s="89"/>
    </row>
    <row r="143" spans="2:10" x14ac:dyDescent="0.3">
      <c r="C143" s="1"/>
      <c r="D143" s="5"/>
      <c r="E143" s="5"/>
      <c r="F143" s="5"/>
      <c r="G143" s="5"/>
      <c r="H143" s="5"/>
      <c r="I143" s="5"/>
      <c r="J143" s="89"/>
    </row>
    <row r="144" spans="2:10" x14ac:dyDescent="0.3">
      <c r="C144" s="1"/>
      <c r="D144" s="5"/>
      <c r="E144" s="5"/>
      <c r="F144" s="5"/>
      <c r="G144" s="5"/>
      <c r="H144" s="5"/>
      <c r="I144" s="5"/>
      <c r="J144" s="89"/>
    </row>
    <row r="145" spans="3:10" x14ac:dyDescent="0.3">
      <c r="C145" s="1"/>
      <c r="D145" s="5"/>
      <c r="E145" s="5"/>
      <c r="F145" s="5"/>
      <c r="G145" s="5"/>
      <c r="H145" s="5"/>
      <c r="I145" s="5"/>
      <c r="J145" s="89"/>
    </row>
    <row r="146" spans="3:10" x14ac:dyDescent="0.3">
      <c r="C146" s="1"/>
      <c r="D146" s="5"/>
      <c r="E146" s="5"/>
      <c r="F146" s="5"/>
      <c r="G146" s="5"/>
      <c r="H146" s="5"/>
      <c r="I146" s="5"/>
      <c r="J146" s="89"/>
    </row>
    <row r="147" spans="3:10" x14ac:dyDescent="0.3">
      <c r="C147" s="1"/>
      <c r="D147" s="5"/>
      <c r="E147" s="5"/>
      <c r="F147" s="5"/>
      <c r="G147" s="5"/>
      <c r="H147" s="5"/>
      <c r="I147" s="5"/>
      <c r="J147" s="89"/>
    </row>
    <row r="148" spans="3:10" x14ac:dyDescent="0.3">
      <c r="C148" s="1"/>
      <c r="D148" s="5"/>
      <c r="E148" s="5"/>
      <c r="F148" s="5"/>
      <c r="G148" s="5"/>
      <c r="H148" s="5"/>
      <c r="I148" s="5"/>
      <c r="J148" s="89"/>
    </row>
    <row r="149" spans="3:10" x14ac:dyDescent="0.3">
      <c r="C149" s="1"/>
      <c r="D149" s="5"/>
      <c r="E149" s="5"/>
      <c r="F149" s="5"/>
      <c r="G149" s="5"/>
      <c r="H149" s="5"/>
      <c r="I149" s="5"/>
      <c r="J149" s="89"/>
    </row>
    <row r="150" spans="3:10" x14ac:dyDescent="0.3">
      <c r="C150" s="1"/>
      <c r="D150" s="5"/>
      <c r="E150" s="5"/>
      <c r="F150" s="5"/>
      <c r="G150" s="5"/>
      <c r="H150" s="5"/>
      <c r="I150" s="5"/>
    </row>
    <row r="151" spans="3:10" x14ac:dyDescent="0.3">
      <c r="C151" s="1"/>
      <c r="D151" s="5"/>
      <c r="E151" s="5"/>
      <c r="F151" s="5"/>
      <c r="G151" s="5"/>
      <c r="H151" s="5"/>
      <c r="I151" s="5"/>
    </row>
    <row r="152" spans="3:10" x14ac:dyDescent="0.3">
      <c r="C152" s="1"/>
      <c r="D152" s="5"/>
      <c r="E152" s="5"/>
      <c r="F152" s="5"/>
      <c r="G152" s="5"/>
      <c r="H152" s="5"/>
      <c r="I152" s="5"/>
    </row>
    <row r="153" spans="3:10" x14ac:dyDescent="0.3">
      <c r="C153" s="1"/>
      <c r="D153" s="5"/>
      <c r="E153" s="5"/>
      <c r="F153" s="5"/>
      <c r="G153" s="5"/>
      <c r="H153" s="5"/>
      <c r="I153" s="5"/>
    </row>
    <row r="154" spans="3:10" x14ac:dyDescent="0.3">
      <c r="C154" s="1"/>
      <c r="D154" s="5"/>
      <c r="E154" s="5"/>
      <c r="F154" s="5"/>
      <c r="G154" s="5"/>
      <c r="H154" s="5"/>
      <c r="I154" s="5"/>
    </row>
    <row r="155" spans="3:10" x14ac:dyDescent="0.3">
      <c r="C155" s="1"/>
      <c r="D155" s="5"/>
      <c r="E155" s="5"/>
      <c r="F155" s="5"/>
      <c r="G155" s="5"/>
      <c r="H155" s="5"/>
      <c r="I155" s="5"/>
    </row>
    <row r="156" spans="3:10" x14ac:dyDescent="0.3">
      <c r="C156" s="1"/>
      <c r="D156" s="5"/>
      <c r="E156" s="5"/>
      <c r="F156" s="5"/>
      <c r="G156" s="5"/>
      <c r="H156" s="5"/>
      <c r="I156" s="5"/>
    </row>
    <row r="157" spans="3:10" x14ac:dyDescent="0.3">
      <c r="C157" s="1"/>
      <c r="D157" s="5"/>
      <c r="E157" s="5"/>
      <c r="F157" s="5"/>
      <c r="G157" s="5"/>
      <c r="H157" s="5"/>
      <c r="I157" s="5"/>
    </row>
    <row r="158" spans="3:10" x14ac:dyDescent="0.3">
      <c r="C158" s="1"/>
      <c r="D158" s="5"/>
      <c r="E158" s="5"/>
      <c r="F158" s="5"/>
      <c r="G158" s="5"/>
      <c r="H158" s="5"/>
      <c r="I158" s="5"/>
    </row>
    <row r="159" spans="3:10" x14ac:dyDescent="0.3">
      <c r="C159" s="1"/>
      <c r="D159" s="5"/>
      <c r="E159" s="5"/>
      <c r="F159" s="5"/>
      <c r="G159" s="5"/>
      <c r="H159" s="5"/>
      <c r="I159" s="5"/>
    </row>
    <row r="160" spans="3:10" x14ac:dyDescent="0.3">
      <c r="C160" s="1"/>
      <c r="D160" s="5"/>
      <c r="E160" s="5"/>
      <c r="F160" s="5"/>
      <c r="G160" s="5"/>
      <c r="H160" s="5"/>
      <c r="I160" s="5"/>
    </row>
    <row r="161" spans="3:9" x14ac:dyDescent="0.3">
      <c r="C161" s="1"/>
      <c r="D161" s="5"/>
      <c r="E161" s="5"/>
      <c r="F161" s="5"/>
      <c r="G161" s="5"/>
      <c r="H161" s="5"/>
      <c r="I161" s="5"/>
    </row>
    <row r="162" spans="3:9" x14ac:dyDescent="0.3">
      <c r="C162" s="1"/>
      <c r="D162" s="5"/>
      <c r="E162" s="5"/>
      <c r="F162" s="5"/>
      <c r="G162" s="5"/>
      <c r="H162" s="5"/>
      <c r="I162" s="5"/>
    </row>
    <row r="163" spans="3:9" x14ac:dyDescent="0.3">
      <c r="C163" s="1"/>
      <c r="D163" s="5"/>
      <c r="E163" s="5"/>
      <c r="F163" s="5"/>
      <c r="G163" s="5"/>
      <c r="H163" s="5"/>
      <c r="I163" s="5"/>
    </row>
    <row r="164" spans="3:9" x14ac:dyDescent="0.3">
      <c r="C164" s="1"/>
      <c r="D164" s="5"/>
      <c r="E164" s="5"/>
      <c r="F164" s="5"/>
      <c r="G164" s="5"/>
      <c r="H164" s="5"/>
      <c r="I164" s="5"/>
    </row>
    <row r="165" spans="3:9" x14ac:dyDescent="0.3">
      <c r="C165" s="1"/>
      <c r="D165" s="5"/>
      <c r="E165" s="5"/>
      <c r="F165" s="5"/>
      <c r="G165" s="5"/>
      <c r="H165" s="5"/>
      <c r="I165" s="5"/>
    </row>
    <row r="166" spans="3:9" x14ac:dyDescent="0.3">
      <c r="C166" s="1"/>
      <c r="D166" s="5"/>
      <c r="E166" s="5"/>
      <c r="F166" s="5"/>
      <c r="G166" s="5"/>
      <c r="H166" s="5"/>
      <c r="I166" s="5"/>
    </row>
    <row r="167" spans="3:9" x14ac:dyDescent="0.3">
      <c r="C167" s="1"/>
      <c r="D167" s="5"/>
      <c r="E167" s="5"/>
      <c r="F167" s="5"/>
      <c r="G167" s="5"/>
      <c r="H167" s="5"/>
      <c r="I167" s="5"/>
    </row>
    <row r="168" spans="3:9" x14ac:dyDescent="0.3">
      <c r="C168" s="1"/>
      <c r="D168" s="5"/>
      <c r="E168" s="5"/>
      <c r="F168" s="5"/>
      <c r="G168" s="5"/>
      <c r="H168" s="5"/>
      <c r="I168" s="5"/>
    </row>
    <row r="169" spans="3:9" x14ac:dyDescent="0.3">
      <c r="C169" s="1"/>
    </row>
    <row r="170" spans="3:9" x14ac:dyDescent="0.3">
      <c r="C170" s="1"/>
    </row>
    <row r="171" spans="3:9" x14ac:dyDescent="0.3">
      <c r="C171" s="1"/>
    </row>
    <row r="172" spans="3:9" x14ac:dyDescent="0.3">
      <c r="C172" s="1"/>
    </row>
    <row r="173" spans="3:9" x14ac:dyDescent="0.3">
      <c r="C173" s="1"/>
    </row>
    <row r="174" spans="3:9" x14ac:dyDescent="0.3">
      <c r="C174" s="1"/>
    </row>
    <row r="175" spans="3:9" x14ac:dyDescent="0.3">
      <c r="C175" s="1"/>
    </row>
    <row r="176" spans="3:9" x14ac:dyDescent="0.3">
      <c r="C176" s="1"/>
    </row>
  </sheetData>
  <sheetProtection algorithmName="SHA-512" hashValue="y0W4Af0gacGHrfvGBzI686N8LZf7qH0JG/ho3xb/3wgV7d2pw50/IWihSP0tgg4dFlDkuOMIpnLd5J0GuhFdUQ==" saltValue="y3lOoZm6wWwvcZRYdNa/Lg==" spinCount="100000" sheet="1" objects="1" scenarios="1"/>
  <mergeCells count="1">
    <mergeCell ref="B5:I5"/>
  </mergeCells>
  <phoneticPr fontId="3"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697BBA6-FDDC-4496-9591-BE08C1064749}">
          <x14:formula1>
            <xm:f>Inputs!$A$4:$A$5</xm:f>
          </x14:formula1>
          <xm:sqref>C23:C119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EB0A7-DDAA-4D0C-8147-49062DE71E09}">
  <dimension ref="B1:K89"/>
  <sheetViews>
    <sheetView zoomScaleNormal="100" workbookViewId="0">
      <pane xSplit="4" ySplit="11" topLeftCell="E12" activePane="bottomRight" state="frozen"/>
      <selection pane="topRight" activeCell="E1" sqref="E1"/>
      <selection pane="bottomLeft" activeCell="A12" sqref="A12"/>
      <selection pane="bottomRight" activeCell="K19" sqref="K19"/>
    </sheetView>
  </sheetViews>
  <sheetFormatPr defaultRowHeight="14.4" x14ac:dyDescent="0.3"/>
  <cols>
    <col min="1" max="1" width="5.88671875" customWidth="1"/>
    <col min="2" max="2" width="13.109375" customWidth="1"/>
    <col min="3" max="3" width="50" style="2" customWidth="1"/>
    <col min="4" max="4" width="45" style="2" customWidth="1"/>
    <col min="5" max="10" width="13.88671875" customWidth="1"/>
    <col min="11" max="11" width="58" customWidth="1"/>
  </cols>
  <sheetData>
    <row r="1" spans="2:11" ht="18" x14ac:dyDescent="0.35">
      <c r="B1" s="36" t="s">
        <v>78</v>
      </c>
      <c r="C1" s="38" t="str">
        <f>Summary!C1</f>
        <v>Nexus Academy</v>
      </c>
    </row>
    <row r="2" spans="2:11" ht="18" x14ac:dyDescent="0.35">
      <c r="B2" s="36" t="s">
        <v>79</v>
      </c>
      <c r="C2" s="38" t="str">
        <f>Summary!C2</f>
        <v>Las Vegas (89015, 89011, 89122, 89121)</v>
      </c>
    </row>
    <row r="3" spans="2:11" ht="18" x14ac:dyDescent="0.35">
      <c r="B3" s="36" t="s">
        <v>80</v>
      </c>
      <c r="C3" s="38">
        <f>Summary!C3</f>
        <v>2027</v>
      </c>
    </row>
    <row r="4" spans="2:11" ht="18" x14ac:dyDescent="0.35">
      <c r="B4" s="36"/>
      <c r="C4" s="38"/>
      <c r="E4" s="67"/>
    </row>
    <row r="5" spans="2:11" ht="21" x14ac:dyDescent="0.4">
      <c r="B5" s="36"/>
      <c r="C5" s="266" t="s">
        <v>308</v>
      </c>
      <c r="D5" s="266"/>
      <c r="E5" s="266"/>
      <c r="F5" s="266"/>
      <c r="G5" s="266"/>
      <c r="H5" s="266"/>
      <c r="I5" s="266"/>
      <c r="J5" s="266"/>
    </row>
    <row r="7" spans="2:11" ht="21" customHeight="1" thickBot="1" x14ac:dyDescent="0.35">
      <c r="D7" s="65" t="s">
        <v>82</v>
      </c>
      <c r="E7" s="66" t="str">
        <f>($C$3-1)&amp;"-"&amp;($C$3+0)</f>
        <v>2026-2027</v>
      </c>
      <c r="F7" s="66" t="str">
        <f>($C$3+0)&amp;"-"&amp;($C$3+1)</f>
        <v>2027-2028</v>
      </c>
      <c r="G7" s="66" t="str">
        <f>($C$3+1)&amp;"-"&amp;($C$3+2)</f>
        <v>2028-2029</v>
      </c>
      <c r="H7" s="66" t="str">
        <f>($C$3+2)&amp;"-"&amp;($C$3+3)</f>
        <v>2029-2030</v>
      </c>
      <c r="I7" s="66" t="str">
        <f>($C$3+3)&amp;"-"&amp;($C$3+4)</f>
        <v>2030-2031</v>
      </c>
      <c r="J7" s="66" t="str">
        <f>($C$3+4)&amp;"-"&amp;($C$3+5)</f>
        <v>2031-2032</v>
      </c>
    </row>
    <row r="8" spans="2:11" x14ac:dyDescent="0.3">
      <c r="D8" s="84" t="s">
        <v>83</v>
      </c>
      <c r="E8" s="80"/>
      <c r="F8" s="57">
        <f>Enrollment!D$23</f>
        <v>160</v>
      </c>
      <c r="G8" s="57">
        <f>Enrollment!E$23</f>
        <v>320</v>
      </c>
      <c r="H8" s="57">
        <f>Enrollment!F$23</f>
        <v>480</v>
      </c>
      <c r="I8" s="57">
        <f>Enrollment!G$23</f>
        <v>560</v>
      </c>
      <c r="J8" s="57">
        <f>Enrollment!H$23</f>
        <v>570</v>
      </c>
    </row>
    <row r="9" spans="2:11" x14ac:dyDescent="0.3">
      <c r="D9" s="37" t="s">
        <v>84</v>
      </c>
      <c r="E9" s="131"/>
      <c r="F9" s="81"/>
      <c r="G9" s="73">
        <f>Enrollment!E24</f>
        <v>1</v>
      </c>
      <c r="H9" s="73">
        <f>Enrollment!F24</f>
        <v>0.5</v>
      </c>
      <c r="I9" s="73">
        <f>Enrollment!G24</f>
        <v>0.16666666666666666</v>
      </c>
      <c r="J9" s="73">
        <f>Enrollment!H24</f>
        <v>1.7857142857142856E-2</v>
      </c>
    </row>
    <row r="10" spans="2:11" ht="15.6" x14ac:dyDescent="0.3">
      <c r="B10" s="1"/>
      <c r="E10" s="57"/>
      <c r="F10" s="127"/>
      <c r="G10" s="127"/>
      <c r="H10" s="127"/>
      <c r="I10" s="127"/>
      <c r="J10" s="127"/>
    </row>
    <row r="11" spans="2:11" ht="28.8" x14ac:dyDescent="0.3">
      <c r="B11" s="19" t="s">
        <v>309</v>
      </c>
      <c r="C11" s="23" t="s">
        <v>310</v>
      </c>
      <c r="D11" s="23" t="s">
        <v>311</v>
      </c>
      <c r="E11" s="60" t="s">
        <v>87</v>
      </c>
      <c r="F11" s="60" t="s">
        <v>88</v>
      </c>
      <c r="G11" s="60" t="s">
        <v>89</v>
      </c>
      <c r="H11" s="60" t="s">
        <v>90</v>
      </c>
      <c r="I11" s="60" t="s">
        <v>91</v>
      </c>
      <c r="J11" s="60" t="s">
        <v>92</v>
      </c>
      <c r="K11" s="20" t="s">
        <v>93</v>
      </c>
    </row>
    <row r="12" spans="2:11" ht="22.2" customHeight="1" x14ac:dyDescent="0.3">
      <c r="B12" s="132"/>
      <c r="C12" s="133" t="s">
        <v>312</v>
      </c>
      <c r="D12" s="134"/>
      <c r="E12" s="135"/>
      <c r="F12" s="135"/>
      <c r="G12" s="135"/>
      <c r="H12" s="135"/>
      <c r="I12" s="135"/>
      <c r="J12" s="135"/>
      <c r="K12" s="136"/>
    </row>
    <row r="13" spans="2:11" ht="17.25" customHeight="1" x14ac:dyDescent="0.3">
      <c r="B13" s="45">
        <f>_xlfn.IFNA(VLOOKUP(C13,Inputs!$C$4:$D$13,2,0),"")</f>
        <v>610</v>
      </c>
      <c r="C13" s="242" t="s">
        <v>313</v>
      </c>
      <c r="D13" s="242" t="s">
        <v>314</v>
      </c>
      <c r="E13" s="243"/>
      <c r="F13" s="243">
        <f>50*F8+500*12</f>
        <v>14000</v>
      </c>
      <c r="G13" s="243">
        <f>50*G8+(500*12)</f>
        <v>22000</v>
      </c>
      <c r="H13" s="243">
        <f>(50*H8+500*12)*1.03</f>
        <v>30900</v>
      </c>
      <c r="I13" s="243">
        <f t="shared" ref="I13" si="0">(50*I8+500*12)*1.03</f>
        <v>35020</v>
      </c>
      <c r="J13" s="243">
        <f>I13</f>
        <v>35020</v>
      </c>
      <c r="K13" s="244" t="s">
        <v>315</v>
      </c>
    </row>
    <row r="14" spans="2:11" ht="27.6" x14ac:dyDescent="0.3">
      <c r="B14" s="45">
        <f>_xlfn.IFNA(VLOOKUP(C14,Inputs!$C$4:$D$13,2,0),"")</f>
        <v>612</v>
      </c>
      <c r="C14" s="242" t="s">
        <v>316</v>
      </c>
      <c r="D14" s="242" t="s">
        <v>317</v>
      </c>
      <c r="E14" s="243">
        <v>0</v>
      </c>
      <c r="F14" s="243">
        <v>5000</v>
      </c>
      <c r="G14" s="243">
        <v>5000</v>
      </c>
      <c r="H14" s="243">
        <v>5000</v>
      </c>
      <c r="I14" s="243">
        <v>5000</v>
      </c>
      <c r="J14" s="243">
        <v>10000</v>
      </c>
      <c r="K14" s="244" t="s">
        <v>318</v>
      </c>
    </row>
    <row r="15" spans="2:11" x14ac:dyDescent="0.3">
      <c r="B15" s="45">
        <f>_xlfn.IFNA(VLOOKUP(C15,Inputs!$C$4:$D$13,2,0),"")</f>
        <v>641</v>
      </c>
      <c r="C15" s="242" t="s">
        <v>319</v>
      </c>
      <c r="D15" s="242" t="s">
        <v>320</v>
      </c>
      <c r="E15" s="243"/>
      <c r="F15" s="243">
        <f>75*F8</f>
        <v>12000</v>
      </c>
      <c r="G15" s="243">
        <f>75*G8-F8</f>
        <v>23840</v>
      </c>
      <c r="H15" s="243">
        <f>75*H8-G8</f>
        <v>35680</v>
      </c>
      <c r="I15" s="243">
        <f>75*I8-H8</f>
        <v>41520</v>
      </c>
      <c r="J15" s="243">
        <f>75*J8*0.25</f>
        <v>10687.5</v>
      </c>
      <c r="K15" s="244" t="s">
        <v>542</v>
      </c>
    </row>
    <row r="16" spans="2:11" x14ac:dyDescent="0.3">
      <c r="B16" s="45" t="str">
        <f>_xlfn.IFNA(VLOOKUP(C16,Inputs!$C$4:$D$13,2,0),"")</f>
        <v/>
      </c>
      <c r="C16" s="242"/>
      <c r="D16" s="242"/>
      <c r="E16" s="243"/>
      <c r="F16" s="243"/>
      <c r="G16" s="243"/>
      <c r="H16" s="243"/>
      <c r="I16" s="243"/>
      <c r="J16" s="243"/>
      <c r="K16" s="244"/>
    </row>
    <row r="17" spans="2:11" x14ac:dyDescent="0.3">
      <c r="B17" s="45">
        <f>_xlfn.IFNA(VLOOKUP(C17,Inputs!$C$4:$D$13,2,0),"")</f>
        <v>651</v>
      </c>
      <c r="C17" s="242" t="s">
        <v>321</v>
      </c>
      <c r="D17" s="242" t="s">
        <v>322</v>
      </c>
      <c r="E17" s="243"/>
      <c r="F17" s="243">
        <f>F8*50*0.5</f>
        <v>4000</v>
      </c>
      <c r="G17" s="243">
        <f>G8*50*0.5</f>
        <v>8000</v>
      </c>
      <c r="H17" s="243">
        <f t="shared" ref="H17:I17" si="1">H8*50*0.5</f>
        <v>12000</v>
      </c>
      <c r="I17" s="243">
        <f t="shared" si="1"/>
        <v>14000</v>
      </c>
      <c r="J17" s="243">
        <v>15000</v>
      </c>
      <c r="K17" s="244" t="s">
        <v>323</v>
      </c>
    </row>
    <row r="18" spans="2:11" x14ac:dyDescent="0.3">
      <c r="B18" s="45">
        <f>_xlfn.IFNA(VLOOKUP(C18,Inputs!$C$4:$D$13,2,0),"")</f>
        <v>652</v>
      </c>
      <c r="C18" s="242" t="s">
        <v>324</v>
      </c>
      <c r="D18" s="242"/>
      <c r="E18" s="243"/>
      <c r="F18" s="243"/>
      <c r="G18" s="243"/>
      <c r="H18" s="243"/>
      <c r="I18" s="243"/>
      <c r="J18" s="243"/>
      <c r="K18" s="244"/>
    </row>
    <row r="19" spans="2:11" x14ac:dyDescent="0.3">
      <c r="B19" s="45">
        <f>_xlfn.IFNA(VLOOKUP(C19,Inputs!$C$4:$D$13,2,0),"")</f>
        <v>653</v>
      </c>
      <c r="C19" s="242" t="s">
        <v>325</v>
      </c>
      <c r="D19" s="242" t="s">
        <v>326</v>
      </c>
      <c r="E19" s="243"/>
      <c r="F19" s="243">
        <v>35000</v>
      </c>
      <c r="G19" s="243">
        <v>45000</v>
      </c>
      <c r="H19" s="243">
        <v>45000</v>
      </c>
      <c r="I19" s="243">
        <v>45000</v>
      </c>
      <c r="J19" s="243">
        <v>45000</v>
      </c>
      <c r="K19" s="244" t="s">
        <v>327</v>
      </c>
    </row>
    <row r="20" spans="2:11" ht="27.6" x14ac:dyDescent="0.3">
      <c r="B20" s="45">
        <f>_xlfn.IFNA(VLOOKUP(C20,Inputs!$C$4:$D$13,2,0),"")</f>
        <v>610</v>
      </c>
      <c r="C20" s="242" t="s">
        <v>313</v>
      </c>
      <c r="D20" s="242" t="s">
        <v>328</v>
      </c>
      <c r="E20" s="243"/>
      <c r="F20" s="243">
        <v>2000</v>
      </c>
      <c r="G20" s="243">
        <v>8000</v>
      </c>
      <c r="H20" s="243">
        <v>10000</v>
      </c>
      <c r="I20" s="243">
        <v>12000</v>
      </c>
      <c r="J20" s="243">
        <v>12500</v>
      </c>
      <c r="K20" s="244" t="s">
        <v>329</v>
      </c>
    </row>
    <row r="21" spans="2:11" x14ac:dyDescent="0.3">
      <c r="B21" s="45">
        <f>_xlfn.IFNA(VLOOKUP(C21,Inputs!$C$4:$D$13,2,0),"")</f>
        <v>653</v>
      </c>
      <c r="C21" s="242" t="s">
        <v>325</v>
      </c>
      <c r="D21" s="242" t="s">
        <v>518</v>
      </c>
      <c r="E21" s="243">
        <v>10000</v>
      </c>
      <c r="F21" s="243"/>
      <c r="G21" s="243">
        <v>5000</v>
      </c>
      <c r="H21" s="243">
        <v>5000</v>
      </c>
      <c r="I21" s="243">
        <v>5000</v>
      </c>
      <c r="J21" s="243">
        <v>5000</v>
      </c>
      <c r="K21" s="244" t="s">
        <v>519</v>
      </c>
    </row>
    <row r="22" spans="2:11" ht="27.6" x14ac:dyDescent="0.3">
      <c r="B22" s="45">
        <f>_xlfn.IFNA(VLOOKUP(C22,Inputs!$C$4:$D$13,2,0),"")</f>
        <v>654</v>
      </c>
      <c r="C22" s="242" t="s">
        <v>336</v>
      </c>
      <c r="D22" s="242" t="s">
        <v>537</v>
      </c>
      <c r="E22" s="243">
        <f>14000*3</f>
        <v>42000</v>
      </c>
      <c r="F22" s="243">
        <v>4500</v>
      </c>
      <c r="G22" s="243">
        <f>14000*4</f>
        <v>56000</v>
      </c>
      <c r="H22" s="243">
        <f t="shared" ref="H22:J22" si="2">14000*4</f>
        <v>56000</v>
      </c>
      <c r="I22" s="243">
        <f t="shared" si="2"/>
        <v>56000</v>
      </c>
      <c r="J22" s="243">
        <f t="shared" si="2"/>
        <v>56000</v>
      </c>
      <c r="K22" s="244" t="s">
        <v>538</v>
      </c>
    </row>
    <row r="23" spans="2:11" x14ac:dyDescent="0.3">
      <c r="B23" s="45" t="str">
        <f>_xlfn.IFNA(VLOOKUP(C23,Inputs!$C$4:$D$13,2,0),"")</f>
        <v/>
      </c>
      <c r="C23" s="242"/>
      <c r="D23" s="242"/>
      <c r="E23" s="243"/>
      <c r="F23" s="243"/>
      <c r="G23" s="243"/>
      <c r="H23" s="243"/>
      <c r="I23" s="243"/>
      <c r="J23" s="243"/>
      <c r="K23" s="244"/>
    </row>
    <row r="24" spans="2:11" x14ac:dyDescent="0.3">
      <c r="B24" s="45" t="str">
        <f>_xlfn.IFNA(VLOOKUP(C24,Inputs!$C$4:$D$13,2,0),"")</f>
        <v/>
      </c>
      <c r="C24" s="242"/>
      <c r="D24" s="242"/>
      <c r="E24" s="243"/>
      <c r="F24" s="243"/>
      <c r="G24" s="243"/>
      <c r="H24" s="243"/>
      <c r="I24" s="243"/>
      <c r="J24" s="243"/>
      <c r="K24" s="244"/>
    </row>
    <row r="25" spans="2:11" x14ac:dyDescent="0.3">
      <c r="B25" s="45" t="str">
        <f>_xlfn.IFNA(VLOOKUP(C25,Inputs!$C$4:$D$13,2,0),"")</f>
        <v/>
      </c>
      <c r="C25" s="242"/>
      <c r="D25" s="242"/>
      <c r="E25" s="243"/>
      <c r="F25" s="243"/>
      <c r="G25" s="243"/>
      <c r="H25" s="243"/>
      <c r="I25" s="243"/>
      <c r="J25" s="243"/>
      <c r="K25" s="244"/>
    </row>
    <row r="26" spans="2:11" x14ac:dyDescent="0.3">
      <c r="B26" s="45" t="str">
        <f>_xlfn.IFNA(VLOOKUP(C26,Inputs!$C$4:$D$13,2,0),"")</f>
        <v/>
      </c>
      <c r="C26" s="242"/>
      <c r="D26" s="242"/>
      <c r="E26" s="243"/>
      <c r="F26" s="243"/>
      <c r="G26" s="243"/>
      <c r="H26" s="243"/>
      <c r="I26" s="243"/>
      <c r="J26" s="243"/>
      <c r="K26" s="244"/>
    </row>
    <row r="27" spans="2:11" x14ac:dyDescent="0.3">
      <c r="B27" s="45" t="str">
        <f>_xlfn.IFNA(VLOOKUP(C27,Inputs!$C$4:$D$13,2,0),"")</f>
        <v/>
      </c>
      <c r="C27" s="242"/>
      <c r="D27" s="242"/>
      <c r="E27" s="243"/>
      <c r="F27" s="243"/>
      <c r="G27" s="243"/>
      <c r="H27" s="243"/>
      <c r="I27" s="243"/>
      <c r="J27" s="243"/>
      <c r="K27" s="244"/>
    </row>
    <row r="28" spans="2:11" x14ac:dyDescent="0.3">
      <c r="B28" s="45" t="str">
        <f>_xlfn.IFNA(VLOOKUP(C28,Inputs!$C$4:$D$13,2,0),"")</f>
        <v/>
      </c>
      <c r="C28" s="242"/>
      <c r="D28" s="242"/>
      <c r="E28" s="243"/>
      <c r="F28" s="243"/>
      <c r="G28" s="243"/>
      <c r="H28" s="243"/>
      <c r="I28" s="243"/>
      <c r="J28" s="243"/>
      <c r="K28" s="244"/>
    </row>
    <row r="29" spans="2:11" x14ac:dyDescent="0.3">
      <c r="B29" s="45" t="str">
        <f>_xlfn.IFNA(VLOOKUP(C29,Inputs!$C$4:$D$13,2,0),"")</f>
        <v/>
      </c>
      <c r="C29" s="242"/>
      <c r="D29" s="242"/>
      <c r="E29" s="243"/>
      <c r="F29" s="243"/>
      <c r="G29" s="243"/>
      <c r="H29" s="243"/>
      <c r="I29" s="243"/>
      <c r="J29" s="243"/>
      <c r="K29" s="244"/>
    </row>
    <row r="30" spans="2:11" x14ac:dyDescent="0.3">
      <c r="B30" s="45" t="str">
        <f>_xlfn.IFNA(VLOOKUP(C30,Inputs!$C$4:$D$13,2,0),"")</f>
        <v/>
      </c>
      <c r="C30" s="242"/>
      <c r="D30" s="242"/>
      <c r="E30" s="243"/>
      <c r="F30" s="243"/>
      <c r="G30" s="243"/>
      <c r="H30" s="243"/>
      <c r="I30" s="243"/>
      <c r="J30" s="243"/>
      <c r="K30" s="244"/>
    </row>
    <row r="31" spans="2:11" x14ac:dyDescent="0.3">
      <c r="B31" s="45" t="str">
        <f>_xlfn.IFNA(VLOOKUP(C31,Inputs!$C$4:$D$13,2,0),"")</f>
        <v/>
      </c>
      <c r="C31" s="245"/>
      <c r="D31" s="245"/>
      <c r="E31" s="246"/>
      <c r="F31" s="246"/>
      <c r="G31" s="246"/>
      <c r="H31" s="246"/>
      <c r="I31" s="246"/>
      <c r="J31" s="246"/>
      <c r="K31" s="247"/>
    </row>
    <row r="32" spans="2:11" x14ac:dyDescent="0.3">
      <c r="B32" s="45"/>
      <c r="C32" s="117"/>
      <c r="D32" s="137" t="s">
        <v>330</v>
      </c>
      <c r="E32" s="123">
        <f>SUM(E13:E31)</f>
        <v>52000</v>
      </c>
      <c r="F32" s="123">
        <f t="shared" ref="F32:J32" si="3">SUM(F13:F31)</f>
        <v>76500</v>
      </c>
      <c r="G32" s="123">
        <f t="shared" si="3"/>
        <v>172840</v>
      </c>
      <c r="H32" s="123">
        <f t="shared" si="3"/>
        <v>199580</v>
      </c>
      <c r="I32" s="123">
        <f t="shared" si="3"/>
        <v>213540</v>
      </c>
      <c r="J32" s="123">
        <f t="shared" si="3"/>
        <v>189207.5</v>
      </c>
      <c r="K32" s="138"/>
    </row>
    <row r="33" spans="2:11" x14ac:dyDescent="0.3">
      <c r="B33" s="45"/>
      <c r="C33" s="117"/>
      <c r="D33" s="137" t="s">
        <v>331</v>
      </c>
      <c r="E33" s="124"/>
      <c r="F33" s="128">
        <f>IFERROR(F32/F$8,"-")</f>
        <v>478.125</v>
      </c>
      <c r="G33" s="128">
        <f>IFERROR(G32/G$8,"-")</f>
        <v>540.125</v>
      </c>
      <c r="H33" s="128">
        <f>IFERROR(H32/H$8,"-")</f>
        <v>415.79166666666669</v>
      </c>
      <c r="I33" s="128">
        <f>IFERROR(I32/I$8,"-")</f>
        <v>381.32142857142856</v>
      </c>
      <c r="J33" s="128">
        <f>IFERROR(J32/J$8,"-")</f>
        <v>331.94298245614033</v>
      </c>
      <c r="K33" s="138"/>
    </row>
    <row r="34" spans="2:11" x14ac:dyDescent="0.3">
      <c r="B34" s="45"/>
      <c r="C34" s="117" t="s">
        <v>332</v>
      </c>
      <c r="D34" s="139"/>
      <c r="E34" s="123"/>
      <c r="F34" s="123"/>
      <c r="G34" s="123"/>
      <c r="H34" s="123"/>
      <c r="I34" s="123"/>
      <c r="J34" s="123"/>
      <c r="K34" s="138"/>
    </row>
    <row r="35" spans="2:11" ht="27.6" x14ac:dyDescent="0.3">
      <c r="B35" s="45">
        <f>_xlfn.IFNA(VLOOKUP(C35,Inputs!$C$4:$D$13,2,0),"")</f>
        <v>610</v>
      </c>
      <c r="C35" s="242" t="s">
        <v>313</v>
      </c>
      <c r="D35" s="242"/>
      <c r="E35" s="243">
        <v>5000</v>
      </c>
      <c r="F35" s="243">
        <v>5000</v>
      </c>
      <c r="G35" s="243">
        <v>10000</v>
      </c>
      <c r="H35" s="243">
        <v>12000</v>
      </c>
      <c r="I35" s="243">
        <v>15000</v>
      </c>
      <c r="J35" s="243">
        <v>15000</v>
      </c>
      <c r="K35" s="244" t="s">
        <v>333</v>
      </c>
    </row>
    <row r="36" spans="2:11" ht="27.6" x14ac:dyDescent="0.3">
      <c r="B36" s="45">
        <f>_xlfn.IFNA(VLOOKUP(C36,Inputs!$C$4:$D$13,2,0),"")</f>
        <v>612</v>
      </c>
      <c r="C36" s="242" t="s">
        <v>316</v>
      </c>
      <c r="D36" s="242" t="s">
        <v>334</v>
      </c>
      <c r="E36" s="243">
        <v>1000</v>
      </c>
      <c r="F36" s="243">
        <v>2000</v>
      </c>
      <c r="G36" s="243">
        <v>5000</v>
      </c>
      <c r="H36" s="243">
        <v>5000</v>
      </c>
      <c r="I36" s="243">
        <v>5000</v>
      </c>
      <c r="J36" s="243">
        <v>5000</v>
      </c>
      <c r="K36" s="244"/>
    </row>
    <row r="37" spans="2:11" x14ac:dyDescent="0.3">
      <c r="B37" s="45">
        <f>_xlfn.IFNA(VLOOKUP(C37,Inputs!$C$4:$D$13,2,0),"")</f>
        <v>651</v>
      </c>
      <c r="C37" s="242" t="s">
        <v>321</v>
      </c>
      <c r="D37" s="242"/>
      <c r="E37" s="243">
        <v>1500</v>
      </c>
      <c r="F37" s="243">
        <v>2500</v>
      </c>
      <c r="G37" s="243">
        <v>3500</v>
      </c>
      <c r="H37" s="243">
        <v>5000</v>
      </c>
      <c r="I37" s="243">
        <v>5000</v>
      </c>
      <c r="J37" s="243">
        <v>3000</v>
      </c>
      <c r="K37" s="244" t="s">
        <v>335</v>
      </c>
    </row>
    <row r="38" spans="2:11" x14ac:dyDescent="0.3">
      <c r="B38" s="45">
        <f>_xlfn.IFNA(VLOOKUP(C38,Inputs!$C$4:$D$13,2,0),"")</f>
        <v>654</v>
      </c>
      <c r="C38" s="242" t="s">
        <v>336</v>
      </c>
      <c r="D38" s="242" t="s">
        <v>337</v>
      </c>
      <c r="E38" s="243">
        <v>5000</v>
      </c>
      <c r="F38" s="243">
        <f>450*8</f>
        <v>3600</v>
      </c>
      <c r="G38" s="243">
        <f>450*12</f>
        <v>5400</v>
      </c>
      <c r="H38" s="243">
        <v>7500</v>
      </c>
      <c r="I38" s="243">
        <v>5400</v>
      </c>
      <c r="J38" s="243">
        <v>5400</v>
      </c>
      <c r="K38" s="244" t="s">
        <v>338</v>
      </c>
    </row>
    <row r="39" spans="2:11" x14ac:dyDescent="0.3">
      <c r="B39" s="45" t="str">
        <f>_xlfn.IFNA(VLOOKUP(C39,Inputs!$C$4:$D$13,2,0),"")</f>
        <v/>
      </c>
      <c r="C39" s="242"/>
      <c r="D39" s="242"/>
      <c r="E39" s="243"/>
      <c r="F39" s="243"/>
      <c r="G39" s="243"/>
      <c r="H39" s="243"/>
      <c r="I39" s="243"/>
      <c r="J39" s="243"/>
      <c r="K39" s="244"/>
    </row>
    <row r="40" spans="2:11" x14ac:dyDescent="0.3">
      <c r="B40" s="45" t="str">
        <f>_xlfn.IFNA(VLOOKUP(C40,Inputs!$C$4:$D$13,2,0),"")</f>
        <v/>
      </c>
      <c r="C40" s="242"/>
      <c r="D40" s="242"/>
      <c r="E40" s="243"/>
      <c r="F40" s="243"/>
      <c r="G40" s="243"/>
      <c r="H40" s="243"/>
      <c r="I40" s="243"/>
      <c r="J40" s="243"/>
      <c r="K40" s="244"/>
    </row>
    <row r="41" spans="2:11" x14ac:dyDescent="0.3">
      <c r="B41" s="45" t="str">
        <f>_xlfn.IFNA(VLOOKUP(C41,Inputs!$C$4:$D$13,2,0),"")</f>
        <v/>
      </c>
      <c r="C41" s="242"/>
      <c r="D41" s="242"/>
      <c r="E41" s="243"/>
      <c r="F41" s="243"/>
      <c r="G41" s="243"/>
      <c r="H41" s="243"/>
      <c r="I41" s="243"/>
      <c r="J41" s="243"/>
      <c r="K41" s="244"/>
    </row>
    <row r="42" spans="2:11" x14ac:dyDescent="0.3">
      <c r="B42" s="45" t="str">
        <f>_xlfn.IFNA(VLOOKUP(C42,Inputs!$C$4:$D$13,2,0),"")</f>
        <v/>
      </c>
      <c r="C42" s="242"/>
      <c r="D42" s="242"/>
      <c r="E42" s="243"/>
      <c r="F42" s="243"/>
      <c r="G42" s="243"/>
      <c r="H42" s="243"/>
      <c r="I42" s="243"/>
      <c r="J42" s="243"/>
      <c r="K42" s="244"/>
    </row>
    <row r="43" spans="2:11" x14ac:dyDescent="0.3">
      <c r="B43" s="45" t="str">
        <f>_xlfn.IFNA(VLOOKUP(C43,Inputs!$C$4:$D$13,2,0),"")</f>
        <v/>
      </c>
      <c r="C43" s="242"/>
      <c r="D43" s="242"/>
      <c r="E43" s="243"/>
      <c r="F43" s="243"/>
      <c r="G43" s="243"/>
      <c r="H43" s="243"/>
      <c r="I43" s="243"/>
      <c r="J43" s="243"/>
      <c r="K43" s="244"/>
    </row>
    <row r="44" spans="2:11" x14ac:dyDescent="0.3">
      <c r="B44" s="45" t="str">
        <f>_xlfn.IFNA(VLOOKUP(C44,Inputs!$C$4:$D$13,2,0),"")</f>
        <v/>
      </c>
      <c r="C44" s="242"/>
      <c r="D44" s="242"/>
      <c r="E44" s="243"/>
      <c r="F44" s="243"/>
      <c r="G44" s="243"/>
      <c r="H44" s="243"/>
      <c r="I44" s="243"/>
      <c r="J44" s="243"/>
      <c r="K44" s="244"/>
    </row>
    <row r="45" spans="2:11" x14ac:dyDescent="0.3">
      <c r="B45" s="45" t="str">
        <f>_xlfn.IFNA(VLOOKUP(C45,Inputs!$C$4:$D$13,2,0),"")</f>
        <v/>
      </c>
      <c r="C45" s="242"/>
      <c r="D45" s="242"/>
      <c r="E45" s="243"/>
      <c r="F45" s="243"/>
      <c r="G45" s="243"/>
      <c r="H45" s="243"/>
      <c r="I45" s="243"/>
      <c r="J45" s="243"/>
      <c r="K45" s="244"/>
    </row>
    <row r="46" spans="2:11" x14ac:dyDescent="0.3">
      <c r="B46" s="45" t="str">
        <f>_xlfn.IFNA(VLOOKUP(C46,Inputs!$C$4:$D$13,2,0),"")</f>
        <v/>
      </c>
      <c r="C46" s="242"/>
      <c r="D46" s="242"/>
      <c r="E46" s="243"/>
      <c r="F46" s="243"/>
      <c r="G46" s="243"/>
      <c r="H46" s="243"/>
      <c r="I46" s="243"/>
      <c r="J46" s="243"/>
      <c r="K46" s="244"/>
    </row>
    <row r="47" spans="2:11" x14ac:dyDescent="0.3">
      <c r="B47" s="45" t="str">
        <f>_xlfn.IFNA(VLOOKUP(C47,Inputs!$C$4:$D$13,2,0),"")</f>
        <v/>
      </c>
      <c r="C47" s="242"/>
      <c r="D47" s="242"/>
      <c r="E47" s="243"/>
      <c r="F47" s="243"/>
      <c r="G47" s="243"/>
      <c r="H47" s="243"/>
      <c r="I47" s="243"/>
      <c r="J47" s="243"/>
      <c r="K47" s="244"/>
    </row>
    <row r="48" spans="2:11" x14ac:dyDescent="0.3">
      <c r="B48" s="45" t="str">
        <f>_xlfn.IFNA(VLOOKUP(C48,Inputs!$C$4:$D$13,2,0),"")</f>
        <v/>
      </c>
      <c r="C48" s="242"/>
      <c r="D48" s="242"/>
      <c r="E48" s="243"/>
      <c r="F48" s="243"/>
      <c r="G48" s="243"/>
      <c r="H48" s="243"/>
      <c r="I48" s="243"/>
      <c r="J48" s="243"/>
      <c r="K48" s="244"/>
    </row>
    <row r="49" spans="2:11" x14ac:dyDescent="0.3">
      <c r="B49" s="45" t="str">
        <f>_xlfn.IFNA(VLOOKUP(C49,Inputs!$C$4:$D$13,2,0),"")</f>
        <v/>
      </c>
      <c r="C49" s="245"/>
      <c r="D49" s="245"/>
      <c r="E49" s="246"/>
      <c r="F49" s="246"/>
      <c r="G49" s="246"/>
      <c r="H49" s="246"/>
      <c r="I49" s="246"/>
      <c r="J49" s="246"/>
      <c r="K49" s="247"/>
    </row>
    <row r="50" spans="2:11" x14ac:dyDescent="0.3">
      <c r="B50" s="45"/>
      <c r="C50" s="117"/>
      <c r="D50" s="137" t="s">
        <v>339</v>
      </c>
      <c r="E50" s="123">
        <f>SUM(E35:E49)</f>
        <v>12500</v>
      </c>
      <c r="F50" s="123">
        <f t="shared" ref="F50:I50" si="4">SUM(F35:F49)</f>
        <v>13100</v>
      </c>
      <c r="G50" s="123">
        <f t="shared" si="4"/>
        <v>23900</v>
      </c>
      <c r="H50" s="123">
        <f t="shared" si="4"/>
        <v>29500</v>
      </c>
      <c r="I50" s="123">
        <f t="shared" si="4"/>
        <v>30400</v>
      </c>
      <c r="J50" s="123">
        <f>SUM(J35:J49)</f>
        <v>28400</v>
      </c>
      <c r="K50" s="138"/>
    </row>
    <row r="51" spans="2:11" x14ac:dyDescent="0.3">
      <c r="B51" s="45"/>
      <c r="C51" s="117"/>
      <c r="D51" s="137" t="s">
        <v>331</v>
      </c>
      <c r="E51" s="124"/>
      <c r="F51" s="128">
        <f>IFERROR(F50/F$8,"-")</f>
        <v>81.875</v>
      </c>
      <c r="G51" s="128">
        <f>IFERROR(G50/G$8,"-")</f>
        <v>74.6875</v>
      </c>
      <c r="H51" s="128">
        <f>IFERROR(H50/H$8,"-")</f>
        <v>61.458333333333336</v>
      </c>
      <c r="I51" s="128">
        <f>IFERROR(I50/I$8,"-")</f>
        <v>54.285714285714285</v>
      </c>
      <c r="J51" s="128">
        <f>IFERROR(J50/J$8,"-")</f>
        <v>49.824561403508774</v>
      </c>
      <c r="K51" s="138"/>
    </row>
    <row r="52" spans="2:11" x14ac:dyDescent="0.3">
      <c r="B52" s="45" t="str">
        <f>_xlfn.IFNA(VLOOKUP(C52,Inputs!$C$4:$D$13,2,0),"")</f>
        <v/>
      </c>
      <c r="C52" s="144" t="s">
        <v>340</v>
      </c>
      <c r="D52" s="139"/>
      <c r="E52" s="123"/>
      <c r="F52" s="123"/>
      <c r="G52" s="123"/>
      <c r="H52" s="123"/>
      <c r="I52" s="123"/>
      <c r="J52" s="123"/>
      <c r="K52" s="138"/>
    </row>
    <row r="53" spans="2:11" ht="27.6" x14ac:dyDescent="0.3">
      <c r="B53" s="45">
        <f>_xlfn.IFNA(VLOOKUP(C53,Inputs!$C$4:$D$13,2,0),"")</f>
        <v>610</v>
      </c>
      <c r="C53" s="242" t="s">
        <v>313</v>
      </c>
      <c r="D53" s="242" t="s">
        <v>341</v>
      </c>
      <c r="E53" s="243"/>
      <c r="F53" s="243">
        <f>10*F8</f>
        <v>1600</v>
      </c>
      <c r="G53" s="243">
        <f t="shared" ref="G53:J53" si="5">10*G8</f>
        <v>3200</v>
      </c>
      <c r="H53" s="243">
        <f t="shared" si="5"/>
        <v>4800</v>
      </c>
      <c r="I53" s="243">
        <f t="shared" si="5"/>
        <v>5600</v>
      </c>
      <c r="J53" s="243">
        <f t="shared" si="5"/>
        <v>5700</v>
      </c>
      <c r="K53" s="244" t="s">
        <v>342</v>
      </c>
    </row>
    <row r="54" spans="2:11" x14ac:dyDescent="0.3">
      <c r="B54" s="45">
        <f>_xlfn.IFNA(VLOOKUP(C54,Inputs!$C$4:$D$13,2,0),"")</f>
        <v>630</v>
      </c>
      <c r="C54" s="242" t="s">
        <v>343</v>
      </c>
      <c r="D54" s="242" t="s">
        <v>344</v>
      </c>
      <c r="E54" s="243"/>
      <c r="F54" s="243">
        <f>875*F8*0.65</f>
        <v>91000</v>
      </c>
      <c r="G54" s="243">
        <f>875*G8*0.65</f>
        <v>182000</v>
      </c>
      <c r="H54" s="243">
        <f>875*H8*0.65</f>
        <v>273000</v>
      </c>
      <c r="I54" s="243">
        <f>875*I8*0.65</f>
        <v>318500</v>
      </c>
      <c r="J54" s="243">
        <f>875*J8*0.65</f>
        <v>324187.5</v>
      </c>
      <c r="K54" s="244" t="s">
        <v>345</v>
      </c>
    </row>
    <row r="55" spans="2:11" x14ac:dyDescent="0.3">
      <c r="B55" s="45" t="str">
        <f>_xlfn.IFNA(VLOOKUP(C55,Inputs!$C$4:$D$13,2,0),"")</f>
        <v/>
      </c>
      <c r="C55" s="242"/>
      <c r="D55" s="242"/>
      <c r="E55" s="243"/>
      <c r="F55" s="243"/>
      <c r="G55" s="243"/>
      <c r="H55" s="243"/>
      <c r="I55" s="243"/>
      <c r="J55" s="243"/>
      <c r="K55" s="244"/>
    </row>
    <row r="56" spans="2:11" x14ac:dyDescent="0.3">
      <c r="B56" s="45" t="str">
        <f>_xlfn.IFNA(VLOOKUP(C56,Inputs!$C$4:$D$13,2,0),"")</f>
        <v/>
      </c>
      <c r="C56" s="242"/>
      <c r="D56" s="242"/>
      <c r="E56" s="243"/>
      <c r="F56" s="243"/>
      <c r="G56" s="243"/>
      <c r="H56" s="243"/>
      <c r="I56" s="243"/>
      <c r="J56" s="243"/>
      <c r="K56" s="244"/>
    </row>
    <row r="57" spans="2:11" x14ac:dyDescent="0.3">
      <c r="B57" s="45" t="str">
        <f>_xlfn.IFNA(VLOOKUP(C57,Inputs!$C$4:$D$13,2,0),"")</f>
        <v/>
      </c>
      <c r="C57" s="242"/>
      <c r="D57" s="242"/>
      <c r="E57" s="243"/>
      <c r="F57" s="243"/>
      <c r="G57" s="243"/>
      <c r="H57" s="243"/>
      <c r="I57" s="243"/>
      <c r="J57" s="243"/>
      <c r="K57" s="244"/>
    </row>
    <row r="58" spans="2:11" x14ac:dyDescent="0.3">
      <c r="B58" s="45" t="str">
        <f>_xlfn.IFNA(VLOOKUP(C58,Inputs!$C$4:$D$13,2,0),"")</f>
        <v/>
      </c>
      <c r="C58" s="242"/>
      <c r="D58" s="242"/>
      <c r="E58" s="243"/>
      <c r="F58" s="243"/>
      <c r="G58" s="243"/>
      <c r="H58" s="243"/>
      <c r="I58" s="243"/>
      <c r="J58" s="243"/>
      <c r="K58" s="244"/>
    </row>
    <row r="59" spans="2:11" x14ac:dyDescent="0.3">
      <c r="B59" s="45" t="str">
        <f>_xlfn.IFNA(VLOOKUP(C59,Inputs!$C$4:$D$13,2,0),"")</f>
        <v/>
      </c>
      <c r="C59" s="242"/>
      <c r="D59" s="242"/>
      <c r="E59" s="243"/>
      <c r="F59" s="243"/>
      <c r="G59" s="243"/>
      <c r="H59" s="243"/>
      <c r="I59" s="243"/>
      <c r="J59" s="243"/>
      <c r="K59" s="244"/>
    </row>
    <row r="60" spans="2:11" x14ac:dyDescent="0.3">
      <c r="B60" s="45" t="str">
        <f>_xlfn.IFNA(VLOOKUP(C60,Inputs!$C$4:$D$13,2,0),"")</f>
        <v/>
      </c>
      <c r="C60" s="242"/>
      <c r="D60" s="242"/>
      <c r="E60" s="243"/>
      <c r="F60" s="243"/>
      <c r="G60" s="243"/>
      <c r="H60" s="243"/>
      <c r="I60" s="243"/>
      <c r="J60" s="243"/>
      <c r="K60" s="244"/>
    </row>
    <row r="61" spans="2:11" x14ac:dyDescent="0.3">
      <c r="B61" s="45" t="str">
        <f>_xlfn.IFNA(VLOOKUP(C61,Inputs!$C$4:$D$13,2,0),"")</f>
        <v/>
      </c>
      <c r="C61" s="242"/>
      <c r="D61" s="242"/>
      <c r="E61" s="243"/>
      <c r="F61" s="243"/>
      <c r="G61" s="243"/>
      <c r="H61" s="243"/>
      <c r="I61" s="243"/>
      <c r="J61" s="243"/>
      <c r="K61" s="244"/>
    </row>
    <row r="62" spans="2:11" x14ac:dyDescent="0.3">
      <c r="B62" s="45" t="str">
        <f>_xlfn.IFNA(VLOOKUP(C62,Inputs!$C$4:$D$13,2,0),"")</f>
        <v/>
      </c>
      <c r="C62" s="242"/>
      <c r="D62" s="242"/>
      <c r="E62" s="243"/>
      <c r="F62" s="243"/>
      <c r="G62" s="243"/>
      <c r="H62" s="243"/>
      <c r="I62" s="243"/>
      <c r="J62" s="243"/>
      <c r="K62" s="244"/>
    </row>
    <row r="63" spans="2:11" x14ac:dyDescent="0.3">
      <c r="B63" s="45" t="str">
        <f>_xlfn.IFNA(VLOOKUP(C63,Inputs!$C$4:$D$13,2,0),"")</f>
        <v/>
      </c>
      <c r="C63" s="245"/>
      <c r="D63" s="245"/>
      <c r="E63" s="246"/>
      <c r="F63" s="246"/>
      <c r="G63" s="246"/>
      <c r="H63" s="246"/>
      <c r="I63" s="246"/>
      <c r="J63" s="246"/>
      <c r="K63" s="247"/>
    </row>
    <row r="64" spans="2:11" x14ac:dyDescent="0.3">
      <c r="B64" s="45"/>
      <c r="C64" s="117"/>
      <c r="D64" s="137" t="s">
        <v>346</v>
      </c>
      <c r="E64" s="123">
        <f>SUM(E53:E63)</f>
        <v>0</v>
      </c>
      <c r="F64" s="123">
        <f t="shared" ref="F64:J64" si="6">SUM(F53:F63)</f>
        <v>92600</v>
      </c>
      <c r="G64" s="123">
        <f t="shared" si="6"/>
        <v>185200</v>
      </c>
      <c r="H64" s="123">
        <f t="shared" si="6"/>
        <v>277800</v>
      </c>
      <c r="I64" s="123">
        <f t="shared" si="6"/>
        <v>324100</v>
      </c>
      <c r="J64" s="123">
        <f t="shared" si="6"/>
        <v>329887.5</v>
      </c>
      <c r="K64" s="138"/>
    </row>
    <row r="65" spans="2:11" x14ac:dyDescent="0.3">
      <c r="B65" s="45"/>
      <c r="C65" s="117"/>
      <c r="D65" s="137" t="s">
        <v>331</v>
      </c>
      <c r="E65" s="124"/>
      <c r="F65" s="128">
        <f>IFERROR(F64/F$8,"-")</f>
        <v>578.75</v>
      </c>
      <c r="G65" s="128">
        <f>IFERROR(G64/G$8,"-")</f>
        <v>578.75</v>
      </c>
      <c r="H65" s="128">
        <f>IFERROR(H64/H$8,"-")</f>
        <v>578.75</v>
      </c>
      <c r="I65" s="128">
        <f>IFERROR(I64/I$8,"-")</f>
        <v>578.75</v>
      </c>
      <c r="J65" s="128">
        <f>IFERROR(J64/J$8,"-")</f>
        <v>578.75</v>
      </c>
      <c r="K65" s="138"/>
    </row>
    <row r="66" spans="2:11" ht="28.8" x14ac:dyDescent="0.3">
      <c r="B66" s="45" t="str">
        <f>_xlfn.IFNA(VLOOKUP(C66,Inputs!$C$4:$D$13,2,0),"")</f>
        <v/>
      </c>
      <c r="C66" s="117" t="s">
        <v>347</v>
      </c>
      <c r="D66" s="139"/>
      <c r="E66" s="123"/>
      <c r="F66" s="123"/>
      <c r="G66" s="123"/>
      <c r="H66" s="123"/>
      <c r="I66" s="123"/>
      <c r="J66" s="123"/>
      <c r="K66" s="138"/>
    </row>
    <row r="67" spans="2:11" ht="27.6" x14ac:dyDescent="0.3">
      <c r="B67" s="45">
        <f>_xlfn.IFNA(VLOOKUP(C67,Inputs!$C$4:$D$13,2,0),"")</f>
        <v>610</v>
      </c>
      <c r="C67" s="242" t="s">
        <v>313</v>
      </c>
      <c r="D67" s="242" t="s">
        <v>348</v>
      </c>
      <c r="E67" s="243"/>
      <c r="F67" s="243">
        <v>2500</v>
      </c>
      <c r="G67" s="243">
        <v>3000</v>
      </c>
      <c r="H67" s="243">
        <v>4000</v>
      </c>
      <c r="I67" s="243">
        <v>4000</v>
      </c>
      <c r="J67" s="243">
        <v>4000</v>
      </c>
      <c r="K67" s="244" t="s">
        <v>349</v>
      </c>
    </row>
    <row r="68" spans="2:11" x14ac:dyDescent="0.3">
      <c r="B68" s="45" t="str">
        <f>_xlfn.IFNA(VLOOKUP(C68,Inputs!$C$4:$D$13,2,0),"")</f>
        <v/>
      </c>
      <c r="C68" s="242"/>
      <c r="D68" s="242"/>
      <c r="E68" s="243"/>
      <c r="F68" s="243"/>
      <c r="G68" s="243"/>
      <c r="H68" s="243"/>
      <c r="I68" s="243"/>
      <c r="J68" s="243"/>
      <c r="K68" s="244"/>
    </row>
    <row r="69" spans="2:11" x14ac:dyDescent="0.3">
      <c r="B69" s="45" t="str">
        <f>_xlfn.IFNA(VLOOKUP(C69,Inputs!$C$4:$D$13,2,0),"")</f>
        <v/>
      </c>
      <c r="C69" s="242"/>
      <c r="D69" s="242"/>
      <c r="E69" s="243"/>
      <c r="F69" s="243"/>
      <c r="G69" s="243"/>
      <c r="H69" s="243"/>
      <c r="I69" s="243"/>
      <c r="J69" s="243"/>
      <c r="K69" s="244"/>
    </row>
    <row r="70" spans="2:11" x14ac:dyDescent="0.3">
      <c r="B70" s="45" t="str">
        <f>_xlfn.IFNA(VLOOKUP(C70,Inputs!$C$4:$D$13,2,0),"")</f>
        <v/>
      </c>
      <c r="C70" s="242"/>
      <c r="D70" s="242"/>
      <c r="E70" s="243"/>
      <c r="F70" s="243"/>
      <c r="G70" s="243"/>
      <c r="H70" s="243"/>
      <c r="I70" s="243"/>
      <c r="J70" s="243"/>
      <c r="K70" s="244"/>
    </row>
    <row r="71" spans="2:11" x14ac:dyDescent="0.3">
      <c r="B71" s="45" t="str">
        <f>_xlfn.IFNA(VLOOKUP(C71,Inputs!$C$4:$D$13,2,0),"")</f>
        <v/>
      </c>
      <c r="C71" s="242"/>
      <c r="D71" s="242"/>
      <c r="E71" s="243"/>
      <c r="F71" s="243"/>
      <c r="G71" s="243"/>
      <c r="H71" s="243"/>
      <c r="I71" s="243"/>
      <c r="J71" s="243"/>
      <c r="K71" s="244"/>
    </row>
    <row r="72" spans="2:11" x14ac:dyDescent="0.3">
      <c r="B72" s="45" t="str">
        <f>_xlfn.IFNA(VLOOKUP(C72,Inputs!$C$4:$D$13,2,0),"")</f>
        <v/>
      </c>
      <c r="C72" s="242"/>
      <c r="D72" s="242"/>
      <c r="E72" s="243"/>
      <c r="F72" s="243"/>
      <c r="G72" s="243"/>
      <c r="H72" s="243"/>
      <c r="I72" s="243"/>
      <c r="J72" s="243"/>
      <c r="K72" s="244"/>
    </row>
    <row r="73" spans="2:11" x14ac:dyDescent="0.3">
      <c r="B73" s="45" t="str">
        <f>_xlfn.IFNA(VLOOKUP(C73,Inputs!$C$4:$D$13,2,0),"")</f>
        <v/>
      </c>
      <c r="C73" s="242"/>
      <c r="D73" s="242"/>
      <c r="E73" s="243"/>
      <c r="F73" s="243"/>
      <c r="G73" s="243"/>
      <c r="H73" s="243"/>
      <c r="I73" s="243"/>
      <c r="J73" s="243"/>
      <c r="K73" s="244"/>
    </row>
    <row r="74" spans="2:11" x14ac:dyDescent="0.3">
      <c r="B74" s="45" t="str">
        <f>_xlfn.IFNA(VLOOKUP(C74,Inputs!$C$4:$D$13,2,0),"")</f>
        <v/>
      </c>
      <c r="C74" s="242"/>
      <c r="D74" s="242"/>
      <c r="E74" s="243"/>
      <c r="F74" s="243"/>
      <c r="G74" s="243"/>
      <c r="H74" s="243"/>
      <c r="I74" s="243"/>
      <c r="J74" s="243"/>
      <c r="K74" s="244"/>
    </row>
    <row r="75" spans="2:11" x14ac:dyDescent="0.3">
      <c r="B75" s="45" t="str">
        <f>_xlfn.IFNA(VLOOKUP(C75,Inputs!$C$4:$D$13,2,0),"")</f>
        <v/>
      </c>
      <c r="C75" s="242"/>
      <c r="D75" s="242"/>
      <c r="E75" s="243"/>
      <c r="F75" s="243"/>
      <c r="G75" s="243"/>
      <c r="H75" s="243"/>
      <c r="I75" s="243"/>
      <c r="J75" s="243"/>
      <c r="K75" s="244"/>
    </row>
    <row r="76" spans="2:11" x14ac:dyDescent="0.3">
      <c r="B76" s="45" t="str">
        <f>_xlfn.IFNA(VLOOKUP(C76,Inputs!$C$4:$D$13,2,0),"")</f>
        <v/>
      </c>
      <c r="C76" s="242"/>
      <c r="D76" s="242"/>
      <c r="E76" s="232"/>
      <c r="F76" s="232"/>
      <c r="G76" s="232"/>
      <c r="H76" s="232"/>
      <c r="I76" s="232"/>
      <c r="J76" s="232"/>
      <c r="K76" s="244"/>
    </row>
    <row r="77" spans="2:11" x14ac:dyDescent="0.3">
      <c r="B77" s="45" t="str">
        <f>_xlfn.IFNA(VLOOKUP(C77,Inputs!$C$4:$D$13,2,0),"")</f>
        <v/>
      </c>
      <c r="C77" s="245"/>
      <c r="D77" s="245"/>
      <c r="E77" s="246"/>
      <c r="F77" s="246"/>
      <c r="G77" s="246"/>
      <c r="H77" s="246"/>
      <c r="I77" s="246"/>
      <c r="J77" s="246"/>
      <c r="K77" s="247"/>
    </row>
    <row r="78" spans="2:11" x14ac:dyDescent="0.3">
      <c r="B78" s="45"/>
      <c r="C78" s="117"/>
      <c r="D78" s="137" t="s">
        <v>350</v>
      </c>
      <c r="E78" s="123">
        <f>SUM(E67:E77)</f>
        <v>0</v>
      </c>
      <c r="F78" s="123">
        <f t="shared" ref="F78:J78" si="7">SUM(F67:F77)</f>
        <v>2500</v>
      </c>
      <c r="G78" s="123">
        <f t="shared" si="7"/>
        <v>3000</v>
      </c>
      <c r="H78" s="123">
        <f t="shared" si="7"/>
        <v>4000</v>
      </c>
      <c r="I78" s="123">
        <f t="shared" si="7"/>
        <v>4000</v>
      </c>
      <c r="J78" s="123">
        <f t="shared" si="7"/>
        <v>4000</v>
      </c>
      <c r="K78" s="138"/>
    </row>
    <row r="79" spans="2:11" ht="15" thickBot="1" x14ac:dyDescent="0.35">
      <c r="B79" s="45"/>
      <c r="C79" s="122"/>
      <c r="D79" s="146" t="s">
        <v>331</v>
      </c>
      <c r="E79" s="125"/>
      <c r="F79" s="129">
        <f>IFERROR(F78/F$8,"-")</f>
        <v>15.625</v>
      </c>
      <c r="G79" s="129">
        <f>IFERROR(G78/G$8,"-")</f>
        <v>9.375</v>
      </c>
      <c r="H79" s="129">
        <f>IFERROR(H78/H$8,"-")</f>
        <v>8.3333333333333339</v>
      </c>
      <c r="I79" s="129">
        <f>IFERROR(I78/I$8,"-")</f>
        <v>7.1428571428571432</v>
      </c>
      <c r="J79" s="129">
        <f>IFERROR(J78/J$8,"-")</f>
        <v>7.0175438596491224</v>
      </c>
      <c r="K79" s="140"/>
    </row>
    <row r="80" spans="2:11" ht="21.6" customHeight="1" thickTop="1" x14ac:dyDescent="0.3">
      <c r="B80" s="141"/>
      <c r="C80" s="142"/>
      <c r="D80" s="159" t="s">
        <v>351</v>
      </c>
      <c r="E80" s="160">
        <f>E78+E64+E50+E32</f>
        <v>64500</v>
      </c>
      <c r="F80" s="160">
        <f t="shared" ref="F80:J80" si="8">F78+F64+F50+F32</f>
        <v>184700</v>
      </c>
      <c r="G80" s="160">
        <f t="shared" si="8"/>
        <v>384940</v>
      </c>
      <c r="H80" s="160">
        <f t="shared" si="8"/>
        <v>510880</v>
      </c>
      <c r="I80" s="160">
        <f t="shared" si="8"/>
        <v>572040</v>
      </c>
      <c r="J80" s="160">
        <f t="shared" si="8"/>
        <v>551495</v>
      </c>
      <c r="K80" s="46"/>
    </row>
    <row r="81" spans="2:11" ht="20.399999999999999" customHeight="1" x14ac:dyDescent="0.3">
      <c r="B81" s="47"/>
      <c r="C81" s="3"/>
      <c r="D81" s="143" t="s">
        <v>352</v>
      </c>
      <c r="E81" s="126"/>
      <c r="F81" s="130">
        <f>IFERROR(F80/F$8,"-")</f>
        <v>1154.375</v>
      </c>
      <c r="G81" s="130">
        <f>IFERROR(G80/G$8,"-")</f>
        <v>1202.9375</v>
      </c>
      <c r="H81" s="130">
        <f>IFERROR(H80/H$8,"-")</f>
        <v>1064.3333333333333</v>
      </c>
      <c r="I81" s="130">
        <f>IFERROR(I80/I$8,"-")</f>
        <v>1021.5</v>
      </c>
      <c r="J81" s="130">
        <f>IFERROR(J80/J$8,"-")</f>
        <v>967.53508771929819</v>
      </c>
      <c r="K81" s="48"/>
    </row>
    <row r="82" spans="2:11" x14ac:dyDescent="0.3">
      <c r="B82" s="1"/>
    </row>
    <row r="83" spans="2:11" x14ac:dyDescent="0.3">
      <c r="B83" s="1"/>
    </row>
    <row r="84" spans="2:11" x14ac:dyDescent="0.3">
      <c r="B84" s="1"/>
    </row>
    <row r="85" spans="2:11" x14ac:dyDescent="0.3">
      <c r="B85" s="1"/>
    </row>
    <row r="86" spans="2:11" x14ac:dyDescent="0.3">
      <c r="B86" s="1"/>
    </row>
    <row r="87" spans="2:11" x14ac:dyDescent="0.3">
      <c r="B87" s="1"/>
    </row>
    <row r="88" spans="2:11" x14ac:dyDescent="0.3">
      <c r="B88" s="1"/>
    </row>
    <row r="89" spans="2:11" x14ac:dyDescent="0.3">
      <c r="B89" s="1"/>
    </row>
  </sheetData>
  <sheetProtection algorithmName="SHA-512" hashValue="Fol/XiI0eKF4lKTQqdhGWqdlz9+J0WzCplIA8XgXtr4AaPjMxEgW5Rbzp55IlytpZnGFKKOUpMkPsvPdwyE2gg==" saltValue="6th9Caxc3/rDkVvOQarcCA==" spinCount="100000" sheet="1" objects="1" scenarios="1"/>
  <mergeCells count="1">
    <mergeCell ref="C5:J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68941CA-2A33-41BE-A91C-95979CA7BACA}">
          <x14:formula1>
            <xm:f>Inputs!$C$4:$C$18</xm:f>
          </x14:formula1>
          <xm:sqref>C35:C49 C53:C63 C13:C31 C67:C77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04B0F-093C-4410-A9F7-17F14D2D1363}">
  <dimension ref="B1:K109"/>
  <sheetViews>
    <sheetView zoomScaleNormal="100" workbookViewId="0">
      <pane xSplit="4" ySplit="11" topLeftCell="E83" activePane="bottomRight" state="frozen"/>
      <selection pane="topRight" activeCell="E1" sqref="E1"/>
      <selection pane="bottomLeft" activeCell="A12" sqref="A12"/>
      <selection pane="bottomRight" activeCell="E86" sqref="E86"/>
    </sheetView>
  </sheetViews>
  <sheetFormatPr defaultRowHeight="14.4" x14ac:dyDescent="0.3"/>
  <cols>
    <col min="1" max="1" width="5.88671875" customWidth="1"/>
    <col min="2" max="2" width="13.109375" customWidth="1"/>
    <col min="3" max="3" width="49.44140625" style="2" customWidth="1"/>
    <col min="4" max="4" width="45" style="2" customWidth="1"/>
    <col min="5" max="10" width="13.88671875" customWidth="1"/>
    <col min="11" max="11" width="58" customWidth="1"/>
  </cols>
  <sheetData>
    <row r="1" spans="2:11" ht="18" x14ac:dyDescent="0.35">
      <c r="B1" s="36" t="s">
        <v>78</v>
      </c>
      <c r="C1" s="38" t="str">
        <f>Summary!C1</f>
        <v>Nexus Academy</v>
      </c>
    </row>
    <row r="2" spans="2:11" ht="18" x14ac:dyDescent="0.35">
      <c r="B2" s="36" t="s">
        <v>79</v>
      </c>
      <c r="C2" s="38" t="str">
        <f>Summary!C2</f>
        <v>Las Vegas (89015, 89011, 89122, 89121)</v>
      </c>
    </row>
    <row r="3" spans="2:11" ht="18" x14ac:dyDescent="0.35">
      <c r="B3" s="36" t="s">
        <v>80</v>
      </c>
      <c r="C3" s="38">
        <f>Summary!C3</f>
        <v>2027</v>
      </c>
    </row>
    <row r="4" spans="2:11" ht="18" x14ac:dyDescent="0.35">
      <c r="B4" s="36"/>
      <c r="C4" s="38"/>
      <c r="E4" s="67"/>
    </row>
    <row r="5" spans="2:11" ht="21" x14ac:dyDescent="0.4">
      <c r="B5" s="36"/>
      <c r="C5" s="266" t="s">
        <v>353</v>
      </c>
      <c r="D5" s="266"/>
      <c r="E5" s="266"/>
      <c r="F5" s="266"/>
      <c r="G5" s="266"/>
      <c r="H5" s="266"/>
      <c r="I5" s="266"/>
      <c r="J5" s="266"/>
    </row>
    <row r="7" spans="2:11" ht="16.2" thickBot="1" x14ac:dyDescent="0.35">
      <c r="D7" s="65" t="s">
        <v>82</v>
      </c>
      <c r="E7" s="66" t="str">
        <f>($C$3-1)&amp;"-"&amp;($C$3+0)</f>
        <v>2026-2027</v>
      </c>
      <c r="F7" s="66" t="str">
        <f>($C$3+0)&amp;"-"&amp;($C$3+1)</f>
        <v>2027-2028</v>
      </c>
      <c r="G7" s="66" t="str">
        <f>($C$3+1)&amp;"-"&amp;($C$3+2)</f>
        <v>2028-2029</v>
      </c>
      <c r="H7" s="66" t="str">
        <f>($C$3+2)&amp;"-"&amp;($C$3+3)</f>
        <v>2029-2030</v>
      </c>
      <c r="I7" s="66" t="str">
        <f>($C$3+3)&amp;"-"&amp;($C$3+4)</f>
        <v>2030-2031</v>
      </c>
      <c r="J7" s="66" t="str">
        <f>($C$3+4)&amp;"-"&amp;($C$3+5)</f>
        <v>2031-2032</v>
      </c>
    </row>
    <row r="8" spans="2:11" x14ac:dyDescent="0.3">
      <c r="D8" s="84" t="s">
        <v>83</v>
      </c>
      <c r="E8" s="80"/>
      <c r="F8" s="57">
        <f>Enrollment!D$23</f>
        <v>160</v>
      </c>
      <c r="G8" s="57">
        <f>Enrollment!E$23</f>
        <v>320</v>
      </c>
      <c r="H8" s="57">
        <f>Enrollment!F$23</f>
        <v>480</v>
      </c>
      <c r="I8" s="57">
        <f>Enrollment!G$23</f>
        <v>560</v>
      </c>
      <c r="J8" s="57">
        <f>Enrollment!H$23</f>
        <v>570</v>
      </c>
    </row>
    <row r="9" spans="2:11" x14ac:dyDescent="0.3">
      <c r="D9" s="37" t="s">
        <v>84</v>
      </c>
      <c r="E9" s="131"/>
      <c r="F9" s="81"/>
      <c r="G9" s="73">
        <f>Enrollment!E24</f>
        <v>1</v>
      </c>
      <c r="H9" s="73">
        <f>Enrollment!F24</f>
        <v>0.5</v>
      </c>
      <c r="I9" s="73">
        <f>Enrollment!G24</f>
        <v>0.16666666666666666</v>
      </c>
      <c r="J9" s="73">
        <f>Enrollment!H24</f>
        <v>1.7857142857142856E-2</v>
      </c>
    </row>
    <row r="10" spans="2:11" ht="15.6" x14ac:dyDescent="0.3">
      <c r="B10" s="1"/>
      <c r="E10" s="57"/>
      <c r="F10" s="127"/>
      <c r="G10" s="127"/>
      <c r="H10" s="127"/>
      <c r="I10" s="127"/>
      <c r="J10" s="127"/>
    </row>
    <row r="11" spans="2:11" ht="28.8" x14ac:dyDescent="0.3">
      <c r="B11" s="19" t="s">
        <v>309</v>
      </c>
      <c r="C11" s="23" t="s">
        <v>310</v>
      </c>
      <c r="D11" s="23" t="s">
        <v>311</v>
      </c>
      <c r="E11" s="60" t="s">
        <v>87</v>
      </c>
      <c r="F11" s="60" t="s">
        <v>88</v>
      </c>
      <c r="G11" s="60" t="s">
        <v>89</v>
      </c>
      <c r="H11" s="60" t="s">
        <v>90</v>
      </c>
      <c r="I11" s="60" t="s">
        <v>91</v>
      </c>
      <c r="J11" s="60" t="s">
        <v>92</v>
      </c>
      <c r="K11" s="20" t="s">
        <v>93</v>
      </c>
    </row>
    <row r="12" spans="2:11" ht="22.2" customHeight="1" x14ac:dyDescent="0.3">
      <c r="B12" s="132"/>
      <c r="C12" s="145" t="s">
        <v>354</v>
      </c>
      <c r="D12" s="134"/>
      <c r="E12" s="135"/>
      <c r="F12" s="135"/>
      <c r="G12" s="135"/>
      <c r="H12" s="135"/>
      <c r="I12" s="135"/>
      <c r="J12" s="135"/>
      <c r="K12" s="136"/>
    </row>
    <row r="13" spans="2:11" ht="27.6" x14ac:dyDescent="0.3">
      <c r="B13" s="45">
        <f>_xlfn.IFNA(VLOOKUP(C13,Inputs!$F$4:$G$43,2,0),"")</f>
        <v>320</v>
      </c>
      <c r="C13" s="242" t="s">
        <v>355</v>
      </c>
      <c r="D13" s="242" t="s">
        <v>356</v>
      </c>
      <c r="E13" s="243"/>
      <c r="F13" s="243">
        <v>5000</v>
      </c>
      <c r="G13" s="243">
        <v>10000</v>
      </c>
      <c r="H13" s="243">
        <v>35000</v>
      </c>
      <c r="I13" s="243">
        <v>35000</v>
      </c>
      <c r="J13" s="243">
        <v>45000</v>
      </c>
      <c r="K13" s="244"/>
    </row>
    <row r="14" spans="2:11" x14ac:dyDescent="0.3">
      <c r="B14" s="45">
        <f>_xlfn.IFNA(VLOOKUP(C14,Inputs!$F$4:$G$43,2,0),"")</f>
        <v>331</v>
      </c>
      <c r="C14" s="242" t="s">
        <v>357</v>
      </c>
      <c r="D14" s="242" t="s">
        <v>358</v>
      </c>
      <c r="E14" s="243"/>
      <c r="F14" s="243">
        <v>5000</v>
      </c>
      <c r="G14" s="243">
        <v>5000</v>
      </c>
      <c r="H14" s="243">
        <v>5000</v>
      </c>
      <c r="I14" s="243">
        <v>5000</v>
      </c>
      <c r="J14" s="243">
        <v>5000</v>
      </c>
      <c r="K14" s="244" t="s">
        <v>359</v>
      </c>
    </row>
    <row r="15" spans="2:11" x14ac:dyDescent="0.3">
      <c r="B15" s="45">
        <f>_xlfn.IFNA(VLOOKUP(C15,Inputs!$F$4:$G$43,2,0),"")</f>
        <v>332</v>
      </c>
      <c r="C15" s="242" t="s">
        <v>360</v>
      </c>
      <c r="D15" s="242" t="s">
        <v>358</v>
      </c>
      <c r="E15" s="243"/>
      <c r="F15" s="243">
        <v>1000</v>
      </c>
      <c r="G15" s="243">
        <v>1000</v>
      </c>
      <c r="H15" s="243">
        <v>2500</v>
      </c>
      <c r="I15" s="243">
        <v>2500</v>
      </c>
      <c r="J15" s="243">
        <v>3000</v>
      </c>
      <c r="K15" s="244" t="s">
        <v>361</v>
      </c>
    </row>
    <row r="16" spans="2:11" x14ac:dyDescent="0.3">
      <c r="B16" s="45">
        <f>_xlfn.IFNA(VLOOKUP(C16,Inputs!$F$4:$G$43,2,0),"")</f>
        <v>334</v>
      </c>
      <c r="C16" s="242" t="s">
        <v>362</v>
      </c>
      <c r="D16" s="242" t="s">
        <v>358</v>
      </c>
      <c r="E16" s="243">
        <v>1500</v>
      </c>
      <c r="F16" s="243">
        <f>1000*2</f>
        <v>2000</v>
      </c>
      <c r="G16" s="243">
        <v>3000</v>
      </c>
      <c r="H16" s="243">
        <f>1000*4</f>
        <v>4000</v>
      </c>
      <c r="I16" s="243">
        <v>5000</v>
      </c>
      <c r="J16" s="243">
        <v>5000</v>
      </c>
      <c r="K16" s="244" t="s">
        <v>543</v>
      </c>
    </row>
    <row r="17" spans="2:11" ht="27.6" x14ac:dyDescent="0.3">
      <c r="B17" s="45">
        <f>_xlfn.IFNA(VLOOKUP(C17,Inputs!$F$4:$G$43,2,0),"")</f>
        <v>350</v>
      </c>
      <c r="C17" s="242" t="s">
        <v>363</v>
      </c>
      <c r="D17" s="242" t="s">
        <v>527</v>
      </c>
      <c r="E17" s="243"/>
      <c r="F17" s="243">
        <f>125*F8</f>
        <v>20000</v>
      </c>
      <c r="G17" s="243">
        <f t="shared" ref="G17:J17" si="0">125*G8</f>
        <v>40000</v>
      </c>
      <c r="H17" s="243">
        <f t="shared" si="0"/>
        <v>60000</v>
      </c>
      <c r="I17" s="243">
        <f t="shared" si="0"/>
        <v>70000</v>
      </c>
      <c r="J17" s="243">
        <f t="shared" si="0"/>
        <v>71250</v>
      </c>
      <c r="K17" s="244" t="s">
        <v>528</v>
      </c>
    </row>
    <row r="18" spans="2:11" ht="27.6" x14ac:dyDescent="0.3">
      <c r="B18" s="45">
        <f>_xlfn.IFNA(VLOOKUP(C18,Inputs!$F$4:$G$43,2,0),"")</f>
        <v>320</v>
      </c>
      <c r="C18" s="242" t="s">
        <v>355</v>
      </c>
      <c r="D18" s="242" t="s">
        <v>506</v>
      </c>
      <c r="E18" s="243"/>
      <c r="F18" s="243">
        <f>1.5*3000*10</f>
        <v>45000</v>
      </c>
      <c r="G18" s="243">
        <f>4*3500*10</f>
        <v>140000</v>
      </c>
      <c r="H18" s="243">
        <f>6*3500*10</f>
        <v>210000</v>
      </c>
      <c r="I18" s="243">
        <f>8*3500*10</f>
        <v>280000</v>
      </c>
      <c r="J18" s="243">
        <f t="shared" ref="J18" si="1">I18*1.1</f>
        <v>308000</v>
      </c>
      <c r="K18" s="244" t="s">
        <v>507</v>
      </c>
    </row>
    <row r="19" spans="2:11" x14ac:dyDescent="0.3">
      <c r="B19" s="45">
        <f>_xlfn.IFNA(VLOOKUP(C19,Inputs!$F$4:$G$43,2,0),"")</f>
        <v>560</v>
      </c>
      <c r="C19" s="242" t="s">
        <v>499</v>
      </c>
      <c r="D19" s="242" t="s">
        <v>511</v>
      </c>
      <c r="E19" s="243"/>
      <c r="F19" s="243"/>
      <c r="G19" s="243"/>
      <c r="H19" s="243">
        <f>(80*0.75*6*65)*0.3</f>
        <v>7020</v>
      </c>
      <c r="I19" s="243">
        <f>(160*0.75*6*65)*0.3</f>
        <v>14040</v>
      </c>
      <c r="J19" s="243">
        <f>I19*1.01</f>
        <v>14180.4</v>
      </c>
      <c r="K19" s="244" t="s">
        <v>514</v>
      </c>
    </row>
    <row r="20" spans="2:11" x14ac:dyDescent="0.3">
      <c r="B20" s="45">
        <f>_xlfn.IFNA(VLOOKUP(C20,Inputs!$F$4:$G$43,2,0),"")</f>
        <v>560</v>
      </c>
      <c r="C20" s="242" t="s">
        <v>499</v>
      </c>
      <c r="D20" s="242" t="s">
        <v>512</v>
      </c>
      <c r="E20" s="243"/>
      <c r="F20" s="243"/>
      <c r="G20" s="243"/>
      <c r="H20" s="243">
        <f>(80*0.25*6*95)*0.3</f>
        <v>3420</v>
      </c>
      <c r="I20" s="243">
        <f>(160*0.25*6*95)*0.3</f>
        <v>6840</v>
      </c>
      <c r="J20" s="243">
        <f>I20*1.01</f>
        <v>6908.4</v>
      </c>
      <c r="K20" s="244" t="s">
        <v>513</v>
      </c>
    </row>
    <row r="21" spans="2:11" x14ac:dyDescent="0.3">
      <c r="B21" s="45" t="str">
        <f>_xlfn.IFNA(VLOOKUP(C21,Inputs!$F$4:$G$43,2,0),"")</f>
        <v/>
      </c>
      <c r="C21" s="242"/>
      <c r="D21" s="242"/>
      <c r="E21" s="243"/>
      <c r="F21" s="243"/>
      <c r="G21" s="243"/>
      <c r="H21" s="243"/>
      <c r="I21" s="243"/>
      <c r="J21" s="243"/>
      <c r="K21" s="244"/>
    </row>
    <row r="22" spans="2:11" x14ac:dyDescent="0.3">
      <c r="B22" s="45" t="str">
        <f>_xlfn.IFNA(VLOOKUP(C22,Inputs!$F$4:$G$43,2,0),"")</f>
        <v/>
      </c>
      <c r="C22" s="242"/>
      <c r="D22" s="242"/>
      <c r="E22" s="243"/>
      <c r="F22" s="243"/>
      <c r="G22" s="243"/>
      <c r="H22" s="243"/>
      <c r="I22" s="243"/>
      <c r="J22" s="243"/>
      <c r="K22" s="244"/>
    </row>
    <row r="23" spans="2:11" x14ac:dyDescent="0.3">
      <c r="B23" s="45" t="str">
        <f>_xlfn.IFNA(VLOOKUP(C23,Inputs!$F$4:$G$43,2,0),"")</f>
        <v/>
      </c>
      <c r="C23" s="242"/>
      <c r="D23" s="242"/>
      <c r="E23" s="243"/>
      <c r="F23" s="243"/>
      <c r="G23" s="243"/>
      <c r="H23" s="243"/>
      <c r="I23" s="243"/>
      <c r="J23" s="243"/>
      <c r="K23" s="244"/>
    </row>
    <row r="24" spans="2:11" x14ac:dyDescent="0.3">
      <c r="B24" s="45" t="str">
        <f>_xlfn.IFNA(VLOOKUP(C24,Inputs!$F$4:$G$43,2,0),"")</f>
        <v/>
      </c>
      <c r="C24" s="242"/>
      <c r="D24" s="242"/>
      <c r="E24" s="243"/>
      <c r="F24" s="243"/>
      <c r="G24" s="243"/>
      <c r="H24" s="243"/>
      <c r="I24" s="243"/>
      <c r="J24" s="243"/>
      <c r="K24" s="244"/>
    </row>
    <row r="25" spans="2:11" x14ac:dyDescent="0.3">
      <c r="B25" s="45" t="str">
        <f>_xlfn.IFNA(VLOOKUP(C25,Inputs!$F$4:$G$43,2,0),"")</f>
        <v/>
      </c>
      <c r="C25" s="242"/>
      <c r="D25" s="242"/>
      <c r="E25" s="243"/>
      <c r="F25" s="243"/>
      <c r="G25" s="243"/>
      <c r="H25" s="243"/>
      <c r="I25" s="243"/>
      <c r="J25" s="243"/>
      <c r="K25" s="244"/>
    </row>
    <row r="26" spans="2:11" x14ac:dyDescent="0.3">
      <c r="B26" s="45" t="str">
        <f>_xlfn.IFNA(VLOOKUP(C26,Inputs!$F$4:$G$43,2,0),"")</f>
        <v/>
      </c>
      <c r="C26" s="242"/>
      <c r="D26" s="242"/>
      <c r="E26" s="243"/>
      <c r="F26" s="243"/>
      <c r="G26" s="243"/>
      <c r="H26" s="243"/>
      <c r="I26" s="243"/>
      <c r="J26" s="243"/>
      <c r="K26" s="244"/>
    </row>
    <row r="27" spans="2:11" x14ac:dyDescent="0.3">
      <c r="B27" s="45" t="str">
        <f>_xlfn.IFNA(VLOOKUP(C27,Inputs!$F$4:$G$43,2,0),"")</f>
        <v/>
      </c>
      <c r="C27" s="242"/>
      <c r="D27" s="242"/>
      <c r="E27" s="243"/>
      <c r="F27" s="243"/>
      <c r="G27" s="243"/>
      <c r="H27" s="243"/>
      <c r="I27" s="243"/>
      <c r="J27" s="243"/>
      <c r="K27" s="244"/>
    </row>
    <row r="28" spans="2:11" x14ac:dyDescent="0.3">
      <c r="B28" s="45"/>
      <c r="C28" s="144" t="s">
        <v>364</v>
      </c>
      <c r="D28" s="139"/>
      <c r="E28" s="123"/>
      <c r="F28" s="123"/>
      <c r="G28" s="123"/>
      <c r="H28" s="123"/>
      <c r="I28" s="123"/>
      <c r="J28" s="123"/>
      <c r="K28" s="138"/>
    </row>
    <row r="29" spans="2:11" x14ac:dyDescent="0.3">
      <c r="B29" s="45">
        <f>_xlfn.IFNA(VLOOKUP(C29,Inputs!$F$4:$G$43,2,0),"")</f>
        <v>340</v>
      </c>
      <c r="C29" s="242" t="s">
        <v>365</v>
      </c>
      <c r="D29" s="242" t="s">
        <v>366</v>
      </c>
      <c r="E29" s="243"/>
      <c r="F29" s="243">
        <f>500*Enrollment!D27</f>
        <v>13600.000000000002</v>
      </c>
      <c r="G29" s="243">
        <f>550*Enrollment!E27</f>
        <v>29920.000000000004</v>
      </c>
      <c r="H29" s="243">
        <f>550*Enrollment!F27</f>
        <v>44880.000000000007</v>
      </c>
      <c r="I29" s="243">
        <f>550*Enrollment!G27</f>
        <v>52360</v>
      </c>
      <c r="J29" s="243">
        <f>550*Enrollment!H27</f>
        <v>53295</v>
      </c>
      <c r="K29" s="244" t="s">
        <v>521</v>
      </c>
    </row>
    <row r="30" spans="2:11" x14ac:dyDescent="0.3">
      <c r="B30" s="45">
        <f>_xlfn.IFNA(VLOOKUP(C30,Inputs!$F$4:$G$43,2,0),"")</f>
        <v>340</v>
      </c>
      <c r="C30" s="242" t="s">
        <v>365</v>
      </c>
      <c r="D30" s="242" t="s">
        <v>504</v>
      </c>
      <c r="E30" s="243"/>
      <c r="F30" s="243">
        <v>0</v>
      </c>
      <c r="G30" s="243">
        <v>35000</v>
      </c>
      <c r="H30" s="243">
        <f>G30*1.05</f>
        <v>36750</v>
      </c>
      <c r="I30" s="243">
        <f t="shared" ref="I30:J30" si="2">H30*1.05</f>
        <v>38587.5</v>
      </c>
      <c r="J30" s="243">
        <f t="shared" si="2"/>
        <v>40516.875</v>
      </c>
      <c r="K30" s="244" t="s">
        <v>505</v>
      </c>
    </row>
    <row r="31" spans="2:11" x14ac:dyDescent="0.3">
      <c r="B31" s="45" t="str">
        <f>_xlfn.IFNA(VLOOKUP(C31,Inputs!$F$4:$G$43,2,0),"")</f>
        <v/>
      </c>
      <c r="C31" s="242"/>
      <c r="D31" s="242"/>
      <c r="E31" s="243"/>
      <c r="F31" s="243"/>
      <c r="G31" s="243"/>
      <c r="H31" s="243"/>
      <c r="I31" s="243"/>
      <c r="J31" s="243"/>
      <c r="K31" s="244"/>
    </row>
    <row r="32" spans="2:11" x14ac:dyDescent="0.3">
      <c r="B32" s="45" t="str">
        <f>_xlfn.IFNA(VLOOKUP(C32,Inputs!$F$4:$G$43,2,0),"")</f>
        <v/>
      </c>
      <c r="C32" s="242"/>
      <c r="D32" s="242"/>
      <c r="E32" s="243"/>
      <c r="F32" s="243"/>
      <c r="G32" s="243"/>
      <c r="H32" s="243"/>
      <c r="I32" s="243"/>
      <c r="J32" s="243"/>
      <c r="K32" s="244"/>
    </row>
    <row r="33" spans="2:11" x14ac:dyDescent="0.3">
      <c r="B33" s="45" t="str">
        <f>_xlfn.IFNA(VLOOKUP(C33,Inputs!$F$4:$G$43,2,0),"")</f>
        <v/>
      </c>
      <c r="C33" s="242"/>
      <c r="D33" s="242"/>
      <c r="E33" s="243"/>
      <c r="F33" s="243"/>
      <c r="G33" s="243"/>
      <c r="H33" s="243"/>
      <c r="I33" s="243"/>
      <c r="J33" s="243"/>
      <c r="K33" s="244"/>
    </row>
    <row r="34" spans="2:11" x14ac:dyDescent="0.3">
      <c r="B34" s="45" t="str">
        <f>_xlfn.IFNA(VLOOKUP(C34,Inputs!$F$4:$G$43,2,0),"")</f>
        <v/>
      </c>
      <c r="C34" s="242"/>
      <c r="D34" s="242"/>
      <c r="E34" s="243"/>
      <c r="F34" s="243"/>
      <c r="G34" s="243"/>
      <c r="H34" s="243"/>
      <c r="I34" s="243"/>
      <c r="J34" s="243"/>
      <c r="K34" s="244"/>
    </row>
    <row r="35" spans="2:11" x14ac:dyDescent="0.3">
      <c r="B35" s="45" t="str">
        <f>_xlfn.IFNA(VLOOKUP(C35,Inputs!$F$4:$G$43,2,0),"")</f>
        <v/>
      </c>
      <c r="C35" s="242"/>
      <c r="D35" s="242"/>
      <c r="E35" s="243"/>
      <c r="F35" s="243"/>
      <c r="G35" s="243"/>
      <c r="H35" s="243"/>
      <c r="I35" s="243"/>
      <c r="J35" s="243"/>
      <c r="K35" s="244"/>
    </row>
    <row r="36" spans="2:11" x14ac:dyDescent="0.3">
      <c r="B36" s="45" t="str">
        <f>_xlfn.IFNA(VLOOKUP(C36,Inputs!$F$4:$G$43,2,0),"")</f>
        <v/>
      </c>
      <c r="C36" s="242"/>
      <c r="D36" s="242"/>
      <c r="E36" s="243"/>
      <c r="F36" s="243"/>
      <c r="G36" s="243"/>
      <c r="H36" s="243"/>
      <c r="I36" s="243"/>
      <c r="J36" s="243"/>
      <c r="K36" s="244"/>
    </row>
    <row r="37" spans="2:11" x14ac:dyDescent="0.3">
      <c r="B37" s="45" t="str">
        <f>_xlfn.IFNA(VLOOKUP(C37,Inputs!$F$4:$G$43,2,0),"")</f>
        <v/>
      </c>
      <c r="C37" s="242"/>
      <c r="D37" s="242"/>
      <c r="E37" s="243"/>
      <c r="F37" s="243"/>
      <c r="G37" s="243"/>
      <c r="H37" s="243"/>
      <c r="I37" s="243"/>
      <c r="J37" s="243"/>
      <c r="K37" s="244"/>
    </row>
    <row r="38" spans="2:11" x14ac:dyDescent="0.3">
      <c r="B38" s="45" t="str">
        <f>_xlfn.IFNA(VLOOKUP(C38,Inputs!$F$4:$G$43,2,0),"")</f>
        <v/>
      </c>
      <c r="C38" s="242"/>
      <c r="D38" s="242"/>
      <c r="E38" s="243"/>
      <c r="F38" s="243"/>
      <c r="G38" s="243"/>
      <c r="H38" s="243"/>
      <c r="I38" s="243"/>
      <c r="J38" s="243"/>
      <c r="K38" s="244"/>
    </row>
    <row r="39" spans="2:11" x14ac:dyDescent="0.3">
      <c r="B39" s="45" t="str">
        <f>_xlfn.IFNA(VLOOKUP(C39,Inputs!$F$4:$G$43,2,0),"")</f>
        <v/>
      </c>
      <c r="C39" s="242"/>
      <c r="D39" s="242"/>
      <c r="E39" s="243"/>
      <c r="F39" s="243"/>
      <c r="G39" s="243"/>
      <c r="H39" s="243"/>
      <c r="I39" s="243"/>
      <c r="J39" s="243"/>
      <c r="K39" s="244"/>
    </row>
    <row r="40" spans="2:11" x14ac:dyDescent="0.3">
      <c r="B40" s="45" t="str">
        <f>_xlfn.IFNA(VLOOKUP(C40,Inputs!$F$4:$G$43,2,0),"")</f>
        <v/>
      </c>
      <c r="C40" s="242"/>
      <c r="D40" s="242"/>
      <c r="E40" s="243"/>
      <c r="F40" s="243"/>
      <c r="G40" s="243"/>
      <c r="H40" s="243"/>
      <c r="I40" s="243"/>
      <c r="J40" s="243"/>
      <c r="K40" s="244"/>
    </row>
    <row r="41" spans="2:11" x14ac:dyDescent="0.3">
      <c r="B41" s="45" t="str">
        <f>_xlfn.IFNA(VLOOKUP(C41,Inputs!$F$4:$G$43,2,0),"")</f>
        <v/>
      </c>
      <c r="C41" s="242"/>
      <c r="D41" s="242"/>
      <c r="E41" s="243"/>
      <c r="F41" s="243"/>
      <c r="G41" s="243"/>
      <c r="H41" s="243"/>
      <c r="I41" s="243"/>
      <c r="J41" s="243"/>
      <c r="K41" s="244"/>
    </row>
    <row r="42" spans="2:11" x14ac:dyDescent="0.3">
      <c r="B42" s="45" t="str">
        <f>_xlfn.IFNA(VLOOKUP(C42,Inputs!$F$4:$G$43,2,0),"")</f>
        <v/>
      </c>
      <c r="C42" s="242"/>
      <c r="D42" s="242"/>
      <c r="E42" s="243"/>
      <c r="F42" s="243"/>
      <c r="G42" s="243"/>
      <c r="H42" s="243"/>
      <c r="I42" s="243"/>
      <c r="J42" s="243"/>
      <c r="K42" s="244"/>
    </row>
    <row r="43" spans="2:11" x14ac:dyDescent="0.3">
      <c r="B43" s="45" t="str">
        <f>_xlfn.IFNA(VLOOKUP(C43,Inputs!$F$4:$G$43,2,0),"")</f>
        <v/>
      </c>
      <c r="C43" s="245"/>
      <c r="D43" s="245"/>
      <c r="E43" s="246"/>
      <c r="F43" s="246"/>
      <c r="G43" s="246"/>
      <c r="H43" s="246"/>
      <c r="I43" s="246"/>
      <c r="J43" s="246"/>
      <c r="K43" s="247"/>
    </row>
    <row r="44" spans="2:11" x14ac:dyDescent="0.3">
      <c r="B44" s="45"/>
      <c r="C44" s="117"/>
      <c r="D44" s="137" t="s">
        <v>367</v>
      </c>
      <c r="E44" s="123">
        <f t="shared" ref="E44:J44" si="3">SUM(E13:E43)</f>
        <v>1500</v>
      </c>
      <c r="F44" s="123">
        <f t="shared" si="3"/>
        <v>91600</v>
      </c>
      <c r="G44" s="123">
        <f t="shared" si="3"/>
        <v>263920</v>
      </c>
      <c r="H44" s="123">
        <f t="shared" si="3"/>
        <v>408570</v>
      </c>
      <c r="I44" s="123">
        <f t="shared" si="3"/>
        <v>509327.5</v>
      </c>
      <c r="J44" s="123">
        <f t="shared" si="3"/>
        <v>552150.67500000005</v>
      </c>
      <c r="K44" s="138"/>
    </row>
    <row r="45" spans="2:11" x14ac:dyDescent="0.3">
      <c r="B45" s="45"/>
      <c r="C45" s="117"/>
      <c r="D45" s="137" t="s">
        <v>331</v>
      </c>
      <c r="E45" s="124"/>
      <c r="F45" s="128">
        <f>IFERROR(F44/F$8,"-")</f>
        <v>572.5</v>
      </c>
      <c r="G45" s="128">
        <f>IFERROR(G44/G$8,"-")</f>
        <v>824.75</v>
      </c>
      <c r="H45" s="128">
        <f>IFERROR(H44/H$8,"-")</f>
        <v>851.1875</v>
      </c>
      <c r="I45" s="128">
        <f>IFERROR(I44/I$8,"-")</f>
        <v>909.51339285714289</v>
      </c>
      <c r="J45" s="128">
        <f>IFERROR(J44/J$8,"-")</f>
        <v>968.68539473684223</v>
      </c>
      <c r="K45" s="138"/>
    </row>
    <row r="46" spans="2:11" x14ac:dyDescent="0.3">
      <c r="B46" s="45"/>
      <c r="C46" s="117" t="s">
        <v>368</v>
      </c>
      <c r="D46" s="139"/>
      <c r="E46" s="123"/>
      <c r="F46" s="123"/>
      <c r="G46" s="123"/>
      <c r="H46" s="123"/>
      <c r="I46" s="123"/>
      <c r="J46" s="123"/>
      <c r="K46" s="138"/>
    </row>
    <row r="47" spans="2:11" x14ac:dyDescent="0.3">
      <c r="B47" s="45">
        <f>_xlfn.IFNA(VLOOKUP(C47,Inputs!$F$4:$G$43,2,0),"")</f>
        <v>591</v>
      </c>
      <c r="C47" s="139" t="s">
        <v>369</v>
      </c>
      <c r="D47" s="139" t="s">
        <v>370</v>
      </c>
      <c r="E47" s="123"/>
      <c r="F47" s="123">
        <f>Revenue!E$36*0.0125</f>
        <v>19004</v>
      </c>
      <c r="G47" s="123">
        <f>Revenue!F$36*0.0125</f>
        <v>38008</v>
      </c>
      <c r="H47" s="123">
        <f>Revenue!G$36*0.0125</f>
        <v>57012</v>
      </c>
      <c r="I47" s="123">
        <f>Revenue!H$36*0.0125</f>
        <v>66514</v>
      </c>
      <c r="J47" s="123">
        <f>Revenue!I$36*0.0125</f>
        <v>67701.75</v>
      </c>
      <c r="K47" s="138" t="s">
        <v>371</v>
      </c>
    </row>
    <row r="48" spans="2:11" x14ac:dyDescent="0.3">
      <c r="B48" s="45">
        <f>_xlfn.IFNA(VLOOKUP(C48,Inputs!$F$4:$G$43,2,0),"")</f>
        <v>340</v>
      </c>
      <c r="C48" s="242" t="s">
        <v>365</v>
      </c>
      <c r="D48" s="242" t="s">
        <v>372</v>
      </c>
      <c r="E48" s="243">
        <v>5000</v>
      </c>
      <c r="F48" s="243">
        <v>25000</v>
      </c>
      <c r="G48" s="243">
        <v>35000</v>
      </c>
      <c r="H48" s="243">
        <v>35000</v>
      </c>
      <c r="I48" s="243">
        <v>35000</v>
      </c>
      <c r="J48" s="243">
        <v>35000</v>
      </c>
      <c r="K48" s="244"/>
    </row>
    <row r="49" spans="2:11" x14ac:dyDescent="0.3">
      <c r="B49" s="45">
        <f>_xlfn.IFNA(VLOOKUP(C49,Inputs!$F$4:$G$43,2,0),"")</f>
        <v>345</v>
      </c>
      <c r="C49" s="242" t="s">
        <v>373</v>
      </c>
      <c r="D49" s="242" t="s">
        <v>374</v>
      </c>
      <c r="E49" s="243">
        <v>10000</v>
      </c>
      <c r="F49" s="243">
        <v>2500</v>
      </c>
      <c r="G49" s="243">
        <v>2500</v>
      </c>
      <c r="H49" s="243">
        <v>2500</v>
      </c>
      <c r="I49" s="243">
        <v>2500</v>
      </c>
      <c r="J49" s="243">
        <v>2500</v>
      </c>
      <c r="K49" s="244" t="s">
        <v>536</v>
      </c>
    </row>
    <row r="50" spans="2:11" ht="27.6" x14ac:dyDescent="0.3">
      <c r="B50" s="45">
        <f>_xlfn.IFNA(VLOOKUP(C50,Inputs!$F$4:$G$43,2,0),"")</f>
        <v>350</v>
      </c>
      <c r="C50" s="242" t="s">
        <v>363</v>
      </c>
      <c r="D50" s="242" t="s">
        <v>375</v>
      </c>
      <c r="E50" s="243">
        <v>1000</v>
      </c>
      <c r="F50" s="243">
        <f>(500*12)+(25*G8)</f>
        <v>14000</v>
      </c>
      <c r="G50" s="243">
        <f>500*12+(25*G8)</f>
        <v>14000</v>
      </c>
      <c r="H50" s="243">
        <f>500*12+(25*H8)</f>
        <v>18000</v>
      </c>
      <c r="I50" s="243">
        <f>500*12+(25*I8)</f>
        <v>20000</v>
      </c>
      <c r="J50" s="243">
        <f>500*12+(25*J8)</f>
        <v>20250</v>
      </c>
      <c r="K50" s="244" t="s">
        <v>376</v>
      </c>
    </row>
    <row r="51" spans="2:11" x14ac:dyDescent="0.3">
      <c r="B51" s="45">
        <f>_xlfn.IFNA(VLOOKUP(C51,Inputs!$F$4:$G$43,2,0),"")</f>
        <v>360</v>
      </c>
      <c r="C51" s="242" t="s">
        <v>377</v>
      </c>
      <c r="D51" s="242" t="s">
        <v>378</v>
      </c>
      <c r="E51" s="243"/>
      <c r="F51" s="243">
        <f>1600*10</f>
        <v>16000</v>
      </c>
      <c r="G51" s="243">
        <f>F51*1.03</f>
        <v>16480</v>
      </c>
      <c r="H51" s="243">
        <f t="shared" ref="H51:J51" si="4">G51*1.03</f>
        <v>16974.400000000001</v>
      </c>
      <c r="I51" s="243">
        <f t="shared" si="4"/>
        <v>17483.632000000001</v>
      </c>
      <c r="J51" s="243">
        <f t="shared" si="4"/>
        <v>18008.140960000001</v>
      </c>
      <c r="K51" s="244" t="s">
        <v>379</v>
      </c>
    </row>
    <row r="52" spans="2:11" ht="27.6" x14ac:dyDescent="0.3">
      <c r="B52" s="45">
        <f>_xlfn.IFNA(VLOOKUP(C52,Inputs!$F$4:$G$43,2,0),"")</f>
        <v>320</v>
      </c>
      <c r="C52" s="242" t="s">
        <v>355</v>
      </c>
      <c r="D52" s="242" t="s">
        <v>380</v>
      </c>
      <c r="E52" s="243">
        <f>2500*12</f>
        <v>30000</v>
      </c>
      <c r="F52" s="243">
        <v>0</v>
      </c>
      <c r="G52" s="243">
        <v>0</v>
      </c>
      <c r="H52" s="243">
        <v>0</v>
      </c>
      <c r="I52" s="243">
        <v>0</v>
      </c>
      <c r="J52" s="243">
        <v>0</v>
      </c>
      <c r="K52" s="244" t="s">
        <v>381</v>
      </c>
    </row>
    <row r="53" spans="2:11" x14ac:dyDescent="0.3">
      <c r="B53" s="45">
        <f>_xlfn.IFNA(VLOOKUP(C53,Inputs!$F$4:$G$43,2,0),"")</f>
        <v>345</v>
      </c>
      <c r="C53" s="242" t="s">
        <v>373</v>
      </c>
      <c r="D53" s="242" t="s">
        <v>382</v>
      </c>
      <c r="E53" s="243">
        <v>20000</v>
      </c>
      <c r="F53" s="243">
        <v>15000</v>
      </c>
      <c r="G53" s="243">
        <v>20000</v>
      </c>
      <c r="H53" s="243">
        <v>25000</v>
      </c>
      <c r="I53" s="243">
        <v>25000</v>
      </c>
      <c r="J53" s="243">
        <v>30000</v>
      </c>
      <c r="K53" s="244" t="s">
        <v>383</v>
      </c>
    </row>
    <row r="54" spans="2:11" x14ac:dyDescent="0.3">
      <c r="B54" s="45">
        <f>_xlfn.IFNA(VLOOKUP(C54,Inputs!$F$4:$G$43,2,0),"")</f>
        <v>530</v>
      </c>
      <c r="C54" s="242" t="s">
        <v>384</v>
      </c>
      <c r="D54" s="242"/>
      <c r="E54" s="243">
        <v>1500</v>
      </c>
      <c r="F54" s="243">
        <f>1500*12</f>
        <v>18000</v>
      </c>
      <c r="G54" s="243">
        <f>F54*1.05</f>
        <v>18900</v>
      </c>
      <c r="H54" s="243">
        <f t="shared" ref="H54:J54" si="5">G54*1.05</f>
        <v>19845</v>
      </c>
      <c r="I54" s="243">
        <f t="shared" si="5"/>
        <v>20837.25</v>
      </c>
      <c r="J54" s="243">
        <f t="shared" si="5"/>
        <v>21879.112499999999</v>
      </c>
      <c r="K54" s="244" t="s">
        <v>535</v>
      </c>
    </row>
    <row r="55" spans="2:11" ht="27.6" x14ac:dyDescent="0.3">
      <c r="B55" s="45">
        <f>_xlfn.IFNA(VLOOKUP(C55,Inputs!$F$4:$G$43,2,0),"")</f>
        <v>340</v>
      </c>
      <c r="C55" s="242" t="s">
        <v>365</v>
      </c>
      <c r="D55" s="242" t="s">
        <v>385</v>
      </c>
      <c r="E55" s="243">
        <f>65000*0.5</f>
        <v>32500</v>
      </c>
      <c r="F55" s="243">
        <v>65000</v>
      </c>
      <c r="G55" s="243">
        <f>F55*1.05</f>
        <v>68250</v>
      </c>
      <c r="H55" s="243">
        <f t="shared" ref="H55:J55" si="6">G55*1.05</f>
        <v>71662.5</v>
      </c>
      <c r="I55" s="243">
        <f t="shared" si="6"/>
        <v>75245.625</v>
      </c>
      <c r="J55" s="243">
        <f t="shared" si="6"/>
        <v>79007.90625</v>
      </c>
      <c r="K55" s="244" t="s">
        <v>386</v>
      </c>
    </row>
    <row r="56" spans="2:11" x14ac:dyDescent="0.3">
      <c r="B56" s="45">
        <f>_xlfn.IFNA(VLOOKUP(C56,Inputs!$F$4:$G$43,2,0),"")</f>
        <v>810</v>
      </c>
      <c r="C56" s="242" t="s">
        <v>387</v>
      </c>
      <c r="D56" s="242" t="s">
        <v>515</v>
      </c>
      <c r="E56" s="243"/>
      <c r="F56" s="243">
        <f>5*F8</f>
        <v>800</v>
      </c>
      <c r="G56" s="243">
        <f t="shared" ref="G56:J56" si="7">5*G8</f>
        <v>1600</v>
      </c>
      <c r="H56" s="243">
        <f t="shared" si="7"/>
        <v>2400</v>
      </c>
      <c r="I56" s="243">
        <f t="shared" si="7"/>
        <v>2800</v>
      </c>
      <c r="J56" s="243">
        <f t="shared" si="7"/>
        <v>2850</v>
      </c>
      <c r="K56" s="244" t="s">
        <v>534</v>
      </c>
    </row>
    <row r="57" spans="2:11" x14ac:dyDescent="0.3">
      <c r="B57" s="45">
        <f>_xlfn.IFNA(VLOOKUP(C57,Inputs!$F$4:$G$43,2,0),"")</f>
        <v>360</v>
      </c>
      <c r="C57" s="242" t="s">
        <v>377</v>
      </c>
      <c r="D57" s="242" t="s">
        <v>516</v>
      </c>
      <c r="E57" s="243">
        <f>0.028*F86</f>
        <v>0</v>
      </c>
      <c r="F57" s="243"/>
      <c r="G57" s="243"/>
      <c r="H57" s="243"/>
      <c r="I57" s="243"/>
      <c r="J57" s="243"/>
      <c r="K57" s="244" t="s">
        <v>517</v>
      </c>
    </row>
    <row r="58" spans="2:11" x14ac:dyDescent="0.3">
      <c r="B58" s="45">
        <f>_xlfn.IFNA(VLOOKUP(C58,Inputs!$F$4:$G$43,2,0),"")</f>
        <v>360</v>
      </c>
      <c r="C58" s="242" t="s">
        <v>377</v>
      </c>
      <c r="D58" s="242" t="s">
        <v>540</v>
      </c>
      <c r="E58" s="243">
        <f>25*20*30</f>
        <v>15000</v>
      </c>
      <c r="F58" s="243">
        <f>E58*1.03</f>
        <v>15450</v>
      </c>
      <c r="G58" s="243">
        <f t="shared" ref="G58:J58" si="8">F58*1.03</f>
        <v>15913.5</v>
      </c>
      <c r="H58" s="243">
        <f t="shared" si="8"/>
        <v>16390.904999999999</v>
      </c>
      <c r="I58" s="243">
        <f t="shared" si="8"/>
        <v>16882.632149999998</v>
      </c>
      <c r="J58" s="243">
        <f t="shared" si="8"/>
        <v>17389.1111145</v>
      </c>
      <c r="K58" s="244" t="s">
        <v>541</v>
      </c>
    </row>
    <row r="59" spans="2:11" x14ac:dyDescent="0.3">
      <c r="B59" s="45">
        <f>_xlfn.IFNA(VLOOKUP(C59,Inputs!$F$4:$G$43,2,0),"")</f>
        <v>580</v>
      </c>
      <c r="C59" s="242" t="s">
        <v>500</v>
      </c>
      <c r="D59" s="242" t="s">
        <v>544</v>
      </c>
      <c r="E59" s="243"/>
      <c r="F59" s="243">
        <f>500*2</f>
        <v>1000</v>
      </c>
      <c r="G59" s="243">
        <f>500*3</f>
        <v>1500</v>
      </c>
      <c r="H59" s="243">
        <f>500*4</f>
        <v>2000</v>
      </c>
      <c r="I59" s="243">
        <f t="shared" ref="I59:J59" si="9">500*4</f>
        <v>2000</v>
      </c>
      <c r="J59" s="243">
        <f t="shared" si="9"/>
        <v>2000</v>
      </c>
      <c r="K59" s="244" t="s">
        <v>545</v>
      </c>
    </row>
    <row r="60" spans="2:11" x14ac:dyDescent="0.3">
      <c r="B60" s="45" t="str">
        <f>_xlfn.IFNA(VLOOKUP(C60,Inputs!$F$4:$G$43,2,0),"")</f>
        <v/>
      </c>
      <c r="C60" s="242"/>
      <c r="D60" s="242"/>
      <c r="E60" s="243"/>
      <c r="F60" s="243"/>
      <c r="G60" s="243"/>
      <c r="H60" s="243"/>
      <c r="I60" s="243"/>
      <c r="J60" s="243"/>
      <c r="K60" s="244"/>
    </row>
    <row r="61" spans="2:11" x14ac:dyDescent="0.3">
      <c r="B61" s="45" t="str">
        <f>_xlfn.IFNA(VLOOKUP(C61,Inputs!$F$4:$G$43,2,0),"")</f>
        <v/>
      </c>
      <c r="C61" s="245"/>
      <c r="D61" s="245"/>
      <c r="E61" s="246"/>
      <c r="F61" s="246"/>
      <c r="G61" s="246"/>
      <c r="H61" s="246"/>
      <c r="I61" s="246"/>
      <c r="J61" s="246"/>
      <c r="K61" s="247"/>
    </row>
    <row r="62" spans="2:11" x14ac:dyDescent="0.3">
      <c r="B62" s="45"/>
      <c r="C62" s="117"/>
      <c r="D62" s="137" t="s">
        <v>388</v>
      </c>
      <c r="E62" s="123">
        <f>SUM(E47:E61)</f>
        <v>115000</v>
      </c>
      <c r="F62" s="123">
        <f t="shared" ref="F62:I62" si="10">SUM(F47:F61)</f>
        <v>191754</v>
      </c>
      <c r="G62" s="123">
        <f t="shared" si="10"/>
        <v>232151.5</v>
      </c>
      <c r="H62" s="123">
        <f t="shared" si="10"/>
        <v>266784.80499999999</v>
      </c>
      <c r="I62" s="123">
        <f t="shared" si="10"/>
        <v>284263.13915</v>
      </c>
      <c r="J62" s="123">
        <f>SUM(J47:J61)</f>
        <v>296586.02082449995</v>
      </c>
      <c r="K62" s="138"/>
    </row>
    <row r="63" spans="2:11" x14ac:dyDescent="0.3">
      <c r="B63" s="45"/>
      <c r="C63" s="117"/>
      <c r="D63" s="137" t="s">
        <v>331</v>
      </c>
      <c r="E63" s="124"/>
      <c r="F63" s="128">
        <f>IFERROR(F62/F$8,"-")</f>
        <v>1198.4625000000001</v>
      </c>
      <c r="G63" s="128">
        <f>IFERROR(G62/G$8,"-")</f>
        <v>725.47343750000005</v>
      </c>
      <c r="H63" s="128">
        <f>IFERROR(H62/H$8,"-")</f>
        <v>555.80167708333329</v>
      </c>
      <c r="I63" s="128">
        <f>IFERROR(I62/I$8,"-")</f>
        <v>507.61274848214288</v>
      </c>
      <c r="J63" s="128">
        <f>IFERROR(J62/J$8,"-")</f>
        <v>520.32635232368409</v>
      </c>
      <c r="K63" s="138"/>
    </row>
    <row r="64" spans="2:11" x14ac:dyDescent="0.3">
      <c r="B64" s="45"/>
      <c r="C64" s="144" t="s">
        <v>389</v>
      </c>
      <c r="D64" s="139"/>
      <c r="E64" s="123"/>
      <c r="F64" s="123"/>
      <c r="G64" s="123"/>
      <c r="H64" s="123"/>
      <c r="I64" s="123"/>
      <c r="J64" s="123"/>
      <c r="K64" s="138"/>
    </row>
    <row r="65" spans="2:11" x14ac:dyDescent="0.3">
      <c r="B65" s="45">
        <f>_xlfn.IFNA(VLOOKUP(C65,Inputs!$F$4:$G$43,2,0),"")</f>
        <v>432</v>
      </c>
      <c r="C65" s="242" t="s">
        <v>390</v>
      </c>
      <c r="D65" s="242" t="s">
        <v>391</v>
      </c>
      <c r="E65" s="243"/>
      <c r="F65" s="243">
        <v>500</v>
      </c>
      <c r="G65" s="243">
        <v>500</v>
      </c>
      <c r="H65" s="243">
        <v>500</v>
      </c>
      <c r="I65" s="243">
        <v>500</v>
      </c>
      <c r="J65" s="243">
        <v>500</v>
      </c>
      <c r="K65" s="244" t="s">
        <v>392</v>
      </c>
    </row>
    <row r="66" spans="2:11" x14ac:dyDescent="0.3">
      <c r="B66" s="45">
        <f>_xlfn.IFNA(VLOOKUP(C66,Inputs!$F$4:$G$43,2,0),"")</f>
        <v>570</v>
      </c>
      <c r="C66" s="242" t="s">
        <v>393</v>
      </c>
      <c r="D66" s="242" t="s">
        <v>394</v>
      </c>
      <c r="E66" s="243"/>
      <c r="F66" s="243">
        <f>25*F8</f>
        <v>4000</v>
      </c>
      <c r="G66" s="243">
        <f t="shared" ref="G66:J66" si="11">25*G8</f>
        <v>8000</v>
      </c>
      <c r="H66" s="243">
        <f t="shared" si="11"/>
        <v>12000</v>
      </c>
      <c r="I66" s="243">
        <f t="shared" si="11"/>
        <v>14000</v>
      </c>
      <c r="J66" s="243">
        <f t="shared" si="11"/>
        <v>14250</v>
      </c>
      <c r="K66" s="244" t="s">
        <v>395</v>
      </c>
    </row>
    <row r="67" spans="2:11" x14ac:dyDescent="0.3">
      <c r="B67" s="45">
        <f>_xlfn.IFNA(VLOOKUP(C67,Inputs!$F$4:$G$43,2,0),"")</f>
        <v>510</v>
      </c>
      <c r="C67" s="242" t="s">
        <v>396</v>
      </c>
      <c r="D67" s="242" t="s">
        <v>397</v>
      </c>
      <c r="E67" s="243"/>
      <c r="F67" s="243">
        <f>Revenue!E37</f>
        <v>76960</v>
      </c>
      <c r="G67" s="243">
        <f>Revenue!F37</f>
        <v>153920</v>
      </c>
      <c r="H67" s="243">
        <f>Revenue!G37</f>
        <v>230880</v>
      </c>
      <c r="I67" s="243">
        <f>Revenue!H37</f>
        <v>269360</v>
      </c>
      <c r="J67" s="243">
        <f>Revenue!I37</f>
        <v>274170</v>
      </c>
      <c r="K67" s="244" t="s">
        <v>508</v>
      </c>
    </row>
    <row r="68" spans="2:11" x14ac:dyDescent="0.3">
      <c r="B68" s="45">
        <f>_xlfn.IFNA(VLOOKUP(C68,Inputs!$F$4:$G$43,2,0),"")</f>
        <v>510</v>
      </c>
      <c r="C68" s="242" t="s">
        <v>396</v>
      </c>
      <c r="D68" s="242" t="s">
        <v>510</v>
      </c>
      <c r="E68" s="243"/>
      <c r="F68" s="243">
        <v>0</v>
      </c>
      <c r="G68" s="243">
        <v>0</v>
      </c>
      <c r="H68" s="243">
        <f>(481*H8)*0.05</f>
        <v>11544</v>
      </c>
      <c r="I68" s="243">
        <f t="shared" ref="I68:J68" si="12">(481*I8)*0.05</f>
        <v>13468</v>
      </c>
      <c r="J68" s="243">
        <f t="shared" si="12"/>
        <v>13708.5</v>
      </c>
      <c r="K68" s="244" t="s">
        <v>509</v>
      </c>
    </row>
    <row r="69" spans="2:11" x14ac:dyDescent="0.3">
      <c r="B69" s="45" t="str">
        <f>_xlfn.IFNA(VLOOKUP(C69,Inputs!$F$4:$G$43,2,0),"")</f>
        <v/>
      </c>
      <c r="C69" s="242"/>
      <c r="D69" s="242"/>
      <c r="E69" s="243"/>
      <c r="F69" s="243"/>
      <c r="G69" s="243"/>
      <c r="H69" s="243"/>
      <c r="I69" s="243"/>
      <c r="J69" s="243"/>
      <c r="K69" s="244"/>
    </row>
    <row r="70" spans="2:11" x14ac:dyDescent="0.3">
      <c r="B70" s="45" t="str">
        <f>_xlfn.IFNA(VLOOKUP(C70,Inputs!$F$4:$G$43,2,0),"")</f>
        <v/>
      </c>
      <c r="C70" s="242"/>
      <c r="D70" s="242"/>
      <c r="E70" s="243"/>
      <c r="F70" s="243"/>
      <c r="G70" s="243"/>
      <c r="H70" s="243"/>
      <c r="I70" s="243"/>
      <c r="J70" s="243"/>
      <c r="K70" s="244"/>
    </row>
    <row r="71" spans="2:11" x14ac:dyDescent="0.3">
      <c r="B71" s="45" t="str">
        <f>_xlfn.IFNA(VLOOKUP(C71,Inputs!$F$4:$G$43,2,0),"")</f>
        <v/>
      </c>
      <c r="C71" s="242"/>
      <c r="D71" s="242"/>
      <c r="E71" s="243"/>
      <c r="F71" s="243"/>
      <c r="G71" s="243"/>
      <c r="H71" s="243"/>
      <c r="I71" s="243"/>
      <c r="J71" s="243"/>
      <c r="K71" s="244"/>
    </row>
    <row r="72" spans="2:11" x14ac:dyDescent="0.3">
      <c r="B72" s="45" t="str">
        <f>_xlfn.IFNA(VLOOKUP(C72,Inputs!$F$4:$G$43,2,0),"")</f>
        <v/>
      </c>
      <c r="C72" s="242"/>
      <c r="D72" s="242"/>
      <c r="E72" s="243"/>
      <c r="F72" s="243"/>
      <c r="G72" s="243"/>
      <c r="H72" s="243"/>
      <c r="I72" s="243"/>
      <c r="J72" s="243"/>
      <c r="K72" s="244"/>
    </row>
    <row r="73" spans="2:11" x14ac:dyDescent="0.3">
      <c r="B73" s="45" t="str">
        <f>_xlfn.IFNA(VLOOKUP(C73,Inputs!$F$4:$G$43,2,0),"")</f>
        <v/>
      </c>
      <c r="C73" s="242"/>
      <c r="D73" s="242"/>
      <c r="E73" s="243"/>
      <c r="F73" s="243"/>
      <c r="G73" s="243"/>
      <c r="H73" s="243"/>
      <c r="I73" s="243"/>
      <c r="J73" s="243"/>
      <c r="K73" s="244"/>
    </row>
    <row r="74" spans="2:11" x14ac:dyDescent="0.3">
      <c r="B74" s="45" t="str">
        <f>_xlfn.IFNA(VLOOKUP(C74,Inputs!$F$4:$G$43,2,0),"")</f>
        <v/>
      </c>
      <c r="C74" s="242"/>
      <c r="D74" s="242"/>
      <c r="E74" s="243"/>
      <c r="F74" s="243"/>
      <c r="G74" s="243"/>
      <c r="H74" s="243"/>
      <c r="I74" s="243"/>
      <c r="J74" s="243"/>
      <c r="K74" s="244"/>
    </row>
    <row r="75" spans="2:11" x14ac:dyDescent="0.3">
      <c r="B75" s="45" t="str">
        <f>_xlfn.IFNA(VLOOKUP(C75,Inputs!$F$4:$G$43,2,0),"")</f>
        <v/>
      </c>
      <c r="C75" s="242"/>
      <c r="D75" s="242"/>
      <c r="E75" s="243"/>
      <c r="F75" s="243"/>
      <c r="G75" s="243"/>
      <c r="H75" s="243"/>
      <c r="I75" s="243"/>
      <c r="J75" s="243"/>
      <c r="K75" s="244"/>
    </row>
    <row r="76" spans="2:11" x14ac:dyDescent="0.3">
      <c r="B76" s="45" t="str">
        <f>_xlfn.IFNA(VLOOKUP(C76,Inputs!$F$4:$G$43,2,0),"")</f>
        <v/>
      </c>
      <c r="C76" s="242"/>
      <c r="D76" s="242"/>
      <c r="E76" s="243"/>
      <c r="F76" s="243"/>
      <c r="G76" s="243"/>
      <c r="H76" s="243"/>
      <c r="I76" s="243"/>
      <c r="J76" s="243"/>
      <c r="K76" s="244"/>
    </row>
    <row r="77" spans="2:11" x14ac:dyDescent="0.3">
      <c r="B77" s="45" t="str">
        <f>_xlfn.IFNA(VLOOKUP(C77,Inputs!$F$4:$G$43,2,0),"")</f>
        <v/>
      </c>
      <c r="C77" s="242"/>
      <c r="D77" s="242"/>
      <c r="E77" s="243"/>
      <c r="F77" s="243"/>
      <c r="G77" s="243"/>
      <c r="H77" s="243"/>
      <c r="I77" s="243"/>
      <c r="J77" s="243"/>
      <c r="K77" s="244"/>
    </row>
    <row r="78" spans="2:11" x14ac:dyDescent="0.3">
      <c r="B78" s="45" t="str">
        <f>_xlfn.IFNA(VLOOKUP(C78,Inputs!$F$4:$G$43,2,0),"")</f>
        <v/>
      </c>
      <c r="C78" s="242"/>
      <c r="D78" s="242"/>
      <c r="E78" s="243"/>
      <c r="F78" s="243"/>
      <c r="G78" s="243"/>
      <c r="H78" s="243"/>
      <c r="I78" s="243"/>
      <c r="J78" s="243"/>
      <c r="K78" s="244"/>
    </row>
    <row r="79" spans="2:11" x14ac:dyDescent="0.3">
      <c r="B79" s="45" t="str">
        <f>_xlfn.IFNA(VLOOKUP(C79,Inputs!$F$4:$G$43,2,0),"")</f>
        <v/>
      </c>
      <c r="C79" s="245"/>
      <c r="D79" s="245"/>
      <c r="E79" s="246"/>
      <c r="F79" s="246"/>
      <c r="G79" s="246"/>
      <c r="H79" s="246"/>
      <c r="I79" s="246"/>
      <c r="J79" s="246"/>
      <c r="K79" s="247"/>
    </row>
    <row r="80" spans="2:11" x14ac:dyDescent="0.3">
      <c r="B80" s="45"/>
      <c r="C80" s="117"/>
      <c r="D80" s="137" t="s">
        <v>398</v>
      </c>
      <c r="E80" s="123">
        <f>SUM(E65:E79)</f>
        <v>0</v>
      </c>
      <c r="F80" s="123">
        <f t="shared" ref="F80:J80" si="13">SUM(F65:F79)</f>
        <v>81460</v>
      </c>
      <c r="G80" s="123">
        <f t="shared" si="13"/>
        <v>162420</v>
      </c>
      <c r="H80" s="123">
        <f t="shared" si="13"/>
        <v>254924</v>
      </c>
      <c r="I80" s="123">
        <f t="shared" si="13"/>
        <v>297328</v>
      </c>
      <c r="J80" s="123">
        <f t="shared" si="13"/>
        <v>302628.5</v>
      </c>
      <c r="K80" s="138"/>
    </row>
    <row r="81" spans="2:11" x14ac:dyDescent="0.3">
      <c r="B81" s="45"/>
      <c r="C81" s="117"/>
      <c r="D81" s="137" t="s">
        <v>331</v>
      </c>
      <c r="E81" s="124"/>
      <c r="F81" s="128">
        <f>IFERROR(F80/F$8,"-")</f>
        <v>509.125</v>
      </c>
      <c r="G81" s="128">
        <f>IFERROR(G80/G$8,"-")</f>
        <v>507.5625</v>
      </c>
      <c r="H81" s="128">
        <f>IFERROR(H80/H$8,"-")</f>
        <v>531.0916666666667</v>
      </c>
      <c r="I81" s="128">
        <f>IFERROR(I80/I$8,"-")</f>
        <v>530.94285714285718</v>
      </c>
      <c r="J81" s="128">
        <f>IFERROR(J80/J$8,"-")</f>
        <v>530.92719298245618</v>
      </c>
      <c r="K81" s="138"/>
    </row>
    <row r="82" spans="2:11" x14ac:dyDescent="0.3">
      <c r="B82" s="45"/>
      <c r="C82" s="144" t="s">
        <v>399</v>
      </c>
      <c r="D82" s="139"/>
      <c r="E82" s="123"/>
      <c r="F82" s="123"/>
      <c r="G82" s="123"/>
      <c r="H82" s="123"/>
      <c r="I82" s="123"/>
      <c r="J82" s="123"/>
      <c r="K82" s="138"/>
    </row>
    <row r="83" spans="2:11" x14ac:dyDescent="0.3">
      <c r="B83" s="45">
        <f>_xlfn.IFNA(VLOOKUP(C83,Inputs!$F$4:$G$43,2,0),"")</f>
        <v>410</v>
      </c>
      <c r="C83" s="242" t="s">
        <v>400</v>
      </c>
      <c r="D83" s="242" t="s">
        <v>401</v>
      </c>
      <c r="E83" s="243"/>
      <c r="F83" s="243">
        <f>2000*12</f>
        <v>24000</v>
      </c>
      <c r="G83" s="243">
        <f>F83*1.05</f>
        <v>25200</v>
      </c>
      <c r="H83" s="243">
        <f t="shared" ref="H83:J83" si="14">G83*1.05</f>
        <v>26460</v>
      </c>
      <c r="I83" s="243">
        <f t="shared" si="14"/>
        <v>27783</v>
      </c>
      <c r="J83" s="243">
        <f t="shared" si="14"/>
        <v>29172.15</v>
      </c>
      <c r="K83" s="244" t="s">
        <v>402</v>
      </c>
    </row>
    <row r="84" spans="2:11" x14ac:dyDescent="0.3">
      <c r="B84" s="45">
        <f>_xlfn.IFNA(VLOOKUP(C84,Inputs!$F$4:$G$43,2,0),"")</f>
        <v>420</v>
      </c>
      <c r="C84" s="242" t="s">
        <v>403</v>
      </c>
      <c r="D84" s="242" t="s">
        <v>404</v>
      </c>
      <c r="E84" s="243">
        <v>5000</v>
      </c>
      <c r="F84" s="243">
        <f>2000*12</f>
        <v>24000</v>
      </c>
      <c r="G84" s="243">
        <f>F84*1.03</f>
        <v>24720</v>
      </c>
      <c r="H84" s="243">
        <f t="shared" ref="H84:J84" si="15">G84*1.03</f>
        <v>25461.600000000002</v>
      </c>
      <c r="I84" s="243">
        <f t="shared" si="15"/>
        <v>26225.448000000004</v>
      </c>
      <c r="J84" s="243">
        <f t="shared" si="15"/>
        <v>27012.211440000006</v>
      </c>
      <c r="K84" s="244" t="s">
        <v>405</v>
      </c>
    </row>
    <row r="85" spans="2:11" x14ac:dyDescent="0.3">
      <c r="B85" s="45">
        <f>_xlfn.IFNA(VLOOKUP(C85,Inputs!$F$4:$G$43,2,0),"")</f>
        <v>431</v>
      </c>
      <c r="C85" s="242" t="s">
        <v>406</v>
      </c>
      <c r="D85" s="242"/>
      <c r="E85" s="243"/>
      <c r="F85" s="243">
        <v>5000</v>
      </c>
      <c r="G85" s="243">
        <f>F85*1.2</f>
        <v>6000</v>
      </c>
      <c r="H85" s="243">
        <f t="shared" ref="H85:J85" si="16">G85*1.2</f>
        <v>7200</v>
      </c>
      <c r="I85" s="243">
        <f t="shared" si="16"/>
        <v>8640</v>
      </c>
      <c r="J85" s="243">
        <f t="shared" si="16"/>
        <v>10368</v>
      </c>
      <c r="K85" s="244" t="s">
        <v>407</v>
      </c>
    </row>
    <row r="86" spans="2:11" x14ac:dyDescent="0.3">
      <c r="B86" s="45" t="str">
        <f>_xlfn.IFNA(VLOOKUP(C86,Inputs!$F$4:$G$43,2,0),"")</f>
        <v/>
      </c>
      <c r="C86" s="242"/>
      <c r="D86" s="242"/>
      <c r="E86" s="243"/>
      <c r="F86" s="243"/>
      <c r="G86" s="243"/>
      <c r="H86" s="243"/>
      <c r="I86" s="243"/>
      <c r="J86" s="243"/>
      <c r="K86" s="244"/>
    </row>
    <row r="87" spans="2:11" x14ac:dyDescent="0.3">
      <c r="B87" s="45">
        <f>_xlfn.IFNA(VLOOKUP(C87,Inputs!$F$4:$G$43,2,0),"")</f>
        <v>521</v>
      </c>
      <c r="C87" s="242" t="s">
        <v>409</v>
      </c>
      <c r="D87" s="242"/>
      <c r="E87" s="243"/>
      <c r="F87" s="243">
        <v>5000</v>
      </c>
      <c r="G87" s="243">
        <f>1500*12</f>
        <v>18000</v>
      </c>
      <c r="H87" s="243">
        <f>G87*1.02</f>
        <v>18360</v>
      </c>
      <c r="I87" s="243">
        <f t="shared" ref="I87:J87" si="17">H87*1.02</f>
        <v>18727.2</v>
      </c>
      <c r="J87" s="243">
        <f t="shared" si="17"/>
        <v>19101.744000000002</v>
      </c>
      <c r="K87" s="244" t="s">
        <v>410</v>
      </c>
    </row>
    <row r="88" spans="2:11" x14ac:dyDescent="0.3">
      <c r="B88" s="45">
        <f>_xlfn.IFNA(VLOOKUP(C88,Inputs!$F$4:$G$43,2,0),"")</f>
        <v>522</v>
      </c>
      <c r="C88" s="242" t="s">
        <v>411</v>
      </c>
      <c r="D88" s="242"/>
      <c r="E88" s="243"/>
      <c r="F88" s="243">
        <v>18000</v>
      </c>
      <c r="G88" s="243">
        <v>25000</v>
      </c>
      <c r="H88" s="243">
        <v>25000</v>
      </c>
      <c r="I88" s="243">
        <v>25000</v>
      </c>
      <c r="J88" s="243">
        <v>25000</v>
      </c>
      <c r="K88" s="244" t="s">
        <v>546</v>
      </c>
    </row>
    <row r="89" spans="2:11" x14ac:dyDescent="0.3">
      <c r="B89" s="45">
        <f>_xlfn.IFNA(VLOOKUP(C89,Inputs!$F$4:$G$43,2,0),"")</f>
        <v>442</v>
      </c>
      <c r="C89" s="242" t="s">
        <v>412</v>
      </c>
      <c r="D89" s="242" t="s">
        <v>413</v>
      </c>
      <c r="E89" s="243"/>
      <c r="F89" s="243">
        <f>400*12</f>
        <v>4800</v>
      </c>
      <c r="G89" s="243">
        <f>F89*2*1.03</f>
        <v>9888</v>
      </c>
      <c r="H89" s="243">
        <f>G89*1.1</f>
        <v>10876.800000000001</v>
      </c>
      <c r="I89" s="243">
        <f t="shared" ref="I89:J89" si="18">H89*1.03</f>
        <v>11203.104000000001</v>
      </c>
      <c r="J89" s="243">
        <f t="shared" si="18"/>
        <v>11539.197120000001</v>
      </c>
      <c r="K89" s="244"/>
    </row>
    <row r="90" spans="2:11" x14ac:dyDescent="0.3">
      <c r="B90" s="45" t="str">
        <f>_xlfn.IFNA(VLOOKUP(C90,Inputs!$F$4:$G$43,2,0),"")</f>
        <v/>
      </c>
      <c r="C90" s="242"/>
      <c r="D90" s="242"/>
      <c r="E90" s="243"/>
      <c r="F90" s="243"/>
      <c r="G90" s="243"/>
      <c r="H90" s="243"/>
      <c r="I90" s="243"/>
      <c r="J90" s="243"/>
      <c r="K90" s="244"/>
    </row>
    <row r="91" spans="2:11" x14ac:dyDescent="0.3">
      <c r="B91" s="45" t="str">
        <f>_xlfn.IFNA(VLOOKUP(C91,Inputs!$F$4:$G$43,2,0),"")</f>
        <v/>
      </c>
      <c r="C91" s="242"/>
      <c r="D91" s="242"/>
      <c r="E91" s="243"/>
      <c r="F91" s="243"/>
      <c r="G91" s="243"/>
      <c r="H91" s="243"/>
      <c r="I91" s="243"/>
      <c r="J91" s="243"/>
      <c r="K91" s="244"/>
    </row>
    <row r="92" spans="2:11" x14ac:dyDescent="0.3">
      <c r="B92" s="45" t="str">
        <f>_xlfn.IFNA(VLOOKUP(C92,Inputs!$F$4:$G$43,2,0),"")</f>
        <v/>
      </c>
      <c r="C92" s="242"/>
      <c r="D92" s="242"/>
      <c r="E92" s="243"/>
      <c r="F92" s="243"/>
      <c r="G92" s="243"/>
      <c r="H92" s="243"/>
      <c r="I92" s="243"/>
      <c r="J92" s="243"/>
      <c r="K92" s="244"/>
    </row>
    <row r="93" spans="2:11" x14ac:dyDescent="0.3">
      <c r="B93" s="45" t="str">
        <f>_xlfn.IFNA(VLOOKUP(C93,Inputs!$F$4:$G$43,2,0),"")</f>
        <v/>
      </c>
      <c r="C93" s="242"/>
      <c r="D93" s="242"/>
      <c r="E93" s="243"/>
      <c r="F93" s="243"/>
      <c r="G93" s="243"/>
      <c r="H93" s="243"/>
      <c r="I93" s="243"/>
      <c r="J93" s="243"/>
      <c r="K93" s="244"/>
    </row>
    <row r="94" spans="2:11" x14ac:dyDescent="0.3">
      <c r="B94" s="45" t="str">
        <f>_xlfn.IFNA(VLOOKUP(C94,Inputs!$F$4:$G$43,2,0),"")</f>
        <v/>
      </c>
      <c r="C94" s="242"/>
      <c r="D94" s="242"/>
      <c r="E94" s="243"/>
      <c r="F94" s="243"/>
      <c r="G94" s="243"/>
      <c r="H94" s="243"/>
      <c r="I94" s="243"/>
      <c r="J94" s="243"/>
      <c r="K94" s="244"/>
    </row>
    <row r="95" spans="2:11" x14ac:dyDescent="0.3">
      <c r="B95" s="45" t="str">
        <f>_xlfn.IFNA(VLOOKUP(C95,Inputs!$F$4:$G$43,2,0),"")</f>
        <v/>
      </c>
      <c r="C95" s="242"/>
      <c r="D95" s="242"/>
      <c r="E95" s="243"/>
      <c r="F95" s="243"/>
      <c r="G95" s="243"/>
      <c r="H95" s="243"/>
      <c r="I95" s="243"/>
      <c r="J95" s="243"/>
      <c r="K95" s="244"/>
    </row>
    <row r="96" spans="2:11" x14ac:dyDescent="0.3">
      <c r="B96" s="45" t="str">
        <f>_xlfn.IFNA(VLOOKUP(C96,Inputs!$F$4:$G$43,2,0),"")</f>
        <v/>
      </c>
      <c r="C96" s="242"/>
      <c r="D96" s="242"/>
      <c r="E96" s="232"/>
      <c r="F96" s="232"/>
      <c r="G96" s="232"/>
      <c r="H96" s="232"/>
      <c r="I96" s="232"/>
      <c r="J96" s="232"/>
      <c r="K96" s="244"/>
    </row>
    <row r="97" spans="2:11" x14ac:dyDescent="0.3">
      <c r="B97" s="45" t="str">
        <f>_xlfn.IFNA(VLOOKUP(C97,Inputs!$F$4:$G$43,2,0),"")</f>
        <v/>
      </c>
      <c r="C97" s="245"/>
      <c r="D97" s="245"/>
      <c r="E97" s="246"/>
      <c r="F97" s="246"/>
      <c r="G97" s="246"/>
      <c r="H97" s="246"/>
      <c r="I97" s="246"/>
      <c r="J97" s="246"/>
      <c r="K97" s="247"/>
    </row>
    <row r="98" spans="2:11" x14ac:dyDescent="0.3">
      <c r="B98" s="45"/>
      <c r="C98" s="117"/>
      <c r="D98" s="137" t="s">
        <v>414</v>
      </c>
      <c r="E98" s="123">
        <f>SUM(E83:E97)</f>
        <v>5000</v>
      </c>
      <c r="F98" s="123">
        <f t="shared" ref="F98:J98" si="19">SUM(F83:F97)</f>
        <v>80800</v>
      </c>
      <c r="G98" s="123">
        <f t="shared" si="19"/>
        <v>108808</v>
      </c>
      <c r="H98" s="123">
        <f t="shared" si="19"/>
        <v>113358.40000000001</v>
      </c>
      <c r="I98" s="123">
        <f t="shared" si="19"/>
        <v>117578.75200000001</v>
      </c>
      <c r="J98" s="123">
        <f t="shared" si="19"/>
        <v>122193.30256000001</v>
      </c>
      <c r="K98" s="138"/>
    </row>
    <row r="99" spans="2:11" ht="15" thickBot="1" x14ac:dyDescent="0.35">
      <c r="B99" s="45"/>
      <c r="C99" s="122"/>
      <c r="D99" s="146" t="s">
        <v>331</v>
      </c>
      <c r="E99" s="125"/>
      <c r="F99" s="129">
        <f>IFERROR(F98/F$8,"-")</f>
        <v>505</v>
      </c>
      <c r="G99" s="129">
        <f>IFERROR(G98/G$8,"-")</f>
        <v>340.02499999999998</v>
      </c>
      <c r="H99" s="129">
        <f>IFERROR(H98/H$8,"-")</f>
        <v>236.16333333333336</v>
      </c>
      <c r="I99" s="129">
        <f>IFERROR(I98/I$8,"-")</f>
        <v>209.96205714285716</v>
      </c>
      <c r="J99" s="129">
        <f>IFERROR(J98/J$8,"-")</f>
        <v>214.37421501754389</v>
      </c>
      <c r="K99" s="140"/>
    </row>
    <row r="100" spans="2:11" ht="21.6" customHeight="1" thickTop="1" x14ac:dyDescent="0.3">
      <c r="B100" s="141"/>
      <c r="C100" s="142"/>
      <c r="D100" s="159" t="s">
        <v>415</v>
      </c>
      <c r="E100" s="160">
        <f>E98+E80+E62+E44</f>
        <v>121500</v>
      </c>
      <c r="F100" s="160">
        <f t="shared" ref="F100:J100" si="20">F98+F80+F62+F44</f>
        <v>445614</v>
      </c>
      <c r="G100" s="160">
        <f t="shared" si="20"/>
        <v>767299.5</v>
      </c>
      <c r="H100" s="160">
        <f t="shared" si="20"/>
        <v>1043637.2050000001</v>
      </c>
      <c r="I100" s="160">
        <f t="shared" si="20"/>
        <v>1208497.39115</v>
      </c>
      <c r="J100" s="160">
        <f t="shared" si="20"/>
        <v>1273558.4983844999</v>
      </c>
      <c r="K100" s="46"/>
    </row>
    <row r="101" spans="2:11" ht="20.399999999999999" customHeight="1" x14ac:dyDescent="0.3">
      <c r="B101" s="47"/>
      <c r="C101" s="3"/>
      <c r="D101" s="143" t="s">
        <v>127</v>
      </c>
      <c r="E101" s="126"/>
      <c r="F101" s="130">
        <f>IFERROR(F100/F$8,"-")</f>
        <v>2785.0875000000001</v>
      </c>
      <c r="G101" s="130">
        <f>IFERROR(G100/G$8,"-")</f>
        <v>2397.8109374999999</v>
      </c>
      <c r="H101" s="130">
        <f>IFERROR(H100/H$8,"-")</f>
        <v>2174.2441770833334</v>
      </c>
      <c r="I101" s="130">
        <f>IFERROR(I100/I$8,"-")</f>
        <v>2158.0310556250001</v>
      </c>
      <c r="J101" s="130">
        <f>IFERROR(J100/J$8,"-")</f>
        <v>2234.3131550605262</v>
      </c>
      <c r="K101" s="48"/>
    </row>
    <row r="102" spans="2:11" x14ac:dyDescent="0.3">
      <c r="B102" s="1"/>
    </row>
    <row r="103" spans="2:11" x14ac:dyDescent="0.3">
      <c r="B103" s="1"/>
    </row>
    <row r="104" spans="2:11" x14ac:dyDescent="0.3">
      <c r="B104" s="1"/>
    </row>
    <row r="105" spans="2:11" x14ac:dyDescent="0.3">
      <c r="B105" s="1"/>
    </row>
    <row r="106" spans="2:11" x14ac:dyDescent="0.3">
      <c r="B106" s="1"/>
    </row>
    <row r="107" spans="2:11" x14ac:dyDescent="0.3">
      <c r="B107" s="1"/>
    </row>
    <row r="108" spans="2:11" x14ac:dyDescent="0.3">
      <c r="B108" s="1"/>
    </row>
    <row r="109" spans="2:11" x14ac:dyDescent="0.3">
      <c r="B109" s="1"/>
    </row>
  </sheetData>
  <sheetProtection algorithmName="SHA-512" hashValue="DPNpJlrukgIcK4UEZJpL4b0MmIHAH8ETRej0NpI0L138ovViEQFlHYhrdaPAE0T24NuyVIjIUNYU497IYRwQ8g==" saltValue="ZffC5koCxF2pIgp9OV15UQ==" spinCount="100000" sheet="1" objects="1" scenarios="1"/>
  <mergeCells count="1">
    <mergeCell ref="C5:J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B5D93E0-F0A2-46EF-A961-D9C9C29BC6EA}">
          <x14:formula1>
            <xm:f>Inputs!$F$4:$F$42</xm:f>
          </x14:formula1>
          <xm:sqref>C13:C27 C47:C61 C29:C43 C65:C79 C83:C97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CFBB7-561A-42EF-8BB3-5BA2EE20A2F8}">
  <dimension ref="B1:K49"/>
  <sheetViews>
    <sheetView zoomScaleNormal="100" workbookViewId="0">
      <pane xSplit="4" ySplit="11" topLeftCell="E20" activePane="bottomRight" state="frozen"/>
      <selection pane="topRight" activeCell="E1" sqref="E1"/>
      <selection pane="bottomLeft" activeCell="A12" sqref="A12"/>
      <selection pane="bottomRight" activeCell="J29" sqref="J29"/>
    </sheetView>
  </sheetViews>
  <sheetFormatPr defaultRowHeight="14.4" x14ac:dyDescent="0.3"/>
  <cols>
    <col min="1" max="1" width="5.88671875" customWidth="1"/>
    <col min="2" max="2" width="13.109375" customWidth="1"/>
    <col min="3" max="3" width="49.44140625" style="2" customWidth="1"/>
    <col min="4" max="4" width="45" style="2" customWidth="1"/>
    <col min="5" max="10" width="13.88671875" customWidth="1"/>
    <col min="11" max="11" width="58" customWidth="1"/>
  </cols>
  <sheetData>
    <row r="1" spans="2:11" ht="18" x14ac:dyDescent="0.35">
      <c r="B1" s="36" t="s">
        <v>78</v>
      </c>
      <c r="C1" s="38" t="str">
        <f>Summary!C1</f>
        <v>Nexus Academy</v>
      </c>
    </row>
    <row r="2" spans="2:11" ht="18" x14ac:dyDescent="0.35">
      <c r="B2" s="36" t="s">
        <v>79</v>
      </c>
      <c r="C2" s="38" t="str">
        <f>Summary!C2</f>
        <v>Las Vegas (89015, 89011, 89122, 89121)</v>
      </c>
    </row>
    <row r="3" spans="2:11" ht="18" x14ac:dyDescent="0.35">
      <c r="B3" s="36" t="s">
        <v>80</v>
      </c>
      <c r="C3" s="38">
        <f>Summary!C3</f>
        <v>2027</v>
      </c>
    </row>
    <row r="4" spans="2:11" ht="18" x14ac:dyDescent="0.35">
      <c r="B4" s="36"/>
      <c r="C4" s="38"/>
      <c r="E4" s="67"/>
    </row>
    <row r="5" spans="2:11" ht="21" x14ac:dyDescent="0.4">
      <c r="B5" s="36"/>
      <c r="C5" s="266" t="s">
        <v>416</v>
      </c>
      <c r="D5" s="266"/>
      <c r="E5" s="266"/>
      <c r="F5" s="266"/>
      <c r="G5" s="266"/>
      <c r="H5" s="266"/>
      <c r="I5" s="266"/>
      <c r="J5" s="266"/>
    </row>
    <row r="7" spans="2:11" ht="16.2" thickBot="1" x14ac:dyDescent="0.35">
      <c r="D7" s="65" t="s">
        <v>82</v>
      </c>
      <c r="E7" s="66" t="str">
        <f>($C$3-1)&amp;"-"&amp;($C$3+0)</f>
        <v>2026-2027</v>
      </c>
      <c r="F7" s="66" t="str">
        <f>($C$3+0)&amp;"-"&amp;($C$3+1)</f>
        <v>2027-2028</v>
      </c>
      <c r="G7" s="66" t="str">
        <f>($C$3+1)&amp;"-"&amp;($C$3+2)</f>
        <v>2028-2029</v>
      </c>
      <c r="H7" s="66" t="str">
        <f>($C$3+2)&amp;"-"&amp;($C$3+3)</f>
        <v>2029-2030</v>
      </c>
      <c r="I7" s="66" t="str">
        <f>($C$3+3)&amp;"-"&amp;($C$3+4)</f>
        <v>2030-2031</v>
      </c>
      <c r="J7" s="66" t="str">
        <f>($C$3+4)&amp;"-"&amp;($C$3+5)</f>
        <v>2031-2032</v>
      </c>
    </row>
    <row r="8" spans="2:11" x14ac:dyDescent="0.3">
      <c r="D8" s="84" t="s">
        <v>83</v>
      </c>
      <c r="E8" s="80"/>
      <c r="F8" s="57">
        <f>Enrollment!D$23</f>
        <v>160</v>
      </c>
      <c r="G8" s="57">
        <f>Enrollment!E$23</f>
        <v>320</v>
      </c>
      <c r="H8" s="57">
        <f>Enrollment!F$23</f>
        <v>480</v>
      </c>
      <c r="I8" s="57">
        <f>Enrollment!G$23</f>
        <v>560</v>
      </c>
      <c r="J8" s="57">
        <f>Enrollment!H$23</f>
        <v>570</v>
      </c>
    </row>
    <row r="9" spans="2:11" x14ac:dyDescent="0.3">
      <c r="D9" s="37" t="s">
        <v>84</v>
      </c>
      <c r="E9" s="131"/>
      <c r="F9" s="81"/>
      <c r="G9" s="73">
        <f>Enrollment!E24</f>
        <v>1</v>
      </c>
      <c r="H9" s="73">
        <f>Enrollment!F24</f>
        <v>0.5</v>
      </c>
      <c r="I9" s="73">
        <f>Enrollment!G24</f>
        <v>0.16666666666666666</v>
      </c>
      <c r="J9" s="73">
        <f>Enrollment!H24</f>
        <v>1.7857142857142856E-2</v>
      </c>
    </row>
    <row r="10" spans="2:11" ht="15.6" x14ac:dyDescent="0.3">
      <c r="B10" s="1"/>
      <c r="E10" s="57"/>
      <c r="F10" s="127"/>
      <c r="G10" s="127"/>
      <c r="H10" s="127"/>
      <c r="I10" s="127"/>
      <c r="J10" s="127"/>
    </row>
    <row r="11" spans="2:11" ht="28.8" x14ac:dyDescent="0.3">
      <c r="B11" s="19" t="s">
        <v>309</v>
      </c>
      <c r="C11" s="23" t="s">
        <v>310</v>
      </c>
      <c r="D11" s="23" t="s">
        <v>311</v>
      </c>
      <c r="E11" s="60" t="s">
        <v>87</v>
      </c>
      <c r="F11" s="60" t="s">
        <v>88</v>
      </c>
      <c r="G11" s="60" t="s">
        <v>89</v>
      </c>
      <c r="H11" s="60" t="s">
        <v>90</v>
      </c>
      <c r="I11" s="60" t="s">
        <v>91</v>
      </c>
      <c r="J11" s="60" t="s">
        <v>92</v>
      </c>
      <c r="K11" s="20" t="s">
        <v>93</v>
      </c>
    </row>
    <row r="12" spans="2:11" ht="22.2" customHeight="1" x14ac:dyDescent="0.3">
      <c r="B12" s="132"/>
      <c r="C12" s="145" t="s">
        <v>417</v>
      </c>
      <c r="D12" s="134"/>
      <c r="E12" s="135"/>
      <c r="F12" s="135"/>
      <c r="G12" s="135"/>
      <c r="H12" s="135"/>
      <c r="I12" s="135"/>
      <c r="J12" s="135"/>
      <c r="K12" s="136"/>
    </row>
    <row r="13" spans="2:11" x14ac:dyDescent="0.3">
      <c r="B13" s="45">
        <f>_xlfn.IFNA(VLOOKUP(C13,Inputs!$I$4:$J$15,2,0),"")</f>
        <v>733</v>
      </c>
      <c r="C13" s="242" t="s">
        <v>418</v>
      </c>
      <c r="D13" s="242" t="s">
        <v>419</v>
      </c>
      <c r="E13" s="243">
        <v>40000</v>
      </c>
      <c r="F13" s="243"/>
      <c r="G13" s="243">
        <v>40000</v>
      </c>
      <c r="H13" s="243">
        <v>40000</v>
      </c>
      <c r="I13" s="243">
        <v>40000</v>
      </c>
      <c r="J13" s="243">
        <v>40000</v>
      </c>
      <c r="K13" s="244" t="s">
        <v>520</v>
      </c>
    </row>
    <row r="14" spans="2:11" x14ac:dyDescent="0.3">
      <c r="B14" s="45" t="str">
        <f>_xlfn.IFNA(VLOOKUP(C14,Inputs!$I$4:$J$15,2,0),"")</f>
        <v/>
      </c>
      <c r="C14" s="242"/>
      <c r="D14" s="242"/>
      <c r="E14" s="243"/>
      <c r="F14" s="243"/>
      <c r="G14" s="243"/>
      <c r="H14" s="243"/>
      <c r="I14" s="243"/>
      <c r="J14" s="243"/>
      <c r="K14" s="244"/>
    </row>
    <row r="15" spans="2:11" x14ac:dyDescent="0.3">
      <c r="B15" s="45" t="str">
        <f>_xlfn.IFNA(VLOOKUP(C15,Inputs!$I$4:$J$15,2,0),"")</f>
        <v/>
      </c>
      <c r="C15" s="242"/>
      <c r="D15" s="242"/>
      <c r="E15" s="243"/>
      <c r="F15" s="243"/>
      <c r="G15" s="243"/>
      <c r="H15" s="243"/>
      <c r="I15" s="243"/>
      <c r="J15" s="243"/>
      <c r="K15" s="244"/>
    </row>
    <row r="16" spans="2:11" x14ac:dyDescent="0.3">
      <c r="B16" s="45" t="str">
        <f>_xlfn.IFNA(VLOOKUP(C16,Inputs!$I$4:$J$15,2,0),"")</f>
        <v/>
      </c>
      <c r="C16" s="242"/>
      <c r="D16" s="242"/>
      <c r="E16" s="243"/>
      <c r="F16" s="243"/>
      <c r="G16" s="243"/>
      <c r="H16" s="243"/>
      <c r="I16" s="243"/>
      <c r="J16" s="243"/>
      <c r="K16" s="244"/>
    </row>
    <row r="17" spans="2:11" x14ac:dyDescent="0.3">
      <c r="B17" s="45" t="str">
        <f>_xlfn.IFNA(VLOOKUP(C17,Inputs!$I$4:$J$15,2,0),"")</f>
        <v/>
      </c>
      <c r="C17" s="242"/>
      <c r="D17" s="242"/>
      <c r="E17" s="243"/>
      <c r="F17" s="243"/>
      <c r="G17" s="243"/>
      <c r="H17" s="243"/>
      <c r="I17" s="243"/>
      <c r="J17" s="243"/>
      <c r="K17" s="244"/>
    </row>
    <row r="18" spans="2:11" x14ac:dyDescent="0.3">
      <c r="B18" s="45" t="str">
        <f>_xlfn.IFNA(VLOOKUP(C18,Inputs!$I$4:$J$15,2,0),"")</f>
        <v/>
      </c>
      <c r="C18" s="242"/>
      <c r="D18" s="242"/>
      <c r="E18" s="243"/>
      <c r="F18" s="243"/>
      <c r="G18" s="243"/>
      <c r="H18" s="243"/>
      <c r="I18" s="243"/>
      <c r="J18" s="243"/>
      <c r="K18" s="244"/>
    </row>
    <row r="19" spans="2:11" x14ac:dyDescent="0.3">
      <c r="B19" s="45" t="str">
        <f>_xlfn.IFNA(VLOOKUP(C19,Inputs!$I$4:$J$15,2,0),"")</f>
        <v/>
      </c>
      <c r="C19" s="242"/>
      <c r="D19" s="242"/>
      <c r="E19" s="243"/>
      <c r="F19" s="243"/>
      <c r="G19" s="243"/>
      <c r="H19" s="243"/>
      <c r="I19" s="243"/>
      <c r="J19" s="243"/>
      <c r="K19" s="244"/>
    </row>
    <row r="20" spans="2:11" x14ac:dyDescent="0.3">
      <c r="B20" s="45" t="str">
        <f>_xlfn.IFNA(VLOOKUP(C20,Inputs!$I$4:$J$15,2,0),"")</f>
        <v/>
      </c>
      <c r="C20" s="242"/>
      <c r="D20" s="242"/>
      <c r="E20" s="243"/>
      <c r="F20" s="243"/>
      <c r="G20" s="243"/>
      <c r="H20" s="243"/>
      <c r="I20" s="243"/>
      <c r="J20" s="243"/>
      <c r="K20" s="244"/>
    </row>
    <row r="21" spans="2:11" x14ac:dyDescent="0.3">
      <c r="B21" s="45" t="str">
        <f>_xlfn.IFNA(VLOOKUP(C21,Inputs!$I$4:$J$15,2,0),"")</f>
        <v/>
      </c>
      <c r="C21" s="242"/>
      <c r="D21" s="242"/>
      <c r="E21" s="243"/>
      <c r="F21" s="243"/>
      <c r="G21" s="243"/>
      <c r="H21" s="243"/>
      <c r="I21" s="243"/>
      <c r="J21" s="243"/>
      <c r="K21" s="244"/>
    </row>
    <row r="22" spans="2:11" x14ac:dyDescent="0.3">
      <c r="B22" s="45" t="str">
        <f>_xlfn.IFNA(VLOOKUP(C22,Inputs!$I$4:$J$15,2,0),"")</f>
        <v/>
      </c>
      <c r="C22" s="242"/>
      <c r="D22" s="242"/>
      <c r="E22" s="243"/>
      <c r="F22" s="243"/>
      <c r="G22" s="243"/>
      <c r="H22" s="243"/>
      <c r="I22" s="243"/>
      <c r="J22" s="243"/>
      <c r="K22" s="244"/>
    </row>
    <row r="23" spans="2:11" x14ac:dyDescent="0.3">
      <c r="B23" s="45" t="str">
        <f>_xlfn.IFNA(VLOOKUP(C23,Inputs!$I$4:$J$15,2,0),"")</f>
        <v/>
      </c>
      <c r="C23" s="242"/>
      <c r="D23" s="242"/>
      <c r="E23" s="243"/>
      <c r="F23" s="243"/>
      <c r="G23" s="243"/>
      <c r="H23" s="243"/>
      <c r="I23" s="243"/>
      <c r="J23" s="243"/>
      <c r="K23" s="244"/>
    </row>
    <row r="24" spans="2:11" x14ac:dyDescent="0.3">
      <c r="B24" s="45" t="str">
        <f>_xlfn.IFNA(VLOOKUP(C24,Inputs!$I$4:$J$15,2,0),"")</f>
        <v/>
      </c>
      <c r="C24" s="245"/>
      <c r="D24" s="245"/>
      <c r="E24" s="246"/>
      <c r="F24" s="246"/>
      <c r="G24" s="246"/>
      <c r="H24" s="246"/>
      <c r="I24" s="246"/>
      <c r="J24" s="246"/>
      <c r="K24" s="247"/>
    </row>
    <row r="25" spans="2:11" x14ac:dyDescent="0.3">
      <c r="B25" s="45"/>
      <c r="C25" s="117"/>
      <c r="D25" s="137" t="s">
        <v>420</v>
      </c>
      <c r="E25" s="123">
        <f t="shared" ref="E25:J25" si="0">SUM(E13:E24)</f>
        <v>40000</v>
      </c>
      <c r="F25" s="123">
        <f t="shared" si="0"/>
        <v>0</v>
      </c>
      <c r="G25" s="123">
        <f t="shared" si="0"/>
        <v>40000</v>
      </c>
      <c r="H25" s="123">
        <f t="shared" si="0"/>
        <v>40000</v>
      </c>
      <c r="I25" s="123">
        <f t="shared" si="0"/>
        <v>40000</v>
      </c>
      <c r="J25" s="123">
        <f t="shared" si="0"/>
        <v>40000</v>
      </c>
      <c r="K25" s="138"/>
    </row>
    <row r="26" spans="2:11" x14ac:dyDescent="0.3">
      <c r="B26" s="45"/>
      <c r="C26" s="117"/>
      <c r="D26" s="137" t="s">
        <v>331</v>
      </c>
      <c r="E26" s="124"/>
      <c r="F26" s="128">
        <f>IFERROR(F25/F$8,"-")</f>
        <v>0</v>
      </c>
      <c r="G26" s="128">
        <f>IFERROR(G25/G$8,"-")</f>
        <v>125</v>
      </c>
      <c r="H26" s="128">
        <f>IFERROR(H25/H$8,"-")</f>
        <v>83.333333333333329</v>
      </c>
      <c r="I26" s="128">
        <f>IFERROR(I25/I$8,"-")</f>
        <v>71.428571428571431</v>
      </c>
      <c r="J26" s="128">
        <f>IFERROR(J25/J$8,"-")</f>
        <v>70.175438596491233</v>
      </c>
      <c r="K26" s="138"/>
    </row>
    <row r="27" spans="2:11" x14ac:dyDescent="0.3">
      <c r="B27" s="45"/>
      <c r="C27" s="117" t="s">
        <v>421</v>
      </c>
      <c r="D27" s="139"/>
      <c r="E27" s="123"/>
      <c r="F27" s="123"/>
      <c r="G27" s="123"/>
      <c r="H27" s="123"/>
      <c r="I27" s="123"/>
      <c r="J27" s="123"/>
      <c r="K27" s="138"/>
    </row>
    <row r="28" spans="2:11" x14ac:dyDescent="0.3">
      <c r="B28" s="45">
        <f>_xlfn.IFNA(VLOOKUP(C28,Inputs!$L$4:$M$11,2,0),"")</f>
        <v>836</v>
      </c>
      <c r="C28" s="242" t="s">
        <v>472</v>
      </c>
      <c r="D28" s="242" t="s">
        <v>547</v>
      </c>
      <c r="E28" s="243">
        <f>45000*2</f>
        <v>90000</v>
      </c>
      <c r="F28" s="243">
        <f>45000*12</f>
        <v>540000</v>
      </c>
      <c r="G28" s="243">
        <f>F28*1.03</f>
        <v>556200</v>
      </c>
      <c r="H28" s="243">
        <f t="shared" ref="H28:J28" si="1">G28*1.03</f>
        <v>572886</v>
      </c>
      <c r="I28" s="243">
        <f t="shared" si="1"/>
        <v>590072.57999999996</v>
      </c>
      <c r="J28" s="243">
        <f t="shared" si="1"/>
        <v>607774.7574</v>
      </c>
      <c r="K28" s="244" t="s">
        <v>548</v>
      </c>
    </row>
    <row r="29" spans="2:11" ht="27.6" x14ac:dyDescent="0.3">
      <c r="B29" s="45" t="str">
        <f>_xlfn.IFNA(VLOOKUP(C29,Inputs!$L$4:$M$11,2,0),"")</f>
        <v/>
      </c>
      <c r="C29" s="242"/>
      <c r="D29" s="242"/>
      <c r="E29" s="243"/>
      <c r="F29" s="243"/>
      <c r="G29" s="243"/>
      <c r="H29" s="243"/>
      <c r="I29" s="243"/>
      <c r="J29" s="243"/>
      <c r="K29" s="244" t="s">
        <v>550</v>
      </c>
    </row>
    <row r="30" spans="2:11" x14ac:dyDescent="0.3">
      <c r="B30" s="45" t="str">
        <f>_xlfn.IFNA(VLOOKUP(C30,Inputs!$L$4:$M$11,2,0),"")</f>
        <v/>
      </c>
      <c r="C30" s="242"/>
      <c r="D30" s="242"/>
      <c r="E30" s="243"/>
      <c r="F30" s="243"/>
      <c r="G30" s="243"/>
      <c r="H30" s="243"/>
      <c r="I30" s="243"/>
      <c r="J30" s="243"/>
      <c r="K30" s="244" t="s">
        <v>549</v>
      </c>
    </row>
    <row r="31" spans="2:11" x14ac:dyDescent="0.3">
      <c r="B31" s="45" t="str">
        <f>_xlfn.IFNA(VLOOKUP(C31,Inputs!$L$4:$M$11,2,0),"")</f>
        <v/>
      </c>
      <c r="C31" s="242"/>
      <c r="D31" s="242"/>
      <c r="E31" s="243"/>
      <c r="F31" s="243"/>
      <c r="G31" s="243"/>
      <c r="H31" s="243"/>
      <c r="I31" s="243"/>
      <c r="J31" s="243"/>
      <c r="K31" s="244"/>
    </row>
    <row r="32" spans="2:11" x14ac:dyDescent="0.3">
      <c r="B32" s="45" t="str">
        <f>_xlfn.IFNA(VLOOKUP(C32,Inputs!$L$4:$M$11,2,0),"")</f>
        <v/>
      </c>
      <c r="C32" s="242"/>
      <c r="D32" s="242"/>
      <c r="E32" s="243"/>
      <c r="F32" s="243"/>
      <c r="G32" s="243"/>
      <c r="H32" s="243"/>
      <c r="I32" s="243"/>
      <c r="J32" s="243"/>
      <c r="K32" s="244"/>
    </row>
    <row r="33" spans="2:11" x14ac:dyDescent="0.3">
      <c r="B33" s="45" t="str">
        <f>_xlfn.IFNA(VLOOKUP(C33,Inputs!$L$4:$M$11,2,0),"")</f>
        <v/>
      </c>
      <c r="C33" s="242"/>
      <c r="D33" s="242"/>
      <c r="E33" s="243"/>
      <c r="F33" s="243"/>
      <c r="G33" s="243"/>
      <c r="H33" s="243"/>
      <c r="I33" s="243"/>
      <c r="J33" s="243"/>
      <c r="K33" s="244"/>
    </row>
    <row r="34" spans="2:11" x14ac:dyDescent="0.3">
      <c r="B34" s="45" t="str">
        <f>_xlfn.IFNA(VLOOKUP(C34,Inputs!$L$4:$M$11,2,0),"")</f>
        <v/>
      </c>
      <c r="C34" s="242"/>
      <c r="D34" s="242"/>
      <c r="E34" s="243"/>
      <c r="F34" s="243"/>
      <c r="G34" s="243"/>
      <c r="H34" s="243"/>
      <c r="I34" s="243"/>
      <c r="J34" s="243"/>
      <c r="K34" s="244"/>
    </row>
    <row r="35" spans="2:11" x14ac:dyDescent="0.3">
      <c r="B35" s="45" t="str">
        <f>_xlfn.IFNA(VLOOKUP(C35,Inputs!$L$4:$M$11,2,0),"")</f>
        <v/>
      </c>
      <c r="C35" s="242"/>
      <c r="D35" s="242"/>
      <c r="E35" s="243"/>
      <c r="F35" s="243"/>
      <c r="G35" s="243"/>
      <c r="H35" s="243"/>
      <c r="I35" s="243"/>
      <c r="J35" s="243"/>
      <c r="K35" s="244"/>
    </row>
    <row r="36" spans="2:11" x14ac:dyDescent="0.3">
      <c r="B36" s="45" t="str">
        <f>_xlfn.IFNA(VLOOKUP(C36,Inputs!$L$4:$M$11,2,0),"")</f>
        <v/>
      </c>
      <c r="C36" s="242"/>
      <c r="D36" s="242"/>
      <c r="E36" s="243"/>
      <c r="F36" s="243"/>
      <c r="G36" s="243"/>
      <c r="H36" s="243"/>
      <c r="I36" s="243"/>
      <c r="J36" s="243"/>
      <c r="K36" s="244"/>
    </row>
    <row r="37" spans="2:11" x14ac:dyDescent="0.3">
      <c r="B37" s="45" t="str">
        <f>_xlfn.IFNA(VLOOKUP(C37,Inputs!$L$4:$M$11,2,0),"")</f>
        <v/>
      </c>
      <c r="C37" s="245"/>
      <c r="D37" s="245"/>
      <c r="E37" s="246"/>
      <c r="F37" s="246"/>
      <c r="G37" s="246"/>
      <c r="H37" s="246"/>
      <c r="I37" s="246"/>
      <c r="J37" s="246"/>
      <c r="K37" s="247"/>
    </row>
    <row r="38" spans="2:11" x14ac:dyDescent="0.3">
      <c r="B38" s="45"/>
      <c r="C38" s="117"/>
      <c r="D38" s="137" t="s">
        <v>422</v>
      </c>
      <c r="E38" s="123">
        <f t="shared" ref="E38:J38" si="2">SUM(E28:E37)</f>
        <v>90000</v>
      </c>
      <c r="F38" s="123">
        <f t="shared" si="2"/>
        <v>540000</v>
      </c>
      <c r="G38" s="123">
        <f t="shared" si="2"/>
        <v>556200</v>
      </c>
      <c r="H38" s="123">
        <f t="shared" si="2"/>
        <v>572886</v>
      </c>
      <c r="I38" s="123">
        <f t="shared" si="2"/>
        <v>590072.57999999996</v>
      </c>
      <c r="J38" s="123">
        <f t="shared" si="2"/>
        <v>607774.7574</v>
      </c>
      <c r="K38" s="138"/>
    </row>
    <row r="39" spans="2:11" ht="15" thickBot="1" x14ac:dyDescent="0.35">
      <c r="B39" s="45"/>
      <c r="C39" s="122"/>
      <c r="D39" s="146" t="s">
        <v>331</v>
      </c>
      <c r="E39" s="125"/>
      <c r="F39" s="129">
        <f>IFERROR(F38/F$8,"-")</f>
        <v>3375</v>
      </c>
      <c r="G39" s="129">
        <f>IFERROR(G38/G$8,"-")</f>
        <v>1738.125</v>
      </c>
      <c r="H39" s="129">
        <f>IFERROR(H38/H$8,"-")</f>
        <v>1193.5125</v>
      </c>
      <c r="I39" s="129">
        <f>IFERROR(I38/I$8,"-")</f>
        <v>1053.7010357142856</v>
      </c>
      <c r="J39" s="129">
        <f>IFERROR(J38/J$8,"-")</f>
        <v>1066.2715042105262</v>
      </c>
      <c r="K39" s="138"/>
    </row>
    <row r="40" spans="2:11" ht="21.6" customHeight="1" thickTop="1" x14ac:dyDescent="0.3">
      <c r="B40" s="141"/>
      <c r="C40" s="142"/>
      <c r="D40" s="159" t="s">
        <v>423</v>
      </c>
      <c r="E40" s="160">
        <f>E25+E38</f>
        <v>130000</v>
      </c>
      <c r="F40" s="160">
        <f>F25+F38</f>
        <v>540000</v>
      </c>
      <c r="G40" s="160">
        <f t="shared" ref="G40:J40" si="3">G25+G38</f>
        <v>596200</v>
      </c>
      <c r="H40" s="160">
        <f t="shared" si="3"/>
        <v>612886</v>
      </c>
      <c r="I40" s="160">
        <f t="shared" si="3"/>
        <v>630072.57999999996</v>
      </c>
      <c r="J40" s="160">
        <f t="shared" si="3"/>
        <v>647774.7574</v>
      </c>
      <c r="K40" s="46"/>
    </row>
    <row r="41" spans="2:11" ht="20.399999999999999" customHeight="1" x14ac:dyDescent="0.3">
      <c r="B41" s="47"/>
      <c r="C41" s="3"/>
      <c r="D41" s="143" t="s">
        <v>352</v>
      </c>
      <c r="E41" s="126"/>
      <c r="F41" s="130">
        <f>IFERROR(F40/F$8,"-")</f>
        <v>3375</v>
      </c>
      <c r="G41" s="130">
        <f>IFERROR(G40/G$8,"-")</f>
        <v>1863.125</v>
      </c>
      <c r="H41" s="130">
        <f>IFERROR(H40/H$8,"-")</f>
        <v>1276.8458333333333</v>
      </c>
      <c r="I41" s="130">
        <f>IFERROR(I40/I$8,"-")</f>
        <v>1125.1296071428571</v>
      </c>
      <c r="J41" s="130">
        <f>IFERROR(J40/J$8,"-")</f>
        <v>1136.4469428070176</v>
      </c>
      <c r="K41" s="48"/>
    </row>
    <row r="42" spans="2:11" x14ac:dyDescent="0.3">
      <c r="B42" s="1"/>
    </row>
    <row r="43" spans="2:11" x14ac:dyDescent="0.3">
      <c r="B43" s="1"/>
    </row>
    <row r="44" spans="2:11" x14ac:dyDescent="0.3">
      <c r="B44" s="1"/>
    </row>
    <row r="45" spans="2:11" x14ac:dyDescent="0.3">
      <c r="B45" s="1"/>
    </row>
    <row r="46" spans="2:11" x14ac:dyDescent="0.3">
      <c r="B46" s="1"/>
    </row>
    <row r="47" spans="2:11" x14ac:dyDescent="0.3">
      <c r="B47" s="1"/>
    </row>
    <row r="48" spans="2:11" x14ac:dyDescent="0.3">
      <c r="B48" s="1"/>
    </row>
    <row r="49" spans="2:2" x14ac:dyDescent="0.3">
      <c r="B49" s="1"/>
    </row>
  </sheetData>
  <sheetProtection algorithmName="SHA-512" hashValue="yBKDvGHPfFNFrTsruAutHZAhiVVMS8fn2761Qga/auZCYj15rzwdOfMsMgDzxEj9s9rztqkaabN1b7yfNi+L3w==" saltValue="beU2BPUvoCfgevHGWnG5ig==" spinCount="100000" sheet="1" objects="1" scenarios="1"/>
  <mergeCells count="1">
    <mergeCell ref="C5:J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377341E-B1B8-4B8F-9BCF-09527FD82C1F}">
          <x14:formula1>
            <xm:f>Inputs!$L$4:$L$11</xm:f>
          </x14:formula1>
          <xm:sqref>C28:C37</xm:sqref>
        </x14:dataValidation>
        <x14:dataValidation type="list" allowBlank="1" showInputMessage="1" showErrorMessage="1" xr:uid="{EFC0E6BF-95E6-4745-80AC-218FAFBFB162}">
          <x14:formula1>
            <xm:f>Inputs!$I$4:$I$16</xm:f>
          </x14:formula1>
          <xm:sqref>C13:C24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D4A3EC0020B44F93019580CF4D642E" ma:contentTypeVersion="28" ma:contentTypeDescription="Create a new document." ma:contentTypeScope="" ma:versionID="bc4b8034ffcb071e99e63db7de18d567">
  <xsd:schema xmlns:xsd="http://www.w3.org/2001/XMLSchema" xmlns:xs="http://www.w3.org/2001/XMLSchema" xmlns:p="http://schemas.microsoft.com/office/2006/metadata/properties" xmlns:ns1="http://schemas.microsoft.com/sharepoint/v3" xmlns:ns2="edb173ee-3fb8-4f75-bf43-79a22ca96f2e" xmlns:ns3="9224003f-e6e7-470a-941a-44de56618887" targetNamespace="http://schemas.microsoft.com/office/2006/metadata/properties" ma:root="true" ma:fieldsID="af57c9fa4829473094f5e5f925b68551" ns1:_="" ns2:_="" ns3:_="">
    <xsd:import namespace="http://schemas.microsoft.com/sharepoint/v3"/>
    <xsd:import namespace="edb173ee-3fb8-4f75-bf43-79a22ca96f2e"/>
    <xsd:import namespace="9224003f-e6e7-470a-941a-44de56618887"/>
    <xsd:element name="properties">
      <xsd:complexType>
        <xsd:sequence>
          <xsd:element name="documentManagement">
            <xsd:complexType>
              <xsd:all>
                <xsd:element ref="ns2:Dateandtime" minOccurs="0"/>
                <xsd:element ref="ns2:NOC_x002d_FI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DateTimeMo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173ee-3fb8-4f75-bf43-79a22ca96f2e" elementFormDefault="qualified">
    <xsd:import namespace="http://schemas.microsoft.com/office/2006/documentManagement/types"/>
    <xsd:import namespace="http://schemas.microsoft.com/office/infopath/2007/PartnerControls"/>
    <xsd:element name="Dateandtime" ma:index="2" nillable="true" ma:displayName="Date and time" ma:format="DateTime" ma:internalName="Dateandtime" ma:readOnly="false">
      <xsd:simpleType>
        <xsd:restriction base="dms:DateTime"/>
      </xsd:simpleType>
    </xsd:element>
    <xsd:element name="NOC_x002d_FIP" ma:index="4" nillable="true" ma:displayName="NOC-FIP" ma:description="School received or is continuing under a Notice Of Concern (NOC) or is required to submit a Financial Improvement Plan (FIP)" ma:internalName="NOC_x002d_FIP">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hidden="true" ma:internalName="MediaServiceLocation" ma:readOnly="true">
      <xsd:simpleType>
        <xsd:restriction base="dms:Text"/>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TimeMod" ma:index="30" nillable="true" ma:displayName="Date &amp; Time Mod" ma:format="DateTime" ma:hidden="true" ma:internalName="DateTimeMo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24003f-e6e7-470a-941a-44de5661888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1d1bbaf-8935-41e2-b6d1-001bd16c079b}" ma:internalName="TaxCatchAll" ma:readOnly="false" ma:showField="CatchAllData" ma:web="9224003f-e6e7-470a-941a-44de566188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db173ee-3fb8-4f75-bf43-79a22ca96f2e">
      <Terms xmlns="http://schemas.microsoft.com/office/infopath/2007/PartnerControls"/>
    </lcf76f155ced4ddcb4097134ff3c332f>
    <TaxCatchAll xmlns="9224003f-e6e7-470a-941a-44de56618887" xsi:nil="true"/>
    <_ip_UnifiedCompliancePolicyProperties xmlns="http://schemas.microsoft.com/sharepoint/v3" xsi:nil="true"/>
    <DateTimeMod xmlns="edb173ee-3fb8-4f75-bf43-79a22ca96f2e" xsi:nil="true"/>
    <Dateandtime xmlns="edb173ee-3fb8-4f75-bf43-79a22ca96f2e" xsi:nil="true"/>
    <NOC_x002d_FIP xmlns="edb173ee-3fb8-4f75-bf43-79a22ca96f2e" xsi:nil="true"/>
  </documentManagement>
</p:properties>
</file>

<file path=customXml/itemProps1.xml><?xml version="1.0" encoding="utf-8"?>
<ds:datastoreItem xmlns:ds="http://schemas.openxmlformats.org/officeDocument/2006/customXml" ds:itemID="{0118A054-BB4F-4E81-A5D6-B3FAB29C9D16}"/>
</file>

<file path=customXml/itemProps2.xml><?xml version="1.0" encoding="utf-8"?>
<ds:datastoreItem xmlns:ds="http://schemas.openxmlformats.org/officeDocument/2006/customXml" ds:itemID="{A8CF6FE5-2DD8-4C30-86AA-7B398BC7F459}"/>
</file>

<file path=customXml/itemProps3.xml><?xml version="1.0" encoding="utf-8"?>
<ds:datastoreItem xmlns:ds="http://schemas.openxmlformats.org/officeDocument/2006/customXml" ds:itemID="{864C445E-5BFE-4E44-8A87-7021BC05C8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Title</vt:lpstr>
      <vt:lpstr>Summary</vt:lpstr>
      <vt:lpstr>Enrollment</vt:lpstr>
      <vt:lpstr>Revenue</vt:lpstr>
      <vt:lpstr>Staff</vt:lpstr>
      <vt:lpstr>Supplies</vt:lpstr>
      <vt:lpstr>Services</vt:lpstr>
      <vt:lpstr>Capital &amp; Debt</vt:lpstr>
      <vt:lpstr>Cash Flow</vt:lpstr>
      <vt:lpstr>Inputs</vt:lpstr>
      <vt:lpstr>Title!Print_Area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Dusty Casey</dc:creator>
  <cp:keywords/>
  <dc:description/>
  <cp:lastModifiedBy>Nandini Vaishnav</cp:lastModifiedBy>
  <cp:revision/>
  <dcterms:created xsi:type="dcterms:W3CDTF">2026-01-25T16:33:23Z</dcterms:created>
  <dcterms:modified xsi:type="dcterms:W3CDTF">2026-05-07T01:21:55Z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ies>
</file>